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4.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06"/>
  <workbookPr defaultThemeVersion="166925"/>
  <mc:AlternateContent xmlns:mc="http://schemas.openxmlformats.org/markup-compatibility/2006">
    <mc:Choice Requires="x15">
      <x15ac:absPath xmlns:x15ac="http://schemas.microsoft.com/office/spreadsheetml/2010/11/ac" url="C:\Users\Rakotovaon\Documents\NSAG Dossiers\DaIMA -PADNET Gleam-i\Narindra\Final Fimal 22 July\"/>
    </mc:Choice>
  </mc:AlternateContent>
  <xr:revisionPtr revIDLastSave="23" documentId="13_ncr:1_{57F4F4D1-C917-4AC0-ADAF-AE469CCF53A3}" xr6:coauthVersionLast="47" xr6:coauthVersionMax="47" xr10:uidLastSave="{0B12AA49-52DA-4AD2-9A61-ACA04F24BC63}"/>
  <bookViews>
    <workbookView xWindow="28680" yWindow="-120" windowWidth="29040" windowHeight="15840" firstSheet="17" activeTab="17" xr2:uid="{00000000-000D-0000-FFFF-FFFF00000000}"/>
  </bookViews>
  <sheets>
    <sheet name="Input data_0424" sheetId="16" r:id="rId1"/>
    <sheet name="Data Inputs - TZ" sheetId="7" state="hidden" r:id="rId2"/>
    <sheet name="Note_Indigenous Dairy" sheetId="4" state="hidden" r:id="rId3"/>
    <sheet name="Indigenous_Dairy" sheetId="1" state="hidden" r:id="rId4"/>
    <sheet name="Note_Improved Dairy" sheetId="5" state="hidden" r:id="rId5"/>
    <sheet name="Improved Dairy" sheetId="2" state="hidden" r:id="rId6"/>
    <sheet name="Milk" sheetId="6" state="hidden" r:id="rId7"/>
    <sheet name="DATA_DAIRY_GLEAM3" sheetId="3" state="hidden" r:id="rId8"/>
    <sheet name="HH &amp; Animal Numbers" sheetId="8" r:id="rId9"/>
    <sheet name="Feed intake" sheetId="21" state="hidden" r:id="rId10"/>
    <sheet name="system categorization" sheetId="18" state="hidden" r:id="rId11"/>
    <sheet name="Sheet4" sheetId="12" state="hidden" r:id="rId12"/>
    <sheet name="Raw Results" sheetId="9" state="hidden" r:id="rId13"/>
    <sheet name="Summary Tables" sheetId="11" state="hidden" r:id="rId14"/>
    <sheet name="Raw Results 2024" sheetId="13" r:id="rId15"/>
    <sheet name="Processed Results" sheetId="10" state="hidden" r:id="rId16"/>
    <sheet name="Processed Results 2024" sheetId="14" r:id="rId17"/>
    <sheet name="Summary Tables 2024" sheetId="15" r:id="rId18"/>
    <sheet name="Feuil2" sheetId="22" state="hidden" r:id="rId19"/>
    <sheet name="Feuil1" sheetId="19" state="hidden" r:id="rId20"/>
  </sheets>
  <definedNames>
    <definedName name="_xlnm._FilterDatabase" localSheetId="8" hidden="1">'HH &amp; Animal Numbers'!$A$23:$F$55</definedName>
    <definedName name="_xlnm._FilterDatabase" localSheetId="5" hidden="1">'Improved Dairy'!$A$3:$CH$35</definedName>
    <definedName name="_xlnm._FilterDatabase" localSheetId="3" hidden="1">Indigenous_Dairy!$A$3:$CJ$36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3" i="15" l="1"/>
  <c r="AC13" i="15"/>
  <c r="AD12" i="15"/>
  <c r="AC12" i="15"/>
  <c r="AB3" i="8"/>
  <c r="E4" i="18"/>
  <c r="AE12" i="15"/>
  <c r="W22" i="15"/>
  <c r="V22" i="15"/>
  <c r="T16" i="15"/>
  <c r="U4" i="15"/>
  <c r="U3" i="15"/>
  <c r="D60" i="16" l="1"/>
  <c r="E60" i="16"/>
  <c r="C60" i="16"/>
  <c r="E58" i="16"/>
  <c r="F16" i="22" l="1"/>
  <c r="E16" i="22"/>
  <c r="H14" i="16" l="1"/>
  <c r="N30" i="15"/>
  <c r="K46" i="21" l="1"/>
  <c r="C56" i="21" l="1"/>
  <c r="F54" i="21"/>
  <c r="G54" i="21"/>
  <c r="H54" i="21"/>
  <c r="I54" i="21"/>
  <c r="J54" i="21"/>
  <c r="K54" i="21"/>
  <c r="C54" i="21"/>
  <c r="D54" i="21"/>
  <c r="E54" i="21"/>
  <c r="E50" i="21"/>
  <c r="F50" i="21"/>
  <c r="G50" i="21"/>
  <c r="H50" i="21"/>
  <c r="I50" i="21"/>
  <c r="J50" i="21"/>
  <c r="K50" i="21"/>
  <c r="C50" i="21"/>
  <c r="D50" i="21"/>
  <c r="F49" i="21"/>
  <c r="G49" i="21"/>
  <c r="H49" i="21"/>
  <c r="I49" i="21"/>
  <c r="J49" i="21"/>
  <c r="K49" i="21"/>
  <c r="C49" i="21"/>
  <c r="D49" i="21"/>
  <c r="E49" i="21"/>
  <c r="F48" i="21"/>
  <c r="G48" i="21"/>
  <c r="H48" i="21"/>
  <c r="I48" i="21"/>
  <c r="J48" i="21"/>
  <c r="K48" i="21"/>
  <c r="C48" i="21"/>
  <c r="D48" i="21"/>
  <c r="E48" i="21"/>
  <c r="F47" i="21"/>
  <c r="G47" i="21"/>
  <c r="H47" i="21"/>
  <c r="I47" i="21"/>
  <c r="J47" i="21"/>
  <c r="K47" i="21"/>
  <c r="C47" i="21"/>
  <c r="D47" i="21"/>
  <c r="E47" i="21"/>
  <c r="F33" i="21"/>
  <c r="F34" i="21" s="1"/>
  <c r="G33" i="21"/>
  <c r="G34" i="21" s="1"/>
  <c r="H33" i="21"/>
  <c r="H34" i="21" s="1"/>
  <c r="I33" i="21"/>
  <c r="I34" i="21" s="1"/>
  <c r="J33" i="21"/>
  <c r="J34" i="21" s="1"/>
  <c r="K33" i="21"/>
  <c r="K34" i="21"/>
  <c r="F32" i="21"/>
  <c r="G32" i="21"/>
  <c r="H32" i="21"/>
  <c r="I32" i="21"/>
  <c r="J32" i="21"/>
  <c r="K32" i="21"/>
  <c r="F31" i="21"/>
  <c r="G31" i="21"/>
  <c r="H31" i="21"/>
  <c r="I31" i="21"/>
  <c r="J31" i="21"/>
  <c r="K31" i="21"/>
  <c r="F21" i="21"/>
  <c r="G21" i="21"/>
  <c r="H21" i="21"/>
  <c r="I21" i="21"/>
  <c r="J21" i="21"/>
  <c r="K21" i="21"/>
  <c r="D45" i="21"/>
  <c r="E45" i="21"/>
  <c r="F45" i="21"/>
  <c r="G45" i="21"/>
  <c r="H45" i="21"/>
  <c r="I45" i="21"/>
  <c r="J45" i="21"/>
  <c r="K45" i="21"/>
  <c r="D46" i="21"/>
  <c r="E46" i="21"/>
  <c r="C46" i="21"/>
  <c r="C45" i="21"/>
  <c r="F39" i="21"/>
  <c r="G39" i="21"/>
  <c r="G40" i="21" s="1"/>
  <c r="H39" i="21"/>
  <c r="H40" i="21" s="1"/>
  <c r="I39" i="21"/>
  <c r="I40" i="21" s="1"/>
  <c r="J39" i="21"/>
  <c r="J40" i="21" s="1"/>
  <c r="K39" i="21"/>
  <c r="K40" i="21" s="1"/>
  <c r="F40" i="21"/>
  <c r="D39" i="21"/>
  <c r="E39" i="21"/>
  <c r="D40" i="21"/>
  <c r="E40" i="21"/>
  <c r="C39" i="21"/>
  <c r="C40" i="21" s="1"/>
  <c r="H46" i="21" l="1"/>
  <c r="I46" i="21"/>
  <c r="G46" i="21"/>
  <c r="F46" i="21"/>
  <c r="J46" i="21"/>
  <c r="E26" i="21"/>
  <c r="E25" i="21"/>
  <c r="D25" i="21"/>
  <c r="C25" i="21"/>
  <c r="E32" i="21" l="1"/>
  <c r="D32" i="21"/>
  <c r="C32" i="21"/>
  <c r="E31" i="21"/>
  <c r="D31" i="21"/>
  <c r="C31" i="21"/>
  <c r="C33" i="21" s="1"/>
  <c r="C34" i="21" s="1"/>
  <c r="C36" i="21" s="1"/>
  <c r="E30" i="21"/>
  <c r="D26" i="21"/>
  <c r="D30" i="21" s="1"/>
  <c r="C26" i="21"/>
  <c r="C30" i="21" s="1"/>
  <c r="E29" i="21"/>
  <c r="D29" i="21"/>
  <c r="C29" i="21"/>
  <c r="E21" i="21"/>
  <c r="D21" i="21"/>
  <c r="C21" i="21"/>
  <c r="K19" i="19"/>
  <c r="J19" i="19"/>
  <c r="H19" i="19"/>
  <c r="G19" i="19"/>
  <c r="F19" i="19"/>
  <c r="E19" i="19"/>
  <c r="D19" i="19"/>
  <c r="L16" i="19"/>
  <c r="K16" i="19"/>
  <c r="J16" i="19"/>
  <c r="I16" i="19"/>
  <c r="G16" i="19"/>
  <c r="F16" i="19"/>
  <c r="D16" i="19"/>
  <c r="K5" i="19"/>
  <c r="J5" i="19"/>
  <c r="H5" i="19"/>
  <c r="G5" i="19"/>
  <c r="F5" i="19"/>
  <c r="E5" i="19"/>
  <c r="D5" i="19"/>
  <c r="K14" i="16"/>
  <c r="N25" i="15"/>
  <c r="N24" i="15"/>
  <c r="N23" i="15"/>
  <c r="N22" i="15"/>
  <c r="N21" i="15"/>
  <c r="N20" i="15"/>
  <c r="N19" i="15"/>
  <c r="N18" i="15"/>
  <c r="N17" i="15"/>
  <c r="N14" i="15"/>
  <c r="N13" i="15"/>
  <c r="N12" i="15"/>
  <c r="N11" i="15"/>
  <c r="N10" i="15"/>
  <c r="N9" i="15"/>
  <c r="N8" i="15"/>
  <c r="N7" i="15"/>
  <c r="N6" i="15"/>
  <c r="N5" i="15"/>
  <c r="N4" i="15"/>
  <c r="N3" i="15"/>
  <c r="D33" i="21" l="1"/>
  <c r="D34" i="21" s="1"/>
  <c r="D36" i="21" s="1"/>
  <c r="D37" i="21" s="1"/>
  <c r="E33" i="21"/>
  <c r="E34" i="21" s="1"/>
  <c r="C37" i="21"/>
  <c r="C27" i="21"/>
  <c r="C28" i="21" s="1"/>
  <c r="D27" i="21"/>
  <c r="D28" i="21" s="1"/>
  <c r="E27" i="21"/>
  <c r="E28" i="21" s="1"/>
  <c r="H1" i="14"/>
  <c r="I1" i="14"/>
  <c r="E36" i="21" l="1"/>
  <c r="E37" i="21" s="1"/>
  <c r="J14" i="16"/>
  <c r="I14" i="16"/>
  <c r="I16" i="16"/>
  <c r="I15" i="16"/>
  <c r="H15" i="16"/>
  <c r="G16" i="16"/>
  <c r="G15" i="16"/>
  <c r="F16" i="16"/>
  <c r="F15" i="16"/>
  <c r="C26" i="18"/>
  <c r="C25" i="18"/>
  <c r="E24" i="18"/>
  <c r="F24" i="18" s="1"/>
  <c r="G24" i="18" s="1"/>
  <c r="D24" i="18"/>
  <c r="C24" i="18"/>
  <c r="AA27" i="8"/>
  <c r="Z27" i="8"/>
  <c r="AA41" i="8"/>
  <c r="Z41" i="8"/>
  <c r="E5" i="18" l="1"/>
  <c r="C20" i="18" s="1"/>
  <c r="D20" i="18" s="1"/>
  <c r="E20" i="18" s="1"/>
  <c r="F20" i="18" s="1"/>
  <c r="G20" i="18" s="1"/>
  <c r="E6" i="18"/>
  <c r="C16" i="18"/>
  <c r="D16" i="18" s="1"/>
  <c r="E16" i="18" s="1"/>
  <c r="F16" i="18" s="1"/>
  <c r="G16" i="18" s="1"/>
  <c r="C7" i="18"/>
  <c r="D6" i="18" s="1"/>
  <c r="C16" i="16" l="1"/>
  <c r="C15" i="16"/>
  <c r="C22" i="18"/>
  <c r="C21" i="18"/>
  <c r="C17" i="18"/>
  <c r="D17" i="18" s="1"/>
  <c r="C18" i="18"/>
  <c r="D18" i="18" s="1"/>
  <c r="E18" i="18" s="1"/>
  <c r="F18" i="18" s="1"/>
  <c r="G18" i="18" s="1"/>
  <c r="H18" i="18" s="1"/>
  <c r="I18" i="18" s="1"/>
  <c r="J18" i="18" s="1"/>
  <c r="K18" i="18" s="1"/>
  <c r="L18" i="18" s="1"/>
  <c r="M18" i="18" s="1"/>
  <c r="N18" i="18" s="1"/>
  <c r="O18" i="18" s="1"/>
  <c r="P18" i="18" s="1"/>
  <c r="Q18" i="18" s="1"/>
  <c r="R18" i="18" s="1"/>
  <c r="S18" i="18" s="1"/>
  <c r="T18" i="18" s="1"/>
  <c r="U18" i="18" s="1"/>
  <c r="V18" i="18" s="1"/>
  <c r="D26" i="18"/>
  <c r="E26" i="18" s="1"/>
  <c r="F26" i="18" s="1"/>
  <c r="G26" i="18" s="1"/>
  <c r="H26" i="18" s="1"/>
  <c r="I26" i="18" s="1"/>
  <c r="J26" i="18" s="1"/>
  <c r="K26" i="18" s="1"/>
  <c r="L26" i="18" s="1"/>
  <c r="M26" i="18" s="1"/>
  <c r="N26" i="18" s="1"/>
  <c r="O26" i="18" s="1"/>
  <c r="P26" i="18" s="1"/>
  <c r="Q26" i="18" s="1"/>
  <c r="R26" i="18" s="1"/>
  <c r="S26" i="18" s="1"/>
  <c r="T26" i="18" s="1"/>
  <c r="U26" i="18" s="1"/>
  <c r="V26" i="18" s="1"/>
  <c r="D22" i="18"/>
  <c r="E22" i="18" s="1"/>
  <c r="F22" i="18" s="1"/>
  <c r="G22" i="18" s="1"/>
  <c r="H22" i="18" s="1"/>
  <c r="I22" i="18" s="1"/>
  <c r="J22" i="18" s="1"/>
  <c r="K22" i="18" s="1"/>
  <c r="L22" i="18" s="1"/>
  <c r="M22" i="18" s="1"/>
  <c r="N22" i="18" s="1"/>
  <c r="O22" i="18" s="1"/>
  <c r="P22" i="18" s="1"/>
  <c r="Q22" i="18" s="1"/>
  <c r="R22" i="18" s="1"/>
  <c r="S22" i="18" s="1"/>
  <c r="T22" i="18" s="1"/>
  <c r="U22" i="18" s="1"/>
  <c r="V22" i="18" s="1"/>
  <c r="E7" i="18"/>
  <c r="D4" i="18"/>
  <c r="D5" i="18"/>
  <c r="H49" i="16"/>
  <c r="F49" i="16"/>
  <c r="G49" i="16"/>
  <c r="I49" i="16"/>
  <c r="J49" i="16"/>
  <c r="K49" i="16"/>
  <c r="D49" i="16"/>
  <c r="E49" i="16"/>
  <c r="E16" i="16" l="1"/>
  <c r="E15" i="16"/>
  <c r="D7" i="18"/>
  <c r="H16" i="16"/>
  <c r="K16" i="16"/>
  <c r="K15" i="16"/>
  <c r="E17" i="18"/>
  <c r="F17" i="18" s="1"/>
  <c r="G17" i="18" s="1"/>
  <c r="H17" i="18" s="1"/>
  <c r="I17" i="18" s="1"/>
  <c r="J17" i="18" s="1"/>
  <c r="K17" i="18" s="1"/>
  <c r="L17" i="18" s="1"/>
  <c r="M17" i="18" s="1"/>
  <c r="N17" i="18" s="1"/>
  <c r="O17" i="18" s="1"/>
  <c r="P17" i="18" s="1"/>
  <c r="Q17" i="18" s="1"/>
  <c r="R17" i="18" s="1"/>
  <c r="S17" i="18" s="1"/>
  <c r="T17" i="18" s="1"/>
  <c r="U17" i="18" s="1"/>
  <c r="V17" i="18" s="1"/>
  <c r="D21" i="18"/>
  <c r="E21" i="18" s="1"/>
  <c r="F21" i="18" s="1"/>
  <c r="G21" i="18" s="1"/>
  <c r="H21" i="18" s="1"/>
  <c r="I21" i="18" s="1"/>
  <c r="J21" i="18" s="1"/>
  <c r="K21" i="18" s="1"/>
  <c r="L21" i="18" s="1"/>
  <c r="M21" i="18" s="1"/>
  <c r="N21" i="18" s="1"/>
  <c r="O21" i="18" s="1"/>
  <c r="P21" i="18" s="1"/>
  <c r="Q21" i="18" s="1"/>
  <c r="R21" i="18" s="1"/>
  <c r="S21" i="18" s="1"/>
  <c r="T21" i="18" s="1"/>
  <c r="U21" i="18" s="1"/>
  <c r="V21" i="18" s="1"/>
  <c r="D25" i="18"/>
  <c r="E25" i="18" s="1"/>
  <c r="F25" i="18" s="1"/>
  <c r="G25" i="18" s="1"/>
  <c r="H25" i="18" s="1"/>
  <c r="I25" i="18" s="1"/>
  <c r="J25" i="18" s="1"/>
  <c r="K25" i="18" s="1"/>
  <c r="L25" i="18" s="1"/>
  <c r="M25" i="18" s="1"/>
  <c r="N25" i="18" s="1"/>
  <c r="O25" i="18" s="1"/>
  <c r="P25" i="18" s="1"/>
  <c r="Q25" i="18" s="1"/>
  <c r="R25" i="18" s="1"/>
  <c r="S25" i="18" s="1"/>
  <c r="T25" i="18" s="1"/>
  <c r="U25" i="18" s="1"/>
  <c r="V25" i="18" s="1"/>
  <c r="C49" i="16"/>
  <c r="J17" i="16"/>
  <c r="I17" i="16"/>
  <c r="J3" i="16"/>
  <c r="I3" i="16"/>
  <c r="G17" i="16"/>
  <c r="F17" i="16"/>
  <c r="F14" i="16"/>
  <c r="G3" i="16"/>
  <c r="F3" i="16"/>
  <c r="E17" i="16"/>
  <c r="D17" i="16"/>
  <c r="C17" i="16"/>
  <c r="E14" i="16"/>
  <c r="C14" i="16"/>
  <c r="D16" i="16" l="1"/>
  <c r="D15" i="16"/>
  <c r="J16" i="16"/>
  <c r="J15" i="16"/>
  <c r="E3" i="16"/>
  <c r="D3" i="16"/>
  <c r="C3" i="16"/>
  <c r="L20" i="15" l="1"/>
  <c r="L33" i="15" s="1"/>
  <c r="L1" i="14"/>
  <c r="Q2" i="14"/>
  <c r="R2" i="14"/>
  <c r="Q3" i="14"/>
  <c r="R3" i="14"/>
  <c r="Q4" i="14"/>
  <c r="R4" i="14"/>
  <c r="Q5" i="14"/>
  <c r="R5" i="14"/>
  <c r="Q6" i="14"/>
  <c r="R6" i="14"/>
  <c r="Q7" i="14"/>
  <c r="R7" i="14"/>
  <c r="Q8" i="14"/>
  <c r="R8" i="14"/>
  <c r="S8" i="14" s="1"/>
  <c r="Q9" i="14"/>
  <c r="R9" i="14"/>
  <c r="Q10" i="14"/>
  <c r="R10" i="14"/>
  <c r="Q11" i="14"/>
  <c r="R11" i="14"/>
  <c r="Q12" i="14"/>
  <c r="R12" i="14"/>
  <c r="Q13" i="14"/>
  <c r="R13" i="14"/>
  <c r="S13" i="14" s="1"/>
  <c r="Q14" i="14"/>
  <c r="R14" i="14"/>
  <c r="Q15" i="14"/>
  <c r="R15" i="14"/>
  <c r="Q16" i="14"/>
  <c r="R16" i="14"/>
  <c r="Q17" i="14"/>
  <c r="R17" i="14"/>
  <c r="Q18" i="14"/>
  <c r="R18" i="14"/>
  <c r="Q19" i="14"/>
  <c r="R19" i="14"/>
  <c r="S19" i="14" s="1"/>
  <c r="Q20" i="14"/>
  <c r="R20" i="14"/>
  <c r="S20" i="14" s="1"/>
  <c r="Q21" i="14"/>
  <c r="L17" i="15" s="1"/>
  <c r="L30" i="15" s="1"/>
  <c r="R21" i="14"/>
  <c r="M17" i="15" s="1"/>
  <c r="M30" i="15" s="1"/>
  <c r="Q22" i="14"/>
  <c r="R22" i="14"/>
  <c r="M18" i="15" s="1"/>
  <c r="M31" i="15" s="1"/>
  <c r="Q23" i="14"/>
  <c r="R23" i="14"/>
  <c r="Q24" i="14"/>
  <c r="L19" i="15" s="1"/>
  <c r="L32" i="15" s="1"/>
  <c r="R24" i="14"/>
  <c r="S24" i="14" s="1"/>
  <c r="Q25" i="14"/>
  <c r="R25" i="14"/>
  <c r="S25" i="14" s="1"/>
  <c r="Q26" i="14"/>
  <c r="L21" i="15" s="1"/>
  <c r="L34" i="15" s="1"/>
  <c r="R26" i="14"/>
  <c r="M21" i="15" s="1"/>
  <c r="M34" i="15" s="1"/>
  <c r="Q27" i="14"/>
  <c r="L22" i="15" s="1"/>
  <c r="L35" i="15" s="1"/>
  <c r="R27" i="14"/>
  <c r="M22" i="15" s="1"/>
  <c r="M35" i="15" s="1"/>
  <c r="Q28" i="14"/>
  <c r="L23" i="15" s="1"/>
  <c r="L36" i="15" s="1"/>
  <c r="R28" i="14"/>
  <c r="S28" i="14" s="1"/>
  <c r="Q29" i="14"/>
  <c r="R29" i="14"/>
  <c r="Q30" i="14"/>
  <c r="R30" i="14"/>
  <c r="Q31" i="14"/>
  <c r="R31" i="14"/>
  <c r="Q32" i="14"/>
  <c r="L4" i="15" s="1"/>
  <c r="R32" i="14"/>
  <c r="S32" i="14" s="1"/>
  <c r="Q33" i="14"/>
  <c r="L5" i="15" s="1"/>
  <c r="R33" i="14"/>
  <c r="M5" i="15" s="1"/>
  <c r="Q34" i="14"/>
  <c r="L9" i="15" s="1"/>
  <c r="R34" i="14"/>
  <c r="M9" i="15" s="1"/>
  <c r="Q35" i="14"/>
  <c r="R35" i="14"/>
  <c r="Q36" i="14"/>
  <c r="R36" i="14"/>
  <c r="Q37" i="14"/>
  <c r="R37" i="14"/>
  <c r="Q38" i="14"/>
  <c r="R38" i="14"/>
  <c r="Q39" i="14"/>
  <c r="L10" i="15" s="1"/>
  <c r="R39" i="14"/>
  <c r="M10" i="15" s="1"/>
  <c r="Q40" i="14"/>
  <c r="R40" i="14"/>
  <c r="S40" i="14" s="1"/>
  <c r="Q41" i="14"/>
  <c r="L24" i="15" s="1"/>
  <c r="L37" i="15" s="1"/>
  <c r="R41" i="14"/>
  <c r="M24" i="15" s="1"/>
  <c r="M37" i="15" s="1"/>
  <c r="Q42" i="14"/>
  <c r="L25" i="15" s="1"/>
  <c r="L38" i="15" s="1"/>
  <c r="R42" i="14"/>
  <c r="M25" i="15" s="1"/>
  <c r="M38" i="15" s="1"/>
  <c r="Q43" i="14"/>
  <c r="R43" i="14"/>
  <c r="Q44" i="14"/>
  <c r="R44" i="14"/>
  <c r="Q45" i="14"/>
  <c r="R45" i="14"/>
  <c r="Q46" i="14"/>
  <c r="R46" i="14"/>
  <c r="Q47" i="14"/>
  <c r="R47" i="14"/>
  <c r="Q48" i="14"/>
  <c r="R48" i="14"/>
  <c r="Q49" i="14"/>
  <c r="L12" i="15" s="1"/>
  <c r="R49" i="14"/>
  <c r="S49" i="14" s="1"/>
  <c r="Q50" i="14"/>
  <c r="R50" i="14"/>
  <c r="Q51" i="14"/>
  <c r="R51" i="14"/>
  <c r="Q52" i="14"/>
  <c r="L6" i="15" s="1"/>
  <c r="R52" i="14"/>
  <c r="Q53" i="14"/>
  <c r="R53" i="14"/>
  <c r="Q54" i="14"/>
  <c r="R54" i="14"/>
  <c r="Q55" i="14"/>
  <c r="R55" i="14"/>
  <c r="Q56" i="14"/>
  <c r="R56" i="14"/>
  <c r="S56" i="14" s="1"/>
  <c r="Q57" i="14"/>
  <c r="R57" i="14"/>
  <c r="Q58" i="14"/>
  <c r="R58" i="14"/>
  <c r="Q59" i="14"/>
  <c r="L11" i="15" s="1"/>
  <c r="R59" i="14"/>
  <c r="Q60" i="14"/>
  <c r="L3" i="15" s="1"/>
  <c r="R60" i="14"/>
  <c r="M3" i="15" s="1"/>
  <c r="Q61" i="14"/>
  <c r="R61" i="14"/>
  <c r="S61" i="14" s="1"/>
  <c r="Q62" i="14"/>
  <c r="R62" i="14"/>
  <c r="Q63" i="14"/>
  <c r="R63" i="14"/>
  <c r="Q64" i="14"/>
  <c r="R64" i="14"/>
  <c r="S64" i="14" s="1"/>
  <c r="Q65" i="14"/>
  <c r="R65" i="14"/>
  <c r="Q66" i="14"/>
  <c r="R66" i="14"/>
  <c r="Q67" i="14"/>
  <c r="R67" i="14"/>
  <c r="Q68" i="14"/>
  <c r="R68" i="14"/>
  <c r="S68" i="14" s="1"/>
  <c r="Q69" i="14"/>
  <c r="R69" i="14"/>
  <c r="Q70" i="14"/>
  <c r="R70" i="14"/>
  <c r="Q71" i="14"/>
  <c r="R71" i="14"/>
  <c r="Q72" i="14"/>
  <c r="R72" i="14"/>
  <c r="Q73" i="14"/>
  <c r="R73" i="14"/>
  <c r="S73" i="14" s="1"/>
  <c r="Q74" i="14"/>
  <c r="R74" i="14"/>
  <c r="Q75" i="14"/>
  <c r="R75" i="14"/>
  <c r="Q1" i="14"/>
  <c r="R1" i="14"/>
  <c r="S1" i="14"/>
  <c r="H2" i="14"/>
  <c r="I2" i="14"/>
  <c r="J2" i="14"/>
  <c r="K2" i="14" s="1"/>
  <c r="L2" i="14"/>
  <c r="M2" i="14"/>
  <c r="N2" i="14"/>
  <c r="P2" i="14"/>
  <c r="H3" i="14"/>
  <c r="I3" i="14"/>
  <c r="J3" i="14"/>
  <c r="L3" i="14"/>
  <c r="M3" i="14"/>
  <c r="N3" i="14"/>
  <c r="P3" i="14"/>
  <c r="H4" i="14"/>
  <c r="I4" i="14"/>
  <c r="J4" i="14"/>
  <c r="L4" i="14"/>
  <c r="M4" i="14"/>
  <c r="N4" i="14"/>
  <c r="P4" i="14"/>
  <c r="H5" i="14"/>
  <c r="I5" i="14"/>
  <c r="J5" i="14"/>
  <c r="L5" i="14"/>
  <c r="M5" i="14"/>
  <c r="N5" i="14"/>
  <c r="O5" i="14" s="1"/>
  <c r="P5" i="14"/>
  <c r="H6" i="14"/>
  <c r="I6" i="14"/>
  <c r="J6" i="14"/>
  <c r="L6" i="14"/>
  <c r="M6" i="14"/>
  <c r="N6" i="14"/>
  <c r="P6" i="14"/>
  <c r="H7" i="14"/>
  <c r="I7" i="14"/>
  <c r="J7" i="14"/>
  <c r="L7" i="14"/>
  <c r="M7" i="14"/>
  <c r="N7" i="14"/>
  <c r="P7" i="14"/>
  <c r="H8" i="14"/>
  <c r="I8" i="14"/>
  <c r="J8" i="14"/>
  <c r="L8" i="14"/>
  <c r="M8" i="14"/>
  <c r="N8" i="14"/>
  <c r="P8" i="14"/>
  <c r="H9" i="14"/>
  <c r="I9" i="14"/>
  <c r="J9" i="14"/>
  <c r="L9" i="14"/>
  <c r="M9" i="14"/>
  <c r="N9" i="14"/>
  <c r="P9" i="14"/>
  <c r="H10" i="14"/>
  <c r="I10" i="14"/>
  <c r="J10" i="14"/>
  <c r="L10" i="14"/>
  <c r="M10" i="14"/>
  <c r="N10" i="14"/>
  <c r="P10" i="14"/>
  <c r="H11" i="14"/>
  <c r="I11" i="14"/>
  <c r="J11" i="14"/>
  <c r="L11" i="14"/>
  <c r="M11" i="14"/>
  <c r="N11" i="14"/>
  <c r="P11" i="14"/>
  <c r="H12" i="14"/>
  <c r="I12" i="14"/>
  <c r="J12" i="14"/>
  <c r="K12" i="14" s="1"/>
  <c r="L12" i="14"/>
  <c r="M12" i="14"/>
  <c r="N12" i="14"/>
  <c r="P12" i="14"/>
  <c r="H13" i="14"/>
  <c r="I13" i="14"/>
  <c r="J13" i="14"/>
  <c r="L13" i="14"/>
  <c r="M13" i="14"/>
  <c r="AA13" i="14" s="1"/>
  <c r="N13" i="14"/>
  <c r="P13" i="14"/>
  <c r="H14" i="14"/>
  <c r="I14" i="14"/>
  <c r="J14" i="14"/>
  <c r="K14" i="14" s="1"/>
  <c r="L14" i="14"/>
  <c r="M14" i="14"/>
  <c r="N14" i="14"/>
  <c r="P14" i="14"/>
  <c r="H15" i="14"/>
  <c r="I15" i="14"/>
  <c r="J15" i="14"/>
  <c r="L15" i="14"/>
  <c r="M15" i="14"/>
  <c r="N15" i="14"/>
  <c r="P15" i="14"/>
  <c r="H16" i="14"/>
  <c r="I16" i="14"/>
  <c r="J16" i="14"/>
  <c r="L16" i="14"/>
  <c r="M16" i="14"/>
  <c r="N16" i="14"/>
  <c r="P16" i="14"/>
  <c r="H17" i="14"/>
  <c r="I17" i="14"/>
  <c r="J17" i="14"/>
  <c r="L17" i="14"/>
  <c r="M17" i="14"/>
  <c r="N17" i="14"/>
  <c r="O17" i="14" s="1"/>
  <c r="P17" i="14"/>
  <c r="H18" i="14"/>
  <c r="I18" i="14"/>
  <c r="J18" i="14"/>
  <c r="L18" i="14"/>
  <c r="M18" i="14"/>
  <c r="N18" i="14"/>
  <c r="P18" i="14"/>
  <c r="H19" i="14"/>
  <c r="I19" i="14"/>
  <c r="J19" i="14"/>
  <c r="L19" i="14"/>
  <c r="M19" i="14"/>
  <c r="N19" i="14"/>
  <c r="P19" i="14"/>
  <c r="H20" i="14"/>
  <c r="I20" i="14"/>
  <c r="J20" i="14"/>
  <c r="L20" i="14"/>
  <c r="M20" i="14"/>
  <c r="N20" i="14"/>
  <c r="P20" i="14"/>
  <c r="H21" i="14"/>
  <c r="C17" i="15" s="1"/>
  <c r="C30" i="15" s="1"/>
  <c r="I21" i="14"/>
  <c r="J21" i="14"/>
  <c r="L21" i="14"/>
  <c r="G17" i="15" s="1"/>
  <c r="G30" i="15" s="1"/>
  <c r="M21" i="14"/>
  <c r="N21" i="14"/>
  <c r="I17" i="15" s="1"/>
  <c r="I30" i="15" s="1"/>
  <c r="P21" i="14"/>
  <c r="K17" i="15" s="1"/>
  <c r="K30" i="15" s="1"/>
  <c r="H22" i="14"/>
  <c r="I22" i="14"/>
  <c r="J22" i="14"/>
  <c r="L22" i="14"/>
  <c r="G18" i="15" s="1"/>
  <c r="G31" i="15" s="1"/>
  <c r="M22" i="14"/>
  <c r="H18" i="15" s="1"/>
  <c r="N22" i="14"/>
  <c r="P22" i="14"/>
  <c r="K18" i="15" s="1"/>
  <c r="K31" i="15" s="1"/>
  <c r="H23" i="14"/>
  <c r="I23" i="14"/>
  <c r="J23" i="14"/>
  <c r="L23" i="14"/>
  <c r="M23" i="14"/>
  <c r="N23" i="14"/>
  <c r="P23" i="14"/>
  <c r="H24" i="14"/>
  <c r="C19" i="15" s="1"/>
  <c r="C32" i="15" s="1"/>
  <c r="I24" i="14"/>
  <c r="D19" i="15" s="1"/>
  <c r="D32" i="15" s="1"/>
  <c r="J24" i="14"/>
  <c r="K24" i="14" s="1"/>
  <c r="L24" i="14"/>
  <c r="G19" i="15" s="1"/>
  <c r="G32" i="15" s="1"/>
  <c r="M24" i="14"/>
  <c r="H19" i="15" s="1"/>
  <c r="N24" i="14"/>
  <c r="P24" i="14"/>
  <c r="K19" i="15" s="1"/>
  <c r="K32" i="15" s="1"/>
  <c r="H25" i="14"/>
  <c r="C20" i="15" s="1"/>
  <c r="C33" i="15" s="1"/>
  <c r="I25" i="14"/>
  <c r="D20" i="15" s="1"/>
  <c r="D33" i="15" s="1"/>
  <c r="J25" i="14"/>
  <c r="E20" i="15" s="1"/>
  <c r="L25" i="14"/>
  <c r="G20" i="15" s="1"/>
  <c r="G33" i="15" s="1"/>
  <c r="M25" i="14"/>
  <c r="AA25" i="14" s="1"/>
  <c r="R20" i="15" s="1"/>
  <c r="R33" i="15" s="1"/>
  <c r="N25" i="14"/>
  <c r="I20" i="15" s="1"/>
  <c r="I33" i="15" s="1"/>
  <c r="P25" i="14"/>
  <c r="K20" i="15" s="1"/>
  <c r="K33" i="15" s="1"/>
  <c r="H26" i="14"/>
  <c r="I26" i="14"/>
  <c r="J26" i="14"/>
  <c r="K26" i="14" s="1"/>
  <c r="L26" i="14"/>
  <c r="G21" i="15" s="1"/>
  <c r="G34" i="15" s="1"/>
  <c r="M26" i="14"/>
  <c r="H21" i="15" s="1"/>
  <c r="N26" i="14"/>
  <c r="I21" i="15" s="1"/>
  <c r="I34" i="15" s="1"/>
  <c r="P26" i="14"/>
  <c r="K21" i="15" s="1"/>
  <c r="K34" i="15" s="1"/>
  <c r="H27" i="14"/>
  <c r="C22" i="15" s="1"/>
  <c r="C35" i="15" s="1"/>
  <c r="I27" i="14"/>
  <c r="D22" i="15" s="1"/>
  <c r="D35" i="15" s="1"/>
  <c r="J27" i="14"/>
  <c r="E22" i="15" s="1"/>
  <c r="L27" i="14"/>
  <c r="G22" i="15" s="1"/>
  <c r="G35" i="15" s="1"/>
  <c r="M27" i="14"/>
  <c r="N27" i="14"/>
  <c r="I22" i="15" s="1"/>
  <c r="I35" i="15" s="1"/>
  <c r="P27" i="14"/>
  <c r="H28" i="14"/>
  <c r="C23" i="15" s="1"/>
  <c r="C36" i="15" s="1"/>
  <c r="I28" i="14"/>
  <c r="J28" i="14"/>
  <c r="E23" i="15" s="1"/>
  <c r="L28" i="14"/>
  <c r="G23" i="15" s="1"/>
  <c r="G36" i="15" s="1"/>
  <c r="M28" i="14"/>
  <c r="H23" i="15" s="1"/>
  <c r="N28" i="14"/>
  <c r="I23" i="15" s="1"/>
  <c r="I36" i="15" s="1"/>
  <c r="P28" i="14"/>
  <c r="K23" i="15" s="1"/>
  <c r="K36" i="15" s="1"/>
  <c r="H29" i="14"/>
  <c r="I29" i="14"/>
  <c r="J29" i="14"/>
  <c r="L29" i="14"/>
  <c r="M29" i="14"/>
  <c r="N29" i="14"/>
  <c r="O29" i="14" s="1"/>
  <c r="P29" i="14"/>
  <c r="H30" i="14"/>
  <c r="I30" i="14"/>
  <c r="J30" i="14"/>
  <c r="L30" i="14"/>
  <c r="M30" i="14"/>
  <c r="N30" i="14"/>
  <c r="P30" i="14"/>
  <c r="H31" i="14"/>
  <c r="I31" i="14"/>
  <c r="J31" i="14"/>
  <c r="L31" i="14"/>
  <c r="M31" i="14"/>
  <c r="N31" i="14"/>
  <c r="P31" i="14"/>
  <c r="H32" i="14"/>
  <c r="C4" i="15" s="1"/>
  <c r="I32" i="14"/>
  <c r="J32" i="14"/>
  <c r="E4" i="15" s="1"/>
  <c r="L32" i="14"/>
  <c r="M32" i="14"/>
  <c r="H4" i="15" s="1"/>
  <c r="N32" i="14"/>
  <c r="I4" i="15" s="1"/>
  <c r="P32" i="14"/>
  <c r="K4" i="15" s="1"/>
  <c r="H33" i="14"/>
  <c r="C5" i="15" s="1"/>
  <c r="I33" i="14"/>
  <c r="J33" i="14"/>
  <c r="L33" i="14"/>
  <c r="G5" i="15" s="1"/>
  <c r="M33" i="14"/>
  <c r="H5" i="15" s="1"/>
  <c r="N33" i="14"/>
  <c r="I5" i="15" s="1"/>
  <c r="P33" i="14"/>
  <c r="K5" i="15" s="1"/>
  <c r="H34" i="14"/>
  <c r="C9" i="15" s="1"/>
  <c r="I34" i="14"/>
  <c r="D9" i="15" s="1"/>
  <c r="J34" i="14"/>
  <c r="L34" i="14"/>
  <c r="G9" i="15" s="1"/>
  <c r="M34" i="14"/>
  <c r="H9" i="15" s="1"/>
  <c r="N34" i="14"/>
  <c r="P34" i="14"/>
  <c r="K9" i="15" s="1"/>
  <c r="H35" i="14"/>
  <c r="I35" i="14"/>
  <c r="J35" i="14"/>
  <c r="L35" i="14"/>
  <c r="M35" i="14"/>
  <c r="N35" i="14"/>
  <c r="P35" i="14"/>
  <c r="H36" i="14"/>
  <c r="I36" i="14"/>
  <c r="J36" i="14"/>
  <c r="K36" i="14" s="1"/>
  <c r="L36" i="14"/>
  <c r="M36" i="14"/>
  <c r="N36" i="14"/>
  <c r="P36" i="14"/>
  <c r="H37" i="14"/>
  <c r="I37" i="14"/>
  <c r="J37" i="14"/>
  <c r="L37" i="14"/>
  <c r="Z37" i="14" s="1"/>
  <c r="M37" i="14"/>
  <c r="AA37" i="14" s="1"/>
  <c r="N37" i="14"/>
  <c r="P37" i="14"/>
  <c r="H38" i="14"/>
  <c r="I38" i="14"/>
  <c r="J38" i="14"/>
  <c r="K38" i="14" s="1"/>
  <c r="L38" i="14"/>
  <c r="M38" i="14"/>
  <c r="N38" i="14"/>
  <c r="P38" i="14"/>
  <c r="H39" i="14"/>
  <c r="C10" i="15" s="1"/>
  <c r="I39" i="14"/>
  <c r="D10" i="15" s="1"/>
  <c r="J39" i="14"/>
  <c r="E10" i="15" s="1"/>
  <c r="F10" i="15" s="1"/>
  <c r="L39" i="14"/>
  <c r="G10" i="15" s="1"/>
  <c r="M39" i="14"/>
  <c r="H10" i="15" s="1"/>
  <c r="N39" i="14"/>
  <c r="I10" i="15" s="1"/>
  <c r="P39" i="14"/>
  <c r="K10" i="15" s="1"/>
  <c r="H40" i="14"/>
  <c r="I40" i="14"/>
  <c r="J40" i="14"/>
  <c r="L40" i="14"/>
  <c r="G7" i="15" s="1"/>
  <c r="M40" i="14"/>
  <c r="H7" i="15" s="1"/>
  <c r="N40" i="14"/>
  <c r="I7" i="15" s="1"/>
  <c r="R45" i="15" s="1"/>
  <c r="P40" i="14"/>
  <c r="H41" i="14"/>
  <c r="C24" i="15" s="1"/>
  <c r="C37" i="15" s="1"/>
  <c r="I41" i="14"/>
  <c r="D24" i="15" s="1"/>
  <c r="D37" i="15" s="1"/>
  <c r="J41" i="14"/>
  <c r="L41" i="14"/>
  <c r="G24" i="15" s="1"/>
  <c r="G37" i="15" s="1"/>
  <c r="M41" i="14"/>
  <c r="N41" i="14"/>
  <c r="O41" i="14" s="1"/>
  <c r="P41" i="14"/>
  <c r="K24" i="15" s="1"/>
  <c r="K37" i="15" s="1"/>
  <c r="H42" i="14"/>
  <c r="C25" i="15" s="1"/>
  <c r="C38" i="15" s="1"/>
  <c r="I42" i="14"/>
  <c r="J42" i="14"/>
  <c r="E25" i="15" s="1"/>
  <c r="L42" i="14"/>
  <c r="G25" i="15" s="1"/>
  <c r="G38" i="15" s="1"/>
  <c r="M42" i="14"/>
  <c r="N42" i="14"/>
  <c r="P42" i="14"/>
  <c r="K25" i="15" s="1"/>
  <c r="K38" i="15" s="1"/>
  <c r="H43" i="14"/>
  <c r="I43" i="14"/>
  <c r="J43" i="14"/>
  <c r="L43" i="14"/>
  <c r="M43" i="14"/>
  <c r="N43" i="14"/>
  <c r="P43" i="14"/>
  <c r="H44" i="14"/>
  <c r="I44" i="14"/>
  <c r="J44" i="14"/>
  <c r="L44" i="14"/>
  <c r="M44" i="14"/>
  <c r="N44" i="14"/>
  <c r="P44" i="14"/>
  <c r="H45" i="14"/>
  <c r="I45" i="14"/>
  <c r="J45" i="14"/>
  <c r="L45" i="14"/>
  <c r="M45" i="14"/>
  <c r="N45" i="14"/>
  <c r="P45" i="14"/>
  <c r="H46" i="14"/>
  <c r="I46" i="14"/>
  <c r="J46" i="14"/>
  <c r="L46" i="14"/>
  <c r="M46" i="14"/>
  <c r="N46" i="14"/>
  <c r="P46" i="14"/>
  <c r="H47" i="14"/>
  <c r="I47" i="14"/>
  <c r="J47" i="14"/>
  <c r="L47" i="14"/>
  <c r="M47" i="14"/>
  <c r="AA47" i="14" s="1"/>
  <c r="N47" i="14"/>
  <c r="P47" i="14"/>
  <c r="H48" i="14"/>
  <c r="I48" i="14"/>
  <c r="J48" i="14"/>
  <c r="K48" i="14" s="1"/>
  <c r="L48" i="14"/>
  <c r="M48" i="14"/>
  <c r="N48" i="14"/>
  <c r="P48" i="14"/>
  <c r="H49" i="14"/>
  <c r="I49" i="14"/>
  <c r="D12" i="15" s="1"/>
  <c r="J49" i="14"/>
  <c r="L49" i="14"/>
  <c r="G12" i="15" s="1"/>
  <c r="M49" i="14"/>
  <c r="H12" i="15" s="1"/>
  <c r="N49" i="14"/>
  <c r="P49" i="14"/>
  <c r="H50" i="14"/>
  <c r="I50" i="14"/>
  <c r="J50" i="14"/>
  <c r="K50" i="14" s="1"/>
  <c r="L50" i="14"/>
  <c r="M50" i="14"/>
  <c r="N50" i="14"/>
  <c r="P50" i="14"/>
  <c r="H51" i="14"/>
  <c r="I51" i="14"/>
  <c r="J51" i="14"/>
  <c r="L51" i="14"/>
  <c r="M51" i="14"/>
  <c r="N51" i="14"/>
  <c r="P51" i="14"/>
  <c r="H52" i="14"/>
  <c r="I52" i="14"/>
  <c r="J52" i="14"/>
  <c r="L52" i="14"/>
  <c r="G6" i="15" s="1"/>
  <c r="M52" i="14"/>
  <c r="H6" i="15" s="1"/>
  <c r="N52" i="14"/>
  <c r="I6" i="15" s="1"/>
  <c r="P52" i="14"/>
  <c r="H53" i="14"/>
  <c r="I53" i="14"/>
  <c r="J53" i="14"/>
  <c r="L53" i="14"/>
  <c r="M53" i="14"/>
  <c r="N53" i="14"/>
  <c r="O53" i="14" s="1"/>
  <c r="P53" i="14"/>
  <c r="H54" i="14"/>
  <c r="I54" i="14"/>
  <c r="J54" i="14"/>
  <c r="L54" i="14"/>
  <c r="M54" i="14"/>
  <c r="N54" i="14"/>
  <c r="P54" i="14"/>
  <c r="H55" i="14"/>
  <c r="I55" i="14"/>
  <c r="J55" i="14"/>
  <c r="L55" i="14"/>
  <c r="M55" i="14"/>
  <c r="N55" i="14"/>
  <c r="P55" i="14"/>
  <c r="H56" i="14"/>
  <c r="I56" i="14"/>
  <c r="J56" i="14"/>
  <c r="L56" i="14"/>
  <c r="M56" i="14"/>
  <c r="N56" i="14"/>
  <c r="P56" i="14"/>
  <c r="H57" i="14"/>
  <c r="I57" i="14"/>
  <c r="J57" i="14"/>
  <c r="L57" i="14"/>
  <c r="M57" i="14"/>
  <c r="N57" i="14"/>
  <c r="P57" i="14"/>
  <c r="H58" i="14"/>
  <c r="I58" i="14"/>
  <c r="J58" i="14"/>
  <c r="L58" i="14"/>
  <c r="M58" i="14"/>
  <c r="N58" i="14"/>
  <c r="P58" i="14"/>
  <c r="H59" i="14"/>
  <c r="I59" i="14"/>
  <c r="J59" i="14"/>
  <c r="L59" i="14"/>
  <c r="G11" i="15" s="1"/>
  <c r="M59" i="14"/>
  <c r="AA59" i="14" s="1"/>
  <c r="R11" i="15" s="1"/>
  <c r="V60" i="15" s="1"/>
  <c r="N59" i="14"/>
  <c r="P59" i="14"/>
  <c r="H60" i="14"/>
  <c r="C3" i="15" s="1"/>
  <c r="I60" i="14"/>
  <c r="J60" i="14"/>
  <c r="K60" i="14" s="1"/>
  <c r="L60" i="14"/>
  <c r="G3" i="15" s="1"/>
  <c r="M60" i="14"/>
  <c r="H3" i="15" s="1"/>
  <c r="N60" i="14"/>
  <c r="P60" i="14"/>
  <c r="K3" i="15" s="1"/>
  <c r="H61" i="14"/>
  <c r="I61" i="14"/>
  <c r="J61" i="14"/>
  <c r="L61" i="14"/>
  <c r="M61" i="14"/>
  <c r="N61" i="14"/>
  <c r="P61" i="14"/>
  <c r="H62" i="14"/>
  <c r="I62" i="14"/>
  <c r="J62" i="14"/>
  <c r="K62" i="14" s="1"/>
  <c r="L62" i="14"/>
  <c r="M62" i="14"/>
  <c r="N62" i="14"/>
  <c r="P62" i="14"/>
  <c r="H63" i="14"/>
  <c r="I63" i="14"/>
  <c r="J63" i="14"/>
  <c r="L63" i="14"/>
  <c r="M63" i="14"/>
  <c r="N63" i="14"/>
  <c r="P63" i="14"/>
  <c r="H64" i="14"/>
  <c r="I64" i="14"/>
  <c r="J64" i="14"/>
  <c r="L64" i="14"/>
  <c r="M64" i="14"/>
  <c r="N64" i="14"/>
  <c r="P64" i="14"/>
  <c r="H65" i="14"/>
  <c r="I65" i="14"/>
  <c r="J65" i="14"/>
  <c r="L65" i="14"/>
  <c r="M65" i="14"/>
  <c r="N65" i="14"/>
  <c r="O65" i="14" s="1"/>
  <c r="P65" i="14"/>
  <c r="H66" i="14"/>
  <c r="I66" i="14"/>
  <c r="J66" i="14"/>
  <c r="L66" i="14"/>
  <c r="M66" i="14"/>
  <c r="N66" i="14"/>
  <c r="P66" i="14"/>
  <c r="H67" i="14"/>
  <c r="I67" i="14"/>
  <c r="J67" i="14"/>
  <c r="L67" i="14"/>
  <c r="M67" i="14"/>
  <c r="N67" i="14"/>
  <c r="P67" i="14"/>
  <c r="H68" i="14"/>
  <c r="I68" i="14"/>
  <c r="J68" i="14"/>
  <c r="L68" i="14"/>
  <c r="M68" i="14"/>
  <c r="N68" i="14"/>
  <c r="P68" i="14"/>
  <c r="H69" i="14"/>
  <c r="I69" i="14"/>
  <c r="J69" i="14"/>
  <c r="L69" i="14"/>
  <c r="M69" i="14"/>
  <c r="N69" i="14"/>
  <c r="P69" i="14"/>
  <c r="H70" i="14"/>
  <c r="I70" i="14"/>
  <c r="J70" i="14"/>
  <c r="L70" i="14"/>
  <c r="M70" i="14"/>
  <c r="N70" i="14"/>
  <c r="P70" i="14"/>
  <c r="H71" i="14"/>
  <c r="I71" i="14"/>
  <c r="J71" i="14"/>
  <c r="L71" i="14"/>
  <c r="M71" i="14"/>
  <c r="AA71" i="14" s="1"/>
  <c r="N71" i="14"/>
  <c r="P71" i="14"/>
  <c r="H72" i="14"/>
  <c r="I72" i="14"/>
  <c r="J72" i="14"/>
  <c r="K72" i="14" s="1"/>
  <c r="L72" i="14"/>
  <c r="M72" i="14"/>
  <c r="N72" i="14"/>
  <c r="P72" i="14"/>
  <c r="H73" i="14"/>
  <c r="I73" i="14"/>
  <c r="J73" i="14"/>
  <c r="L73" i="14"/>
  <c r="M73" i="14"/>
  <c r="N73" i="14"/>
  <c r="P73" i="14"/>
  <c r="H74" i="14"/>
  <c r="I74" i="14"/>
  <c r="J74" i="14"/>
  <c r="K74" i="14" s="1"/>
  <c r="L74" i="14"/>
  <c r="M74" i="14"/>
  <c r="N74" i="14"/>
  <c r="P74" i="14"/>
  <c r="H75" i="14"/>
  <c r="I75" i="14"/>
  <c r="J75" i="14"/>
  <c r="L75" i="14"/>
  <c r="M75" i="14"/>
  <c r="N75" i="14"/>
  <c r="O75" i="14" s="1"/>
  <c r="P75" i="14"/>
  <c r="J1" i="14"/>
  <c r="K1" i="14"/>
  <c r="M1" i="14"/>
  <c r="N1" i="14"/>
  <c r="O1" i="14"/>
  <c r="P1" i="14"/>
  <c r="X15" i="7"/>
  <c r="V15" i="7"/>
  <c r="AB7" i="7"/>
  <c r="AB6" i="7"/>
  <c r="AB5" i="7"/>
  <c r="Z5" i="7"/>
  <c r="P5" i="7"/>
  <c r="N5" i="7"/>
  <c r="Z80" i="7"/>
  <c r="AB12" i="7"/>
  <c r="Z12" i="7"/>
  <c r="X12" i="7"/>
  <c r="V12" i="7"/>
  <c r="AB9" i="7"/>
  <c r="Z9" i="7"/>
  <c r="AB10" i="7"/>
  <c r="Z10" i="7"/>
  <c r="X10" i="7"/>
  <c r="X9" i="7"/>
  <c r="V9" i="7"/>
  <c r="V10" i="7"/>
  <c r="C16" i="7"/>
  <c r="K15" i="7"/>
  <c r="AB69" i="7"/>
  <c r="AB68" i="7"/>
  <c r="Z69" i="7"/>
  <c r="Z68" i="7"/>
  <c r="AB40" i="7"/>
  <c r="AB39" i="7"/>
  <c r="Z40" i="7"/>
  <c r="Z39" i="7"/>
  <c r="X64" i="7"/>
  <c r="X63" i="7"/>
  <c r="X35" i="7"/>
  <c r="X34" i="7"/>
  <c r="V64" i="7"/>
  <c r="V63" i="7"/>
  <c r="V34" i="7"/>
  <c r="V35" i="7"/>
  <c r="AB17" i="7"/>
  <c r="Z17" i="7"/>
  <c r="AB15" i="7"/>
  <c r="Z15" i="7"/>
  <c r="AA15" i="7"/>
  <c r="Y15" i="7"/>
  <c r="U15" i="7"/>
  <c r="W15" i="7"/>
  <c r="U5" i="7"/>
  <c r="V5" i="7"/>
  <c r="W5" i="7"/>
  <c r="X5" i="7"/>
  <c r="Y5" i="7"/>
  <c r="AA5" i="7"/>
  <c r="U6" i="7"/>
  <c r="V6" i="7"/>
  <c r="W6" i="7"/>
  <c r="X6" i="7"/>
  <c r="Y6" i="7"/>
  <c r="Z6" i="7"/>
  <c r="AA6" i="7"/>
  <c r="U7" i="7"/>
  <c r="V7" i="7"/>
  <c r="W7" i="7"/>
  <c r="X7" i="7"/>
  <c r="Y7" i="7"/>
  <c r="Z7" i="7"/>
  <c r="AA7" i="7"/>
  <c r="U8" i="7"/>
  <c r="V8" i="7"/>
  <c r="W8" i="7"/>
  <c r="X8" i="7"/>
  <c r="Y8" i="7"/>
  <c r="Z8" i="7"/>
  <c r="AA8" i="7"/>
  <c r="AB8" i="7"/>
  <c r="U9" i="7"/>
  <c r="W9" i="7"/>
  <c r="Y9" i="7"/>
  <c r="AA9" i="7"/>
  <c r="U10" i="7"/>
  <c r="W10" i="7"/>
  <c r="Y10" i="7"/>
  <c r="AA10" i="7"/>
  <c r="U11" i="7"/>
  <c r="V11" i="7"/>
  <c r="W11" i="7"/>
  <c r="X11" i="7"/>
  <c r="Y11" i="7"/>
  <c r="Z11" i="7"/>
  <c r="AA11" i="7"/>
  <c r="AB11" i="7"/>
  <c r="U12" i="7"/>
  <c r="W12" i="7"/>
  <c r="Y12" i="7"/>
  <c r="AA12" i="7"/>
  <c r="U13" i="7"/>
  <c r="V13" i="7"/>
  <c r="W13" i="7"/>
  <c r="X13" i="7"/>
  <c r="Y13" i="7"/>
  <c r="Z13" i="7"/>
  <c r="AA13" i="7"/>
  <c r="AB13" i="7"/>
  <c r="U14" i="7"/>
  <c r="V14" i="7"/>
  <c r="W14" i="7"/>
  <c r="X14" i="7"/>
  <c r="Y14" i="7"/>
  <c r="Z14" i="7"/>
  <c r="AA14" i="7"/>
  <c r="AB14" i="7"/>
  <c r="W16" i="7"/>
  <c r="X16" i="7"/>
  <c r="Y16" i="7"/>
  <c r="Z16" i="7"/>
  <c r="AA16" i="7"/>
  <c r="AB16" i="7"/>
  <c r="U17" i="7"/>
  <c r="V17" i="7"/>
  <c r="W17" i="7"/>
  <c r="X17" i="7"/>
  <c r="Y17" i="7"/>
  <c r="AA17" i="7"/>
  <c r="U18" i="7"/>
  <c r="V18" i="7"/>
  <c r="W18" i="7"/>
  <c r="X18" i="7"/>
  <c r="Y18" i="7"/>
  <c r="Z18" i="7"/>
  <c r="AA18" i="7"/>
  <c r="AB18" i="7"/>
  <c r="U19" i="7"/>
  <c r="V19" i="7"/>
  <c r="W19" i="7"/>
  <c r="X19" i="7"/>
  <c r="Y19" i="7"/>
  <c r="Z19" i="7"/>
  <c r="AA19" i="7"/>
  <c r="AB19" i="7"/>
  <c r="U21" i="7"/>
  <c r="V21" i="7"/>
  <c r="W21" i="7"/>
  <c r="X21" i="7"/>
  <c r="Y21" i="7"/>
  <c r="Z21" i="7"/>
  <c r="AA21" i="7"/>
  <c r="AB21" i="7"/>
  <c r="U22" i="7"/>
  <c r="V22" i="7"/>
  <c r="W22" i="7"/>
  <c r="X22" i="7"/>
  <c r="Y22" i="7"/>
  <c r="Z22" i="7"/>
  <c r="AA22" i="7"/>
  <c r="AB22" i="7"/>
  <c r="U23" i="7"/>
  <c r="V23" i="7"/>
  <c r="W23" i="7"/>
  <c r="X23" i="7"/>
  <c r="Y23" i="7"/>
  <c r="Z23" i="7"/>
  <c r="AA23" i="7"/>
  <c r="AB23" i="7"/>
  <c r="U24" i="7"/>
  <c r="V24" i="7"/>
  <c r="W24" i="7"/>
  <c r="X24" i="7"/>
  <c r="Y24" i="7"/>
  <c r="Z24" i="7"/>
  <c r="AA24" i="7"/>
  <c r="AB24" i="7"/>
  <c r="U25" i="7"/>
  <c r="V25" i="7"/>
  <c r="W25" i="7"/>
  <c r="X25" i="7"/>
  <c r="Y25" i="7"/>
  <c r="Z25" i="7"/>
  <c r="AA25" i="7"/>
  <c r="AB25" i="7"/>
  <c r="U26" i="7"/>
  <c r="V26" i="7"/>
  <c r="W26" i="7"/>
  <c r="X26" i="7"/>
  <c r="Y26" i="7"/>
  <c r="Z26" i="7"/>
  <c r="AA26" i="7"/>
  <c r="AB26" i="7"/>
  <c r="U27" i="7"/>
  <c r="V27" i="7"/>
  <c r="W27" i="7"/>
  <c r="X27" i="7"/>
  <c r="Y27" i="7"/>
  <c r="Z27" i="7"/>
  <c r="AA27" i="7"/>
  <c r="AB27" i="7"/>
  <c r="U28" i="7"/>
  <c r="V28" i="7"/>
  <c r="W28" i="7"/>
  <c r="X28" i="7"/>
  <c r="Y28" i="7"/>
  <c r="Z28" i="7"/>
  <c r="AA28" i="7"/>
  <c r="AB28" i="7"/>
  <c r="U29" i="7"/>
  <c r="V29" i="7"/>
  <c r="W29" i="7"/>
  <c r="X29" i="7"/>
  <c r="Y29" i="7"/>
  <c r="Z29" i="7"/>
  <c r="AA29" i="7"/>
  <c r="AB29" i="7"/>
  <c r="U30" i="7"/>
  <c r="V30" i="7"/>
  <c r="W30" i="7"/>
  <c r="X30" i="7"/>
  <c r="Y30" i="7"/>
  <c r="Z30" i="7"/>
  <c r="AA30" i="7"/>
  <c r="AB30" i="7"/>
  <c r="U31" i="7"/>
  <c r="V31" i="7"/>
  <c r="W31" i="7"/>
  <c r="X31" i="7"/>
  <c r="Y31" i="7"/>
  <c r="Z31" i="7"/>
  <c r="AA31" i="7"/>
  <c r="AB31" i="7"/>
  <c r="U32" i="7"/>
  <c r="V32" i="7"/>
  <c r="W32" i="7"/>
  <c r="X32" i="7"/>
  <c r="Y32" i="7"/>
  <c r="Z32" i="7"/>
  <c r="AA32" i="7"/>
  <c r="AB32" i="7"/>
  <c r="U33" i="7"/>
  <c r="V33" i="7"/>
  <c r="W33" i="7"/>
  <c r="X33" i="7"/>
  <c r="Y33" i="7"/>
  <c r="Z33" i="7"/>
  <c r="AA33" i="7"/>
  <c r="AB33" i="7"/>
  <c r="U34" i="7"/>
  <c r="W34" i="7"/>
  <c r="Y34" i="7"/>
  <c r="Z34" i="7"/>
  <c r="AA34" i="7"/>
  <c r="AB34" i="7"/>
  <c r="U35" i="7"/>
  <c r="W35" i="7"/>
  <c r="Y35" i="7"/>
  <c r="Z35" i="7"/>
  <c r="AA35" i="7"/>
  <c r="AB35" i="7"/>
  <c r="U36" i="7"/>
  <c r="V36" i="7"/>
  <c r="W36" i="7"/>
  <c r="X36" i="7"/>
  <c r="Y36" i="7"/>
  <c r="Z36" i="7"/>
  <c r="AA36" i="7"/>
  <c r="AB36" i="7"/>
  <c r="U37" i="7"/>
  <c r="V37" i="7"/>
  <c r="W37" i="7"/>
  <c r="X37" i="7"/>
  <c r="Y37" i="7"/>
  <c r="Z37" i="7"/>
  <c r="AA37" i="7"/>
  <c r="AB37" i="7"/>
  <c r="U38" i="7"/>
  <c r="V38" i="7"/>
  <c r="W38" i="7"/>
  <c r="X38" i="7"/>
  <c r="Y38" i="7"/>
  <c r="Z38" i="7"/>
  <c r="AA38" i="7"/>
  <c r="AB38" i="7"/>
  <c r="U39" i="7"/>
  <c r="V39" i="7"/>
  <c r="W39" i="7"/>
  <c r="X39" i="7"/>
  <c r="Y39" i="7"/>
  <c r="AA39" i="7"/>
  <c r="U40" i="7"/>
  <c r="V40" i="7"/>
  <c r="W40" i="7"/>
  <c r="X40" i="7"/>
  <c r="Y40" i="7"/>
  <c r="AA40" i="7"/>
  <c r="U41" i="7"/>
  <c r="V41" i="7"/>
  <c r="W41" i="7"/>
  <c r="X41" i="7"/>
  <c r="Y41" i="7"/>
  <c r="Z41" i="7"/>
  <c r="AA41" i="7"/>
  <c r="AB41" i="7"/>
  <c r="U42" i="7"/>
  <c r="V42" i="7"/>
  <c r="W42" i="7"/>
  <c r="X42" i="7"/>
  <c r="Y42" i="7"/>
  <c r="Z42" i="7"/>
  <c r="AA42" i="7"/>
  <c r="AB42" i="7"/>
  <c r="U43" i="7"/>
  <c r="V43" i="7"/>
  <c r="W43" i="7"/>
  <c r="X43" i="7"/>
  <c r="Y43" i="7"/>
  <c r="Z43" i="7"/>
  <c r="AA43" i="7"/>
  <c r="AB43" i="7"/>
  <c r="U44" i="7"/>
  <c r="V44" i="7"/>
  <c r="W44" i="7"/>
  <c r="X44" i="7"/>
  <c r="Y44" i="7"/>
  <c r="Z44" i="7"/>
  <c r="AA44" i="7"/>
  <c r="AB44" i="7"/>
  <c r="U45" i="7"/>
  <c r="V45" i="7"/>
  <c r="W45" i="7"/>
  <c r="X45" i="7"/>
  <c r="Y45" i="7"/>
  <c r="Z45" i="7"/>
  <c r="AA45" i="7"/>
  <c r="AB45" i="7"/>
  <c r="U46" i="7"/>
  <c r="V46" i="7"/>
  <c r="W46" i="7"/>
  <c r="X46" i="7"/>
  <c r="Y46" i="7"/>
  <c r="Z46" i="7"/>
  <c r="AA46" i="7"/>
  <c r="AB46" i="7"/>
  <c r="U47" i="7"/>
  <c r="V47" i="7"/>
  <c r="W47" i="7"/>
  <c r="X47" i="7"/>
  <c r="Y47" i="7"/>
  <c r="Z47" i="7"/>
  <c r="AA47" i="7"/>
  <c r="AB47" i="7"/>
  <c r="U48" i="7"/>
  <c r="V48" i="7"/>
  <c r="W48" i="7"/>
  <c r="X48" i="7"/>
  <c r="Y48" i="7"/>
  <c r="Z48" i="7"/>
  <c r="AA48" i="7"/>
  <c r="AB48" i="7"/>
  <c r="U49" i="7"/>
  <c r="V49" i="7"/>
  <c r="W49" i="7"/>
  <c r="X49" i="7"/>
  <c r="Y49" i="7"/>
  <c r="Z49" i="7"/>
  <c r="AA49" i="7"/>
  <c r="AB49" i="7"/>
  <c r="U50" i="7"/>
  <c r="V50" i="7"/>
  <c r="W50" i="7"/>
  <c r="X50" i="7"/>
  <c r="Y50" i="7"/>
  <c r="Z50" i="7"/>
  <c r="AA50" i="7"/>
  <c r="AB50" i="7"/>
  <c r="U51" i="7"/>
  <c r="V51" i="7"/>
  <c r="W51" i="7"/>
  <c r="X51" i="7"/>
  <c r="Y51" i="7"/>
  <c r="Z51" i="7"/>
  <c r="AA51" i="7"/>
  <c r="AB51" i="7"/>
  <c r="U52" i="7"/>
  <c r="V52" i="7"/>
  <c r="W52" i="7"/>
  <c r="X52" i="7"/>
  <c r="Y52" i="7"/>
  <c r="Z52" i="7"/>
  <c r="AA52" i="7"/>
  <c r="AB52" i="7"/>
  <c r="U53" i="7"/>
  <c r="V53" i="7"/>
  <c r="W53" i="7"/>
  <c r="X53" i="7"/>
  <c r="Y53" i="7"/>
  <c r="Z53" i="7"/>
  <c r="AA53" i="7"/>
  <c r="AB53" i="7"/>
  <c r="U54" i="7"/>
  <c r="V54" i="7"/>
  <c r="W54" i="7"/>
  <c r="X54" i="7"/>
  <c r="Y54" i="7"/>
  <c r="Z54" i="7"/>
  <c r="AA54" i="7"/>
  <c r="AB54" i="7"/>
  <c r="U55" i="7"/>
  <c r="V55" i="7"/>
  <c r="W55" i="7"/>
  <c r="X55" i="7"/>
  <c r="Y55" i="7"/>
  <c r="Z55" i="7"/>
  <c r="AA55" i="7"/>
  <c r="AB55" i="7"/>
  <c r="U56" i="7"/>
  <c r="V56" i="7"/>
  <c r="W56" i="7"/>
  <c r="X56" i="7"/>
  <c r="Y56" i="7"/>
  <c r="Z56" i="7"/>
  <c r="AA56" i="7"/>
  <c r="AB56" i="7"/>
  <c r="U57" i="7"/>
  <c r="V57" i="7"/>
  <c r="W57" i="7"/>
  <c r="X57" i="7"/>
  <c r="Y57" i="7"/>
  <c r="Z57" i="7"/>
  <c r="AA57" i="7"/>
  <c r="AB57" i="7"/>
  <c r="U58" i="7"/>
  <c r="V58" i="7"/>
  <c r="W58" i="7"/>
  <c r="X58" i="7"/>
  <c r="Y58" i="7"/>
  <c r="Z58" i="7"/>
  <c r="AA58" i="7"/>
  <c r="AB58" i="7"/>
  <c r="U59" i="7"/>
  <c r="V59" i="7"/>
  <c r="W59" i="7"/>
  <c r="X59" i="7"/>
  <c r="Y59" i="7"/>
  <c r="Z59" i="7"/>
  <c r="AA59" i="7"/>
  <c r="AB59" i="7"/>
  <c r="U60" i="7"/>
  <c r="V60" i="7"/>
  <c r="W60" i="7"/>
  <c r="X60" i="7"/>
  <c r="Y60" i="7"/>
  <c r="Z60" i="7"/>
  <c r="AA60" i="7"/>
  <c r="AB60" i="7"/>
  <c r="U61" i="7"/>
  <c r="V61" i="7"/>
  <c r="W61" i="7"/>
  <c r="X61" i="7"/>
  <c r="Y61" i="7"/>
  <c r="Z61" i="7"/>
  <c r="AA61" i="7"/>
  <c r="AB61" i="7"/>
  <c r="U62" i="7"/>
  <c r="V62" i="7"/>
  <c r="W62" i="7"/>
  <c r="X62" i="7"/>
  <c r="Y62" i="7"/>
  <c r="Z62" i="7"/>
  <c r="AA62" i="7"/>
  <c r="AB62" i="7"/>
  <c r="U63" i="7"/>
  <c r="W63" i="7"/>
  <c r="Y63" i="7"/>
  <c r="Z63" i="7"/>
  <c r="AA63" i="7"/>
  <c r="AB63" i="7"/>
  <c r="U64" i="7"/>
  <c r="W64" i="7"/>
  <c r="Y64" i="7"/>
  <c r="Z64" i="7"/>
  <c r="AA64" i="7"/>
  <c r="AB64" i="7"/>
  <c r="U65" i="7"/>
  <c r="V65" i="7"/>
  <c r="W65" i="7"/>
  <c r="X65" i="7"/>
  <c r="Y65" i="7"/>
  <c r="Z65" i="7"/>
  <c r="AA65" i="7"/>
  <c r="AB65" i="7"/>
  <c r="U66" i="7"/>
  <c r="V66" i="7"/>
  <c r="W66" i="7"/>
  <c r="X66" i="7"/>
  <c r="Y66" i="7"/>
  <c r="Z66" i="7"/>
  <c r="AA66" i="7"/>
  <c r="AB66" i="7"/>
  <c r="U67" i="7"/>
  <c r="V67" i="7"/>
  <c r="W67" i="7"/>
  <c r="X67" i="7"/>
  <c r="Y67" i="7"/>
  <c r="Z67" i="7"/>
  <c r="AA67" i="7"/>
  <c r="AB67" i="7"/>
  <c r="U68" i="7"/>
  <c r="V68" i="7"/>
  <c r="W68" i="7"/>
  <c r="X68" i="7"/>
  <c r="Y68" i="7"/>
  <c r="AA68" i="7"/>
  <c r="U69" i="7"/>
  <c r="V69" i="7"/>
  <c r="W69" i="7"/>
  <c r="X69" i="7"/>
  <c r="Y69" i="7"/>
  <c r="AA69" i="7"/>
  <c r="U70" i="7"/>
  <c r="V70" i="7"/>
  <c r="W70" i="7"/>
  <c r="X70" i="7"/>
  <c r="Y70" i="7"/>
  <c r="Z70" i="7"/>
  <c r="AA70" i="7"/>
  <c r="AB70" i="7"/>
  <c r="U71" i="7"/>
  <c r="V71" i="7"/>
  <c r="W71" i="7"/>
  <c r="X71" i="7"/>
  <c r="Y71" i="7"/>
  <c r="Z71" i="7"/>
  <c r="AA71" i="7"/>
  <c r="AB71" i="7"/>
  <c r="U72" i="7"/>
  <c r="V72" i="7"/>
  <c r="W72" i="7"/>
  <c r="X72" i="7"/>
  <c r="Y72" i="7"/>
  <c r="Z72" i="7"/>
  <c r="AA72" i="7"/>
  <c r="AB72" i="7"/>
  <c r="U73" i="7"/>
  <c r="V73" i="7"/>
  <c r="W73" i="7"/>
  <c r="X73" i="7"/>
  <c r="Y73" i="7"/>
  <c r="Z73" i="7"/>
  <c r="AA73" i="7"/>
  <c r="AB73" i="7"/>
  <c r="U74" i="7"/>
  <c r="V74" i="7"/>
  <c r="W74" i="7"/>
  <c r="X74" i="7"/>
  <c r="Y74" i="7"/>
  <c r="Z74" i="7"/>
  <c r="AA74" i="7"/>
  <c r="AB74" i="7"/>
  <c r="U75" i="7"/>
  <c r="V75" i="7"/>
  <c r="W75" i="7"/>
  <c r="X75" i="7"/>
  <c r="Y75" i="7"/>
  <c r="Z75" i="7"/>
  <c r="AA75" i="7"/>
  <c r="AB75" i="7"/>
  <c r="U76" i="7"/>
  <c r="V76" i="7"/>
  <c r="W76" i="7"/>
  <c r="X76" i="7"/>
  <c r="Y76" i="7"/>
  <c r="Z76" i="7"/>
  <c r="AA76" i="7"/>
  <c r="AB76" i="7"/>
  <c r="U77" i="7"/>
  <c r="V77" i="7"/>
  <c r="W77" i="7"/>
  <c r="X77" i="7"/>
  <c r="Y77" i="7"/>
  <c r="Z77" i="7"/>
  <c r="AA77" i="7"/>
  <c r="AB77" i="7"/>
  <c r="U78" i="7"/>
  <c r="V78" i="7"/>
  <c r="W78" i="7"/>
  <c r="X78" i="7"/>
  <c r="Y78" i="7"/>
  <c r="Z78" i="7"/>
  <c r="AA78" i="7"/>
  <c r="AB78" i="7"/>
  <c r="U80" i="7"/>
  <c r="V80" i="7"/>
  <c r="W80" i="7"/>
  <c r="X80" i="7"/>
  <c r="Y80" i="7"/>
  <c r="AA80" i="7"/>
  <c r="AB80" i="7"/>
  <c r="U81" i="7"/>
  <c r="V81" i="7"/>
  <c r="W81" i="7"/>
  <c r="X81" i="7"/>
  <c r="Y81" i="7"/>
  <c r="Z81" i="7"/>
  <c r="AA81" i="7"/>
  <c r="AB81" i="7"/>
  <c r="U82" i="7"/>
  <c r="V82" i="7"/>
  <c r="W82" i="7"/>
  <c r="X82" i="7"/>
  <c r="Y82" i="7"/>
  <c r="Z82" i="7"/>
  <c r="AA82" i="7"/>
  <c r="AB82" i="7"/>
  <c r="U83" i="7"/>
  <c r="V83" i="7"/>
  <c r="W83" i="7"/>
  <c r="X83" i="7"/>
  <c r="Y83" i="7"/>
  <c r="Z83" i="7"/>
  <c r="AA83" i="7"/>
  <c r="AB83" i="7"/>
  <c r="U84" i="7"/>
  <c r="V84" i="7"/>
  <c r="W84" i="7"/>
  <c r="X84" i="7"/>
  <c r="Y84" i="7"/>
  <c r="Z84" i="7"/>
  <c r="AA84" i="7"/>
  <c r="AB84" i="7"/>
  <c r="U85" i="7"/>
  <c r="V85" i="7"/>
  <c r="W85" i="7"/>
  <c r="X85" i="7"/>
  <c r="Y85" i="7"/>
  <c r="Z85" i="7"/>
  <c r="AA85" i="7"/>
  <c r="AB85" i="7"/>
  <c r="U86" i="7"/>
  <c r="V86" i="7"/>
  <c r="W86" i="7"/>
  <c r="X86" i="7"/>
  <c r="Y86" i="7"/>
  <c r="Z86" i="7"/>
  <c r="AA86" i="7"/>
  <c r="AB86" i="7"/>
  <c r="U87" i="7"/>
  <c r="V87" i="7"/>
  <c r="W87" i="7"/>
  <c r="X87" i="7"/>
  <c r="Y87" i="7"/>
  <c r="Z87" i="7"/>
  <c r="AA87" i="7"/>
  <c r="AB87" i="7"/>
  <c r="U88" i="7"/>
  <c r="V88" i="7"/>
  <c r="W88" i="7"/>
  <c r="X88" i="7"/>
  <c r="Y88" i="7"/>
  <c r="Z88" i="7"/>
  <c r="AA88" i="7"/>
  <c r="AB88" i="7"/>
  <c r="V4" i="7"/>
  <c r="W4" i="7"/>
  <c r="X4" i="7"/>
  <c r="Y4" i="7"/>
  <c r="Z4" i="7"/>
  <c r="AA4" i="7"/>
  <c r="AB4" i="7"/>
  <c r="U4" i="7"/>
  <c r="E38" i="15" l="1"/>
  <c r="E33" i="15"/>
  <c r="F20" i="15"/>
  <c r="E36" i="15"/>
  <c r="E35" i="15"/>
  <c r="F22" i="15"/>
  <c r="K70" i="14"/>
  <c r="K58" i="14"/>
  <c r="K46" i="14"/>
  <c r="K34" i="14"/>
  <c r="K22" i="14"/>
  <c r="K10" i="14"/>
  <c r="J10" i="15"/>
  <c r="J6" i="15"/>
  <c r="J5" i="15"/>
  <c r="J4" i="15"/>
  <c r="Q45" i="15"/>
  <c r="J7" i="15"/>
  <c r="H36" i="15"/>
  <c r="J23" i="15"/>
  <c r="H34" i="15"/>
  <c r="J21" i="15"/>
  <c r="H32" i="15"/>
  <c r="H31" i="15"/>
  <c r="S72" i="14"/>
  <c r="S36" i="14"/>
  <c r="S71" i="14"/>
  <c r="S47" i="14"/>
  <c r="S35" i="14"/>
  <c r="S29" i="14"/>
  <c r="S17" i="14"/>
  <c r="S11" i="14"/>
  <c r="S5" i="14"/>
  <c r="S52" i="14"/>
  <c r="AB74" i="14"/>
  <c r="O59" i="14"/>
  <c r="O47" i="14"/>
  <c r="O35" i="14"/>
  <c r="S45" i="15"/>
  <c r="AA58" i="14"/>
  <c r="AA46" i="14"/>
  <c r="AA75" i="14"/>
  <c r="K65" i="14"/>
  <c r="AA63" i="14"/>
  <c r="K53" i="14"/>
  <c r="K41" i="14"/>
  <c r="K29" i="14"/>
  <c r="K17" i="14"/>
  <c r="K5" i="14"/>
  <c r="S44" i="14"/>
  <c r="O23" i="14"/>
  <c r="O11" i="14"/>
  <c r="S59" i="14"/>
  <c r="S12" i="14"/>
  <c r="S48" i="14"/>
  <c r="S23" i="14"/>
  <c r="H20" i="15"/>
  <c r="E18" i="15"/>
  <c r="M23" i="15"/>
  <c r="M36" i="15" s="1"/>
  <c r="S16" i="14"/>
  <c r="S4" i="14"/>
  <c r="Z2" i="14"/>
  <c r="K12" i="15"/>
  <c r="K14" i="15" s="1"/>
  <c r="AB70" i="14"/>
  <c r="O58" i="14"/>
  <c r="O46" i="14"/>
  <c r="O34" i="14"/>
  <c r="O22" i="14"/>
  <c r="O10" i="14"/>
  <c r="S60" i="14"/>
  <c r="AB46" i="14"/>
  <c r="O73" i="14"/>
  <c r="O61" i="14"/>
  <c r="O49" i="14"/>
  <c r="O37" i="14"/>
  <c r="O25" i="14"/>
  <c r="O13" i="14"/>
  <c r="O71" i="14"/>
  <c r="AA27" i="14"/>
  <c r="R22" i="15" s="1"/>
  <c r="R35" i="15" s="1"/>
  <c r="AA51" i="14"/>
  <c r="M7" i="15"/>
  <c r="M6" i="15"/>
  <c r="M4" i="15"/>
  <c r="M8" i="15" s="1"/>
  <c r="M12" i="15"/>
  <c r="M14" i="15" s="1"/>
  <c r="M19" i="15"/>
  <c r="M32" i="15" s="1"/>
  <c r="S37" i="14"/>
  <c r="M20" i="15"/>
  <c r="M33" i="15" s="1"/>
  <c r="M11" i="15"/>
  <c r="S66" i="14"/>
  <c r="S54" i="14"/>
  <c r="S42" i="14"/>
  <c r="S30" i="14"/>
  <c r="S18" i="14"/>
  <c r="S6" i="14"/>
  <c r="L18" i="15"/>
  <c r="L31" i="15" s="1"/>
  <c r="AA29" i="14"/>
  <c r="AA17" i="14"/>
  <c r="AA5" i="14"/>
  <c r="S75" i="14"/>
  <c r="S63" i="14"/>
  <c r="S51" i="14"/>
  <c r="S39" i="14"/>
  <c r="S27" i="14"/>
  <c r="S15" i="14"/>
  <c r="S3" i="14"/>
  <c r="AA70" i="14"/>
  <c r="S70" i="14"/>
  <c r="S58" i="14"/>
  <c r="S46" i="14"/>
  <c r="S34" i="14"/>
  <c r="S22" i="14"/>
  <c r="S10" i="14"/>
  <c r="L7" i="15"/>
  <c r="S65" i="14"/>
  <c r="S53" i="14"/>
  <c r="S41" i="14"/>
  <c r="S67" i="14"/>
  <c r="S55" i="14"/>
  <c r="S43" i="14"/>
  <c r="S31" i="14"/>
  <c r="S7" i="14"/>
  <c r="AA66" i="14"/>
  <c r="AA54" i="14"/>
  <c r="AA42" i="14"/>
  <c r="R25" i="15" s="1"/>
  <c r="R38" i="15" s="1"/>
  <c r="D46" i="15" s="1"/>
  <c r="S74" i="14"/>
  <c r="S62" i="14"/>
  <c r="S50" i="14"/>
  <c r="S38" i="14"/>
  <c r="S26" i="14"/>
  <c r="S14" i="14"/>
  <c r="S2" i="14"/>
  <c r="K22" i="15"/>
  <c r="K35" i="15" s="1"/>
  <c r="K6" i="15"/>
  <c r="Z46" i="14"/>
  <c r="K11" i="15"/>
  <c r="Z70" i="14"/>
  <c r="Z20" i="14"/>
  <c r="K7" i="15"/>
  <c r="K13" i="15" s="1"/>
  <c r="Z68" i="14"/>
  <c r="AA12" i="14"/>
  <c r="Z24" i="14"/>
  <c r="Q19" i="15" s="1"/>
  <c r="Q32" i="15" s="1"/>
  <c r="AB4" i="14"/>
  <c r="AA67" i="14"/>
  <c r="AA73" i="14"/>
  <c r="AA61" i="14"/>
  <c r="AB50" i="14"/>
  <c r="AA21" i="14"/>
  <c r="R17" i="15" s="1"/>
  <c r="R30" i="15" s="1"/>
  <c r="AA9" i="14"/>
  <c r="AA74" i="14"/>
  <c r="AC74" i="14" s="1"/>
  <c r="AA62" i="14"/>
  <c r="AA50" i="14"/>
  <c r="AA38" i="14"/>
  <c r="AA55" i="14"/>
  <c r="AA43" i="14"/>
  <c r="I11" i="15"/>
  <c r="I18" i="15"/>
  <c r="I31" i="15" s="1"/>
  <c r="AB11" i="14"/>
  <c r="AB20" i="14"/>
  <c r="I19" i="15"/>
  <c r="I32" i="15" s="1"/>
  <c r="AB16" i="14"/>
  <c r="AC46" i="14"/>
  <c r="H25" i="15"/>
  <c r="AA23" i="14"/>
  <c r="AA11" i="14"/>
  <c r="O72" i="14"/>
  <c r="O60" i="14"/>
  <c r="O48" i="14"/>
  <c r="O36" i="14"/>
  <c r="O24" i="14"/>
  <c r="O12" i="14"/>
  <c r="AA69" i="14"/>
  <c r="AA57" i="14"/>
  <c r="AA45" i="14"/>
  <c r="O8" i="14"/>
  <c r="H17" i="15"/>
  <c r="H24" i="15"/>
  <c r="Z58" i="14"/>
  <c r="Z56" i="14"/>
  <c r="Z44" i="14"/>
  <c r="Z16" i="14"/>
  <c r="Z14" i="14"/>
  <c r="Z74" i="14"/>
  <c r="Z32" i="14"/>
  <c r="Q4" i="15" s="1"/>
  <c r="Z50" i="14"/>
  <c r="Z72" i="14"/>
  <c r="Z60" i="14"/>
  <c r="Q3" i="15" s="1"/>
  <c r="Z48" i="14"/>
  <c r="Z36" i="14"/>
  <c r="Z28" i="14"/>
  <c r="Q23" i="15" s="1"/>
  <c r="Q36" i="15" s="1"/>
  <c r="Z22" i="14"/>
  <c r="Q18" i="15" s="1"/>
  <c r="Q31" i="15" s="1"/>
  <c r="C44" i="15" s="1"/>
  <c r="Z10" i="14"/>
  <c r="AB54" i="14"/>
  <c r="AB31" i="14"/>
  <c r="AB19" i="14"/>
  <c r="AB7" i="14"/>
  <c r="AB24" i="14"/>
  <c r="S19" i="15" s="1"/>
  <c r="S32" i="15" s="1"/>
  <c r="AB75" i="14"/>
  <c r="AB63" i="14"/>
  <c r="AB15" i="14"/>
  <c r="AB68" i="14"/>
  <c r="AB56" i="14"/>
  <c r="AB44" i="14"/>
  <c r="AB12" i="14"/>
  <c r="I9" i="15"/>
  <c r="I8" i="15" s="1"/>
  <c r="AB73" i="14"/>
  <c r="AB66" i="14"/>
  <c r="AB42" i="14"/>
  <c r="S25" i="15" s="1"/>
  <c r="S38" i="15" s="1"/>
  <c r="E46" i="15" s="1"/>
  <c r="AB8" i="14"/>
  <c r="I24" i="15"/>
  <c r="I37" i="15" s="1"/>
  <c r="AB3" i="14"/>
  <c r="AB30" i="14"/>
  <c r="AB18" i="14"/>
  <c r="AB6" i="14"/>
  <c r="AB37" i="14"/>
  <c r="AC37" i="14" s="1"/>
  <c r="I12" i="15"/>
  <c r="I14" i="15" s="1"/>
  <c r="I25" i="15"/>
  <c r="I38" i="15" s="1"/>
  <c r="AB23" i="14"/>
  <c r="AB62" i="14"/>
  <c r="AB51" i="14"/>
  <c r="AB58" i="14"/>
  <c r="AB32" i="14"/>
  <c r="S4" i="15" s="1"/>
  <c r="I3" i="15"/>
  <c r="I13" i="15" s="1"/>
  <c r="AA24" i="14"/>
  <c r="R19" i="15" s="1"/>
  <c r="R32" i="15" s="1"/>
  <c r="D47" i="15" s="1"/>
  <c r="H22" i="15"/>
  <c r="O70" i="14"/>
  <c r="AA26" i="14"/>
  <c r="R21" i="15" s="1"/>
  <c r="R34" i="15" s="1"/>
  <c r="AA14" i="14"/>
  <c r="AA2" i="14"/>
  <c r="AA33" i="14"/>
  <c r="R5" i="15" s="1"/>
  <c r="H11" i="15"/>
  <c r="O63" i="14"/>
  <c r="O51" i="14"/>
  <c r="O39" i="14"/>
  <c r="AA31" i="14"/>
  <c r="O27" i="14"/>
  <c r="AA19" i="14"/>
  <c r="O15" i="14"/>
  <c r="AA7" i="14"/>
  <c r="O3" i="14"/>
  <c r="AA72" i="14"/>
  <c r="O68" i="14"/>
  <c r="AA60" i="14"/>
  <c r="R3" i="15" s="1"/>
  <c r="O56" i="14"/>
  <c r="AA48" i="14"/>
  <c r="O44" i="14"/>
  <c r="AA36" i="14"/>
  <c r="O32" i="14"/>
  <c r="O20" i="14"/>
  <c r="AA65" i="14"/>
  <c r="AA53" i="14"/>
  <c r="AA22" i="14"/>
  <c r="R18" i="15" s="1"/>
  <c r="R31" i="15" s="1"/>
  <c r="D44" i="15" s="1"/>
  <c r="AA10" i="14"/>
  <c r="AA15" i="14"/>
  <c r="AA3" i="14"/>
  <c r="AA32" i="14"/>
  <c r="R4" i="15" s="1"/>
  <c r="Z4" i="14"/>
  <c r="Z65" i="14"/>
  <c r="Z53" i="14"/>
  <c r="Z41" i="14"/>
  <c r="Q24" i="15" s="1"/>
  <c r="Q37" i="15" s="1"/>
  <c r="C45" i="15" s="1"/>
  <c r="Z62" i="14"/>
  <c r="Z66" i="14"/>
  <c r="Z54" i="14"/>
  <c r="Z42" i="14"/>
  <c r="Q25" i="15" s="1"/>
  <c r="Q38" i="15" s="1"/>
  <c r="C46" i="15" s="1"/>
  <c r="Z12" i="14"/>
  <c r="G4" i="15"/>
  <c r="G8" i="15" s="1"/>
  <c r="Z64" i="14"/>
  <c r="Z52" i="14"/>
  <c r="Q6" i="15" s="1"/>
  <c r="Z40" i="14"/>
  <c r="Q7" i="15" s="1"/>
  <c r="Z69" i="14"/>
  <c r="Z57" i="14"/>
  <c r="Z45" i="14"/>
  <c r="Z8" i="14"/>
  <c r="Z26" i="14"/>
  <c r="Q21" i="15" s="1"/>
  <c r="Q34" i="15" s="1"/>
  <c r="Z31" i="14"/>
  <c r="Z19" i="14"/>
  <c r="Z7" i="14"/>
  <c r="K61" i="14"/>
  <c r="AB61" i="14"/>
  <c r="Z27" i="14"/>
  <c r="Q22" i="15" s="1"/>
  <c r="Q35" i="15" s="1"/>
  <c r="Z15" i="14"/>
  <c r="AB13" i="14"/>
  <c r="AC13" i="14" s="1"/>
  <c r="Z3" i="14"/>
  <c r="Z73" i="14"/>
  <c r="AB71" i="14"/>
  <c r="AC71" i="14" s="1"/>
  <c r="Z61" i="14"/>
  <c r="AB59" i="14"/>
  <c r="E11" i="15"/>
  <c r="C12" i="15"/>
  <c r="C14" i="15" s="1"/>
  <c r="Z49" i="14"/>
  <c r="Q12" i="15" s="1"/>
  <c r="AB47" i="14"/>
  <c r="AC47" i="14" s="1"/>
  <c r="AB35" i="14"/>
  <c r="AA30" i="14"/>
  <c r="Z25" i="14"/>
  <c r="Q20" i="15" s="1"/>
  <c r="Q33" i="15" s="1"/>
  <c r="AA18" i="14"/>
  <c r="Z13" i="14"/>
  <c r="AA6" i="14"/>
  <c r="AA20" i="14"/>
  <c r="AA8" i="14"/>
  <c r="D25" i="15"/>
  <c r="D38" i="15" s="1"/>
  <c r="AA68" i="14"/>
  <c r="Z63" i="14"/>
  <c r="AA56" i="14"/>
  <c r="Z51" i="14"/>
  <c r="AA44" i="14"/>
  <c r="D4" i="15"/>
  <c r="F4" i="15" s="1"/>
  <c r="AB64" i="14"/>
  <c r="D11" i="15"/>
  <c r="AB52" i="14"/>
  <c r="AB40" i="14"/>
  <c r="E7" i="15"/>
  <c r="AA35" i="14"/>
  <c r="Z30" i="14"/>
  <c r="Z18" i="14"/>
  <c r="Z6" i="14"/>
  <c r="E6" i="15"/>
  <c r="E12" i="15"/>
  <c r="F12" i="15" s="1"/>
  <c r="AB49" i="14"/>
  <c r="Z71" i="14"/>
  <c r="K69" i="14"/>
  <c r="AB69" i="14"/>
  <c r="AA64" i="14"/>
  <c r="C11" i="15"/>
  <c r="Z59" i="14"/>
  <c r="Q11" i="15" s="1"/>
  <c r="K57" i="14"/>
  <c r="AB57" i="14"/>
  <c r="AA52" i="14"/>
  <c r="R6" i="15" s="1"/>
  <c r="Z47" i="14"/>
  <c r="K45" i="14"/>
  <c r="AB45" i="14"/>
  <c r="AC45" i="14" s="1"/>
  <c r="AA40" i="14"/>
  <c r="R7" i="15" s="1"/>
  <c r="V40" i="15" s="1"/>
  <c r="D7" i="15"/>
  <c r="Q44" i="15" s="1"/>
  <c r="Z35" i="14"/>
  <c r="K33" i="14"/>
  <c r="AB33" i="14"/>
  <c r="E5" i="15"/>
  <c r="D23" i="15"/>
  <c r="D36" i="15" s="1"/>
  <c r="Z23" i="14"/>
  <c r="K21" i="14"/>
  <c r="AB21" i="14"/>
  <c r="E17" i="15"/>
  <c r="Z11" i="14"/>
  <c r="K9" i="14"/>
  <c r="AB9" i="14"/>
  <c r="D6" i="15"/>
  <c r="AB28" i="14"/>
  <c r="AB25" i="14"/>
  <c r="AA28" i="14"/>
  <c r="R23" i="15" s="1"/>
  <c r="R36" i="15" s="1"/>
  <c r="AA16" i="14"/>
  <c r="AA4" i="14"/>
  <c r="Z75" i="14"/>
  <c r="Z67" i="14"/>
  <c r="Z55" i="14"/>
  <c r="Z43" i="14"/>
  <c r="Z38" i="14"/>
  <c r="Z33" i="14"/>
  <c r="Z29" i="14"/>
  <c r="Z21" i="14"/>
  <c r="Q17" i="15" s="1"/>
  <c r="Q30" i="15" s="1"/>
  <c r="C43" i="15" s="1"/>
  <c r="Z17" i="14"/>
  <c r="Z9" i="14"/>
  <c r="Z5" i="14"/>
  <c r="D18" i="15"/>
  <c r="D31" i="15" s="1"/>
  <c r="C21" i="15"/>
  <c r="C34" i="15" s="1"/>
  <c r="AB65" i="14"/>
  <c r="AB53" i="14"/>
  <c r="AB41" i="14"/>
  <c r="AB36" i="14"/>
  <c r="AB27" i="14"/>
  <c r="C18" i="15"/>
  <c r="C31" i="15" s="1"/>
  <c r="D3" i="15"/>
  <c r="K67" i="14"/>
  <c r="K55" i="14"/>
  <c r="K43" i="14"/>
  <c r="K31" i="14"/>
  <c r="K19" i="14"/>
  <c r="K7" i="14"/>
  <c r="AA49" i="14"/>
  <c r="R12" i="15" s="1"/>
  <c r="AA41" i="14"/>
  <c r="R24" i="15" s="1"/>
  <c r="R37" i="15" s="1"/>
  <c r="D45" i="15" s="1"/>
  <c r="C6" i="15"/>
  <c r="E24" i="15"/>
  <c r="E21" i="15"/>
  <c r="D5" i="15"/>
  <c r="AB72" i="14"/>
  <c r="AB60" i="14"/>
  <c r="AB48" i="14"/>
  <c r="AB26" i="14"/>
  <c r="AB22" i="14"/>
  <c r="AB14" i="14"/>
  <c r="AB10" i="14"/>
  <c r="C7" i="15"/>
  <c r="C13" i="15" s="1"/>
  <c r="D21" i="15"/>
  <c r="D34" i="15" s="1"/>
  <c r="E3" i="15"/>
  <c r="D17" i="15"/>
  <c r="D30" i="15" s="1"/>
  <c r="AB2" i="14"/>
  <c r="E9" i="15"/>
  <c r="F9" i="15" s="1"/>
  <c r="K68" i="14"/>
  <c r="K56" i="14"/>
  <c r="K44" i="14"/>
  <c r="K32" i="14"/>
  <c r="K20" i="14"/>
  <c r="K8" i="14"/>
  <c r="AB67" i="14"/>
  <c r="AB55" i="14"/>
  <c r="AB43" i="14"/>
  <c r="AB38" i="14"/>
  <c r="AB29" i="14"/>
  <c r="AB17" i="14"/>
  <c r="AB5" i="14"/>
  <c r="E19" i="15"/>
  <c r="H13" i="15"/>
  <c r="L14" i="15"/>
  <c r="G14" i="15"/>
  <c r="L8" i="15"/>
  <c r="G13" i="15"/>
  <c r="H8" i="15"/>
  <c r="C8" i="15"/>
  <c r="K8" i="15"/>
  <c r="S69" i="14"/>
  <c r="S45" i="14"/>
  <c r="S57" i="14"/>
  <c r="S33" i="14"/>
  <c r="S21" i="14"/>
  <c r="S9" i="14"/>
  <c r="O66" i="14"/>
  <c r="O54" i="14"/>
  <c r="O42" i="14"/>
  <c r="O30" i="14"/>
  <c r="O18" i="14"/>
  <c r="O6" i="14"/>
  <c r="K73" i="14"/>
  <c r="O52" i="14"/>
  <c r="K49" i="14"/>
  <c r="O40" i="14"/>
  <c r="K37" i="14"/>
  <c r="O28" i="14"/>
  <c r="K25" i="14"/>
  <c r="O69" i="14"/>
  <c r="O57" i="14"/>
  <c r="O45" i="14"/>
  <c r="O33" i="14"/>
  <c r="O21" i="14"/>
  <c r="O67" i="14"/>
  <c r="K64" i="14"/>
  <c r="O55" i="14"/>
  <c r="K52" i="14"/>
  <c r="O43" i="14"/>
  <c r="K40" i="14"/>
  <c r="O31" i="14"/>
  <c r="K28" i="14"/>
  <c r="O19" i="14"/>
  <c r="K16" i="14"/>
  <c r="O7" i="14"/>
  <c r="K4" i="14"/>
  <c r="O64" i="14"/>
  <c r="O16" i="14"/>
  <c r="K13" i="14"/>
  <c r="O4" i="14"/>
  <c r="O74" i="14"/>
  <c r="K71" i="14"/>
  <c r="O62" i="14"/>
  <c r="K59" i="14"/>
  <c r="O50" i="14"/>
  <c r="K47" i="14"/>
  <c r="O38" i="14"/>
  <c r="K35" i="14"/>
  <c r="O26" i="14"/>
  <c r="K23" i="14"/>
  <c r="O14" i="14"/>
  <c r="K11" i="14"/>
  <c r="O9" i="14"/>
  <c r="O2" i="14"/>
  <c r="K75" i="14"/>
  <c r="K66" i="14"/>
  <c r="K63" i="14"/>
  <c r="K54" i="14"/>
  <c r="K51" i="14"/>
  <c r="K42" i="14"/>
  <c r="K39" i="14"/>
  <c r="K30" i="14"/>
  <c r="K27" i="14"/>
  <c r="K18" i="14"/>
  <c r="K15" i="14"/>
  <c r="K6" i="14"/>
  <c r="K3" i="14"/>
  <c r="F3" i="15" l="1"/>
  <c r="E34" i="15"/>
  <c r="F21" i="15"/>
  <c r="F23" i="15"/>
  <c r="E30" i="15"/>
  <c r="F17" i="15"/>
  <c r="E37" i="15"/>
  <c r="F24" i="15"/>
  <c r="E32" i="15"/>
  <c r="F19" i="15"/>
  <c r="F6" i="15"/>
  <c r="F11" i="15"/>
  <c r="F25" i="15"/>
  <c r="F5" i="15"/>
  <c r="R44" i="15"/>
  <c r="S44" i="15" s="1"/>
  <c r="F7" i="15"/>
  <c r="E31" i="15"/>
  <c r="F18" i="15"/>
  <c r="J11" i="15"/>
  <c r="J8" i="15"/>
  <c r="J19" i="15"/>
  <c r="J12" i="15"/>
  <c r="J18" i="15"/>
  <c r="J9" i="15"/>
  <c r="J13" i="15"/>
  <c r="J3" i="15"/>
  <c r="V4" i="15"/>
  <c r="R16" i="15"/>
  <c r="H30" i="15"/>
  <c r="J17" i="15"/>
  <c r="H38" i="15"/>
  <c r="J25" i="15"/>
  <c r="H33" i="15"/>
  <c r="J20" i="15"/>
  <c r="H35" i="15"/>
  <c r="J22" i="15"/>
  <c r="H37" i="15"/>
  <c r="J24" i="15"/>
  <c r="D43" i="15"/>
  <c r="AC3" i="15"/>
  <c r="L13" i="15"/>
  <c r="Q46" i="15"/>
  <c r="Q47" i="15" s="1"/>
  <c r="M13" i="15"/>
  <c r="R46" i="15"/>
  <c r="AC70" i="14"/>
  <c r="AC51" i="14"/>
  <c r="AC55" i="14"/>
  <c r="E8" i="15"/>
  <c r="F8" i="15" s="1"/>
  <c r="E13" i="15"/>
  <c r="D8" i="15"/>
  <c r="E14" i="15"/>
  <c r="AC63" i="14"/>
  <c r="AC58" i="14"/>
  <c r="AC75" i="14"/>
  <c r="D13" i="15"/>
  <c r="R14" i="15"/>
  <c r="AC23" i="14"/>
  <c r="C47" i="15"/>
  <c r="AC11" i="14"/>
  <c r="AC2" i="14"/>
  <c r="AC61" i="14"/>
  <c r="AC72" i="14"/>
  <c r="AC38" i="14"/>
  <c r="AC4" i="14"/>
  <c r="AC20" i="14"/>
  <c r="AC67" i="14"/>
  <c r="AC73" i="14"/>
  <c r="AC5" i="14"/>
  <c r="AC9" i="14"/>
  <c r="AC50" i="14"/>
  <c r="AC17" i="14"/>
  <c r="AC54" i="14"/>
  <c r="AC29" i="14"/>
  <c r="AC62" i="14"/>
  <c r="AC43" i="14"/>
  <c r="AC66" i="14"/>
  <c r="Q13" i="15"/>
  <c r="AC48" i="14"/>
  <c r="AC69" i="14"/>
  <c r="AC36" i="14"/>
  <c r="AC15" i="14"/>
  <c r="D48" i="15"/>
  <c r="AC12" i="14"/>
  <c r="AC7" i="14"/>
  <c r="AC32" i="14"/>
  <c r="AC19" i="14"/>
  <c r="AC31" i="14"/>
  <c r="AC18" i="14"/>
  <c r="AC16" i="14"/>
  <c r="AC68" i="14"/>
  <c r="AC6" i="14"/>
  <c r="H14" i="15"/>
  <c r="J14" i="15" s="1"/>
  <c r="AC57" i="14"/>
  <c r="AC65" i="14"/>
  <c r="AC42" i="14"/>
  <c r="AC8" i="14"/>
  <c r="AC30" i="14"/>
  <c r="AC44" i="14"/>
  <c r="AC3" i="14"/>
  <c r="AC56" i="14"/>
  <c r="AC5" i="15"/>
  <c r="AC24" i="14"/>
  <c r="AC10" i="14"/>
  <c r="AC14" i="14"/>
  <c r="AC64" i="14"/>
  <c r="AC53" i="14"/>
  <c r="C48" i="15"/>
  <c r="Z34" i="14"/>
  <c r="Q9" i="15" s="1"/>
  <c r="S24" i="15"/>
  <c r="S37" i="15" s="1"/>
  <c r="E45" i="15" s="1"/>
  <c r="AC41" i="14"/>
  <c r="R13" i="15"/>
  <c r="AC28" i="14"/>
  <c r="S23" i="15"/>
  <c r="S36" i="15" s="1"/>
  <c r="S17" i="15"/>
  <c r="AC21" i="14"/>
  <c r="D14" i="15"/>
  <c r="AA39" i="14"/>
  <c r="AC25" i="14"/>
  <c r="S20" i="15"/>
  <c r="S33" i="15" s="1"/>
  <c r="E47" i="15" s="1"/>
  <c r="S11" i="15"/>
  <c r="W60" i="15" s="1"/>
  <c r="X60" i="15" s="1"/>
  <c r="AC59" i="14"/>
  <c r="S18" i="15"/>
  <c r="S31" i="15" s="1"/>
  <c r="E44" i="15" s="1"/>
  <c r="AC22" i="14"/>
  <c r="AC26" i="14"/>
  <c r="S21" i="15"/>
  <c r="S34" i="15" s="1"/>
  <c r="AC40" i="14"/>
  <c r="S7" i="15"/>
  <c r="W40" i="15" s="1"/>
  <c r="X40" i="15" s="1"/>
  <c r="AA34" i="14"/>
  <c r="S22" i="15"/>
  <c r="S35" i="15" s="1"/>
  <c r="AC27" i="14"/>
  <c r="Z39" i="14"/>
  <c r="Q10" i="15" s="1"/>
  <c r="Q5" i="15"/>
  <c r="Q16" i="15" s="1"/>
  <c r="AC35" i="14"/>
  <c r="Q14" i="15"/>
  <c r="S3" i="15"/>
  <c r="T3" i="15" s="1"/>
  <c r="AC60" i="14"/>
  <c r="AC52" i="14"/>
  <c r="AB34" i="14"/>
  <c r="S9" i="15" s="1"/>
  <c r="S6" i="15"/>
  <c r="S5" i="15"/>
  <c r="S16" i="15" s="1"/>
  <c r="AB39" i="14"/>
  <c r="S10" i="15" s="1"/>
  <c r="AC33" i="14"/>
  <c r="AC49" i="14"/>
  <c r="S12" i="15"/>
  <c r="C45" i="11"/>
  <c r="C49" i="11" s="1"/>
  <c r="C46" i="11"/>
  <c r="C47" i="11"/>
  <c r="C48" i="11"/>
  <c r="B48" i="11"/>
  <c r="B47" i="11"/>
  <c r="B46" i="11"/>
  <c r="B45" i="11"/>
  <c r="T2" i="12"/>
  <c r="T3" i="12"/>
  <c r="D15" i="12"/>
  <c r="K15" i="12"/>
  <c r="L15" i="12"/>
  <c r="L16" i="12"/>
  <c r="L4" i="7"/>
  <c r="F14" i="15" l="1"/>
  <c r="F13" i="15"/>
  <c r="AC4" i="15"/>
  <c r="S15" i="15"/>
  <c r="AD14" i="15"/>
  <c r="AD15" i="15" s="1"/>
  <c r="AD16" i="15" s="1"/>
  <c r="AD17" i="15" s="1"/>
  <c r="AD18" i="15" s="1"/>
  <c r="AD19" i="15" s="1"/>
  <c r="AD20" i="15" s="1"/>
  <c r="AD21" i="15" s="1"/>
  <c r="AD22" i="15" s="1"/>
  <c r="AD23" i="15" s="1"/>
  <c r="AD24" i="15" s="1"/>
  <c r="AD25" i="15" s="1"/>
  <c r="AD26" i="15" s="1"/>
  <c r="AD27" i="15" s="1"/>
  <c r="AD28" i="15" s="1"/>
  <c r="AD29" i="15" s="1"/>
  <c r="AD30" i="15" s="1"/>
  <c r="AD31" i="15" s="1"/>
  <c r="AD32" i="15" s="1"/>
  <c r="S46" i="15"/>
  <c r="R47" i="15"/>
  <c r="S47" i="15" s="1"/>
  <c r="C49" i="15"/>
  <c r="G43" i="15" s="1"/>
  <c r="E48" i="15"/>
  <c r="D49" i="15"/>
  <c r="H48" i="15" s="1"/>
  <c r="Q8" i="15"/>
  <c r="Q15" i="15" s="1"/>
  <c r="S30" i="15"/>
  <c r="S14" i="15"/>
  <c r="S8" i="15"/>
  <c r="AC39" i="14"/>
  <c r="R10" i="15"/>
  <c r="W4" i="15"/>
  <c r="X4" i="15" s="1"/>
  <c r="X22" i="15"/>
  <c r="S13" i="15"/>
  <c r="AC34" i="14"/>
  <c r="R9" i="15"/>
  <c r="O15" i="7"/>
  <c r="AA15" i="8"/>
  <c r="D15" i="7"/>
  <c r="AC14" i="15" l="1"/>
  <c r="AE13" i="15"/>
  <c r="E43" i="15"/>
  <c r="T30" i="15"/>
  <c r="H44" i="15"/>
  <c r="G48" i="15"/>
  <c r="G45" i="15"/>
  <c r="G47" i="15"/>
  <c r="G44" i="15"/>
  <c r="G46" i="15"/>
  <c r="H46" i="15"/>
  <c r="H47" i="15"/>
  <c r="H45" i="15"/>
  <c r="H43" i="15"/>
  <c r="R8" i="15"/>
  <c r="R15" i="15" s="1"/>
  <c r="AC6" i="15"/>
  <c r="AC7" i="15" s="1"/>
  <c r="E49" i="15"/>
  <c r="I43" i="15" s="1"/>
  <c r="R15" i="7"/>
  <c r="Q15" i="7"/>
  <c r="P15" i="7"/>
  <c r="N15" i="7"/>
  <c r="M15" i="7"/>
  <c r="L15" i="7"/>
  <c r="Q17" i="7"/>
  <c r="Q16" i="7"/>
  <c r="O17" i="7"/>
  <c r="O16" i="7"/>
  <c r="M17" i="7"/>
  <c r="M16" i="7"/>
  <c r="L17" i="7"/>
  <c r="K17" i="7"/>
  <c r="K16" i="7"/>
  <c r="U16" i="7" s="1"/>
  <c r="AA14" i="8"/>
  <c r="Z10" i="8"/>
  <c r="AA10" i="8"/>
  <c r="AA11" i="8" s="1"/>
  <c r="AA12" i="8" s="1"/>
  <c r="AC15" i="15" l="1"/>
  <c r="AE14" i="15"/>
  <c r="I45" i="15"/>
  <c r="I46" i="15"/>
  <c r="I47" i="15"/>
  <c r="I44" i="15"/>
  <c r="I48" i="15"/>
  <c r="J90" i="10"/>
  <c r="AC16" i="15" l="1"/>
  <c r="AE15" i="15"/>
  <c r="I92" i="10"/>
  <c r="J92" i="10"/>
  <c r="J91" i="10"/>
  <c r="H88" i="10"/>
  <c r="I88" i="10"/>
  <c r="H89" i="10"/>
  <c r="I89" i="10"/>
  <c r="I91" i="10" s="1"/>
  <c r="I90" i="10"/>
  <c r="K88" i="12"/>
  <c r="L88" i="12" s="1"/>
  <c r="Q87" i="12"/>
  <c r="R87" i="12" s="1"/>
  <c r="O87" i="12"/>
  <c r="P87" i="12" s="1"/>
  <c r="M87" i="12"/>
  <c r="N87" i="12" s="1"/>
  <c r="K87" i="12"/>
  <c r="L87" i="12" s="1"/>
  <c r="Q86" i="12"/>
  <c r="R86" i="12" s="1"/>
  <c r="O86" i="12"/>
  <c r="P86" i="12" s="1"/>
  <c r="M86" i="12"/>
  <c r="N86" i="12" s="1"/>
  <c r="K86" i="12"/>
  <c r="L86" i="12" s="1"/>
  <c r="Q85" i="12"/>
  <c r="R85" i="12" s="1"/>
  <c r="O85" i="12"/>
  <c r="P85" i="12" s="1"/>
  <c r="M85" i="12"/>
  <c r="N85" i="12" s="1"/>
  <c r="K85" i="12"/>
  <c r="L85" i="12" s="1"/>
  <c r="Q84" i="12"/>
  <c r="R84" i="12" s="1"/>
  <c r="O84" i="12"/>
  <c r="P84" i="12" s="1"/>
  <c r="M84" i="12"/>
  <c r="N84" i="12" s="1"/>
  <c r="K84" i="12"/>
  <c r="L84" i="12" s="1"/>
  <c r="Q83" i="12"/>
  <c r="R83" i="12" s="1"/>
  <c r="O83" i="12"/>
  <c r="P83" i="12" s="1"/>
  <c r="M83" i="12"/>
  <c r="N83" i="12" s="1"/>
  <c r="K83" i="12"/>
  <c r="L83" i="12" s="1"/>
  <c r="Q82" i="12"/>
  <c r="R82" i="12" s="1"/>
  <c r="O82" i="12"/>
  <c r="P82" i="12" s="1"/>
  <c r="M82" i="12"/>
  <c r="N82" i="12" s="1"/>
  <c r="K82" i="12"/>
  <c r="L82" i="12" s="1"/>
  <c r="Q81" i="12"/>
  <c r="R81" i="12" s="1"/>
  <c r="O81" i="12"/>
  <c r="P81" i="12" s="1"/>
  <c r="M81" i="12"/>
  <c r="N81" i="12" s="1"/>
  <c r="K81" i="12"/>
  <c r="L81" i="12" s="1"/>
  <c r="Q80" i="12"/>
  <c r="R80" i="12" s="1"/>
  <c r="O80" i="12"/>
  <c r="P80" i="12" s="1"/>
  <c r="M80" i="12"/>
  <c r="N80" i="12" s="1"/>
  <c r="K80" i="12"/>
  <c r="L80" i="12" s="1"/>
  <c r="Q78" i="12"/>
  <c r="R78" i="12" s="1"/>
  <c r="O78" i="12"/>
  <c r="P78" i="12" s="1"/>
  <c r="M78" i="12"/>
  <c r="N78" i="12" s="1"/>
  <c r="K78" i="12"/>
  <c r="L78" i="12" s="1"/>
  <c r="Q77" i="12"/>
  <c r="R77" i="12" s="1"/>
  <c r="O77" i="12"/>
  <c r="P77" i="12" s="1"/>
  <c r="M77" i="12"/>
  <c r="N77" i="12" s="1"/>
  <c r="K77" i="12"/>
  <c r="L77" i="12" s="1"/>
  <c r="Q76" i="12"/>
  <c r="R76" i="12" s="1"/>
  <c r="O76" i="12"/>
  <c r="P76" i="12" s="1"/>
  <c r="M76" i="12"/>
  <c r="N76" i="12" s="1"/>
  <c r="K76" i="12"/>
  <c r="L76" i="12" s="1"/>
  <c r="Q75" i="12"/>
  <c r="R75" i="12" s="1"/>
  <c r="O75" i="12"/>
  <c r="P75" i="12" s="1"/>
  <c r="N75" i="12"/>
  <c r="M75" i="12"/>
  <c r="K75" i="12"/>
  <c r="L75" i="12" s="1"/>
  <c r="Q74" i="12"/>
  <c r="R74" i="12" s="1"/>
  <c r="O74" i="12"/>
  <c r="P74" i="12" s="1"/>
  <c r="M74" i="12"/>
  <c r="N74" i="12" s="1"/>
  <c r="K74" i="12"/>
  <c r="L74" i="12" s="1"/>
  <c r="Q73" i="12"/>
  <c r="R73" i="12" s="1"/>
  <c r="O73" i="12"/>
  <c r="P73" i="12" s="1"/>
  <c r="M73" i="12"/>
  <c r="N73" i="12" s="1"/>
  <c r="L73" i="12"/>
  <c r="K73" i="12"/>
  <c r="R72" i="12"/>
  <c r="Q72" i="12"/>
  <c r="O72" i="12"/>
  <c r="P72" i="12" s="1"/>
  <c r="M72" i="12"/>
  <c r="N72" i="12" s="1"/>
  <c r="K72" i="12"/>
  <c r="L72" i="12" s="1"/>
  <c r="Q71" i="12"/>
  <c r="R71" i="12" s="1"/>
  <c r="O71" i="12"/>
  <c r="P71" i="12" s="1"/>
  <c r="M71" i="12"/>
  <c r="N71" i="12" s="1"/>
  <c r="K71" i="12"/>
  <c r="L71" i="12" s="1"/>
  <c r="R70" i="12"/>
  <c r="Q70" i="12"/>
  <c r="O70" i="12"/>
  <c r="P70" i="12" s="1"/>
  <c r="M70" i="12"/>
  <c r="N70" i="12" s="1"/>
  <c r="K70" i="12"/>
  <c r="L70" i="12" s="1"/>
  <c r="Q69" i="12"/>
  <c r="R69" i="12" s="1"/>
  <c r="O69" i="12"/>
  <c r="P69" i="12" s="1"/>
  <c r="M69" i="12"/>
  <c r="N69" i="12" s="1"/>
  <c r="K69" i="12"/>
  <c r="L69" i="12" s="1"/>
  <c r="Q68" i="12"/>
  <c r="R68" i="12" s="1"/>
  <c r="O68" i="12"/>
  <c r="P68" i="12" s="1"/>
  <c r="M68" i="12"/>
  <c r="N68" i="12" s="1"/>
  <c r="K68" i="12"/>
  <c r="L68" i="12" s="1"/>
  <c r="Q67" i="12"/>
  <c r="R67" i="12" s="1"/>
  <c r="O67" i="12"/>
  <c r="P67" i="12" s="1"/>
  <c r="M67" i="12"/>
  <c r="N67" i="12" s="1"/>
  <c r="K67" i="12"/>
  <c r="L67" i="12" s="1"/>
  <c r="Q66" i="12"/>
  <c r="R66" i="12" s="1"/>
  <c r="O66" i="12"/>
  <c r="P66" i="12" s="1"/>
  <c r="N66" i="12"/>
  <c r="M66" i="12"/>
  <c r="K66" i="12"/>
  <c r="L66" i="12" s="1"/>
  <c r="Q65" i="12"/>
  <c r="R65" i="12" s="1"/>
  <c r="O65" i="12"/>
  <c r="P65" i="12" s="1"/>
  <c r="M65" i="12"/>
  <c r="N65" i="12" s="1"/>
  <c r="K65" i="12"/>
  <c r="L65" i="12" s="1"/>
  <c r="Q64" i="12"/>
  <c r="R64" i="12" s="1"/>
  <c r="O64" i="12"/>
  <c r="P64" i="12" s="1"/>
  <c r="M64" i="12"/>
  <c r="N64" i="12" s="1"/>
  <c r="K64" i="12"/>
  <c r="L64" i="12" s="1"/>
  <c r="Q63" i="12"/>
  <c r="R63" i="12" s="1"/>
  <c r="O63" i="12"/>
  <c r="P63" i="12" s="1"/>
  <c r="N63" i="12"/>
  <c r="M63" i="12"/>
  <c r="K63" i="12"/>
  <c r="L63" i="12" s="1"/>
  <c r="Q62" i="12"/>
  <c r="R62" i="12" s="1"/>
  <c r="O62" i="12"/>
  <c r="P62" i="12" s="1"/>
  <c r="M62" i="12"/>
  <c r="N62" i="12" s="1"/>
  <c r="K62" i="12"/>
  <c r="L62" i="12" s="1"/>
  <c r="Q61" i="12"/>
  <c r="R61" i="12" s="1"/>
  <c r="O61" i="12"/>
  <c r="P61" i="12" s="1"/>
  <c r="M61" i="12"/>
  <c r="N61" i="12" s="1"/>
  <c r="L61" i="12"/>
  <c r="K61" i="12"/>
  <c r="Q60" i="12"/>
  <c r="R60" i="12" s="1"/>
  <c r="O60" i="12"/>
  <c r="P60" i="12" s="1"/>
  <c r="M60" i="12"/>
  <c r="N60" i="12" s="1"/>
  <c r="K60" i="12"/>
  <c r="L60" i="12" s="1"/>
  <c r="Q59" i="12"/>
  <c r="R59" i="12" s="1"/>
  <c r="O59" i="12"/>
  <c r="P59" i="12" s="1"/>
  <c r="M59" i="12"/>
  <c r="N59" i="12" s="1"/>
  <c r="K59" i="12"/>
  <c r="L59" i="12" s="1"/>
  <c r="R58" i="12"/>
  <c r="Q58" i="12"/>
  <c r="O58" i="12"/>
  <c r="P58" i="12" s="1"/>
  <c r="M58" i="12"/>
  <c r="N58" i="12" s="1"/>
  <c r="K58" i="12"/>
  <c r="L58" i="12" s="1"/>
  <c r="Q57" i="12"/>
  <c r="R57" i="12" s="1"/>
  <c r="O57" i="12"/>
  <c r="P57" i="12" s="1"/>
  <c r="M57" i="12"/>
  <c r="N57" i="12" s="1"/>
  <c r="K57" i="12"/>
  <c r="L57" i="12" s="1"/>
  <c r="Q56" i="12"/>
  <c r="R56" i="12" s="1"/>
  <c r="P56" i="12"/>
  <c r="O56" i="12"/>
  <c r="M56" i="12"/>
  <c r="N56" i="12" s="1"/>
  <c r="K56" i="12"/>
  <c r="L56" i="12" s="1"/>
  <c r="Q55" i="12"/>
  <c r="R55" i="12" s="1"/>
  <c r="O55" i="12"/>
  <c r="P55" i="12" s="1"/>
  <c r="M55" i="12"/>
  <c r="N55" i="12" s="1"/>
  <c r="K55" i="12"/>
  <c r="L55" i="12" s="1"/>
  <c r="Q54" i="12"/>
  <c r="R54" i="12" s="1"/>
  <c r="O54" i="12"/>
  <c r="P54" i="12" s="1"/>
  <c r="N54" i="12"/>
  <c r="M54" i="12"/>
  <c r="K54" i="12"/>
  <c r="L54" i="12" s="1"/>
  <c r="Q53" i="12"/>
  <c r="R53" i="12" s="1"/>
  <c r="O53" i="12"/>
  <c r="P53" i="12" s="1"/>
  <c r="M53" i="12"/>
  <c r="N53" i="12" s="1"/>
  <c r="K53" i="12"/>
  <c r="L53" i="12" s="1"/>
  <c r="Q52" i="12"/>
  <c r="R52" i="12" s="1"/>
  <c r="O52" i="12"/>
  <c r="P52" i="12" s="1"/>
  <c r="M52" i="12"/>
  <c r="N52" i="12" s="1"/>
  <c r="K52" i="12"/>
  <c r="L52" i="12" s="1"/>
  <c r="Q51" i="12"/>
  <c r="R51" i="12" s="1"/>
  <c r="O51" i="12"/>
  <c r="P51" i="12" s="1"/>
  <c r="M51" i="12"/>
  <c r="N51" i="12" s="1"/>
  <c r="K51" i="12"/>
  <c r="L51" i="12" s="1"/>
  <c r="Q50" i="12"/>
  <c r="R50" i="12" s="1"/>
  <c r="O50" i="12"/>
  <c r="P50" i="12" s="1"/>
  <c r="M50" i="12"/>
  <c r="N50" i="12" s="1"/>
  <c r="K50" i="12"/>
  <c r="L50" i="12" s="1"/>
  <c r="R49" i="12"/>
  <c r="Q49" i="12"/>
  <c r="O49" i="12"/>
  <c r="P49" i="12" s="1"/>
  <c r="M49" i="12"/>
  <c r="N49" i="12" s="1"/>
  <c r="K49" i="12"/>
  <c r="L49" i="12" s="1"/>
  <c r="Q48" i="12"/>
  <c r="R48" i="12" s="1"/>
  <c r="O48" i="12"/>
  <c r="P48" i="12" s="1"/>
  <c r="M48" i="12"/>
  <c r="N48" i="12" s="1"/>
  <c r="K48" i="12"/>
  <c r="L48" i="12" s="1"/>
  <c r="Q47" i="12"/>
  <c r="R47" i="12" s="1"/>
  <c r="P47" i="12"/>
  <c r="O47" i="12"/>
  <c r="N47" i="12"/>
  <c r="M47" i="12"/>
  <c r="K47" i="12"/>
  <c r="L47" i="12" s="1"/>
  <c r="Q46" i="12"/>
  <c r="R46" i="12" s="1"/>
  <c r="O46" i="12"/>
  <c r="P46" i="12" s="1"/>
  <c r="M46" i="12"/>
  <c r="N46" i="12" s="1"/>
  <c r="K46" i="12"/>
  <c r="L46" i="12" s="1"/>
  <c r="Q45" i="12"/>
  <c r="R45" i="12" s="1"/>
  <c r="P45" i="12"/>
  <c r="O45" i="12"/>
  <c r="N45" i="12"/>
  <c r="M45" i="12"/>
  <c r="K45" i="12"/>
  <c r="L45" i="12" s="1"/>
  <c r="Q44" i="12"/>
  <c r="R44" i="12" s="1"/>
  <c r="O44" i="12"/>
  <c r="P44" i="12" s="1"/>
  <c r="M44" i="12"/>
  <c r="N44" i="12" s="1"/>
  <c r="K44" i="12"/>
  <c r="L44" i="12" s="1"/>
  <c r="Q43" i="12"/>
  <c r="R43" i="12" s="1"/>
  <c r="O43" i="12"/>
  <c r="P43" i="12" s="1"/>
  <c r="M43" i="12"/>
  <c r="N43" i="12" s="1"/>
  <c r="K43" i="12"/>
  <c r="L43" i="12" s="1"/>
  <c r="Q42" i="12"/>
  <c r="R42" i="12" s="1"/>
  <c r="O42" i="12"/>
  <c r="P42" i="12" s="1"/>
  <c r="M42" i="12"/>
  <c r="N42" i="12" s="1"/>
  <c r="K42" i="12"/>
  <c r="L42" i="12" s="1"/>
  <c r="Q41" i="12"/>
  <c r="R41" i="12" s="1"/>
  <c r="O41" i="12"/>
  <c r="P41" i="12" s="1"/>
  <c r="M41" i="12"/>
  <c r="N41" i="12" s="1"/>
  <c r="K41" i="12"/>
  <c r="L41" i="12" s="1"/>
  <c r="Q40" i="12"/>
  <c r="R40" i="12" s="1"/>
  <c r="O40" i="12"/>
  <c r="P40" i="12" s="1"/>
  <c r="M40" i="12"/>
  <c r="N40" i="12" s="1"/>
  <c r="K40" i="12"/>
  <c r="L40" i="12" s="1"/>
  <c r="Q39" i="12"/>
  <c r="R39" i="12" s="1"/>
  <c r="O39" i="12"/>
  <c r="P39" i="12" s="1"/>
  <c r="M39" i="12"/>
  <c r="N39" i="12" s="1"/>
  <c r="K39" i="12"/>
  <c r="L39" i="12" s="1"/>
  <c r="Q38" i="12"/>
  <c r="R38" i="12" s="1"/>
  <c r="O38" i="12"/>
  <c r="P38" i="12" s="1"/>
  <c r="M38" i="12"/>
  <c r="N38" i="12" s="1"/>
  <c r="K38" i="12"/>
  <c r="L38" i="12" s="1"/>
  <c r="Q37" i="12"/>
  <c r="R37" i="12" s="1"/>
  <c r="O37" i="12"/>
  <c r="P37" i="12" s="1"/>
  <c r="M37" i="12"/>
  <c r="N37" i="12" s="1"/>
  <c r="K37" i="12"/>
  <c r="L37" i="12" s="1"/>
  <c r="Q36" i="12"/>
  <c r="R36" i="12" s="1"/>
  <c r="O36" i="12"/>
  <c r="P36" i="12" s="1"/>
  <c r="N36" i="12"/>
  <c r="M36" i="12"/>
  <c r="K36" i="12"/>
  <c r="L36" i="12" s="1"/>
  <c r="Q35" i="12"/>
  <c r="R35" i="12" s="1"/>
  <c r="O35" i="12"/>
  <c r="P35" i="12" s="1"/>
  <c r="M35" i="12"/>
  <c r="N35" i="12" s="1"/>
  <c r="K35" i="12"/>
  <c r="L35" i="12" s="1"/>
  <c r="Q34" i="12"/>
  <c r="R34" i="12" s="1"/>
  <c r="O34" i="12"/>
  <c r="P34" i="12" s="1"/>
  <c r="N34" i="12"/>
  <c r="M34" i="12"/>
  <c r="L34" i="12"/>
  <c r="K34" i="12"/>
  <c r="Q33" i="12"/>
  <c r="R33" i="12" s="1"/>
  <c r="O33" i="12"/>
  <c r="P33" i="12" s="1"/>
  <c r="M33" i="12"/>
  <c r="N33" i="12" s="1"/>
  <c r="K33" i="12"/>
  <c r="L33" i="12" s="1"/>
  <c r="Q32" i="12"/>
  <c r="R32" i="12" s="1"/>
  <c r="O32" i="12"/>
  <c r="P32" i="12" s="1"/>
  <c r="M32" i="12"/>
  <c r="N32" i="12" s="1"/>
  <c r="K32" i="12"/>
  <c r="L32" i="12" s="1"/>
  <c r="Q31" i="12"/>
  <c r="R31" i="12" s="1"/>
  <c r="O31" i="12"/>
  <c r="P31" i="12" s="1"/>
  <c r="M31" i="12"/>
  <c r="N31" i="12" s="1"/>
  <c r="K31" i="12"/>
  <c r="L31" i="12" s="1"/>
  <c r="Q30" i="12"/>
  <c r="R30" i="12" s="1"/>
  <c r="O30" i="12"/>
  <c r="P30" i="12" s="1"/>
  <c r="N30" i="12"/>
  <c r="M30" i="12"/>
  <c r="K30" i="12"/>
  <c r="L30" i="12" s="1"/>
  <c r="Q29" i="12"/>
  <c r="R29" i="12" s="1"/>
  <c r="O29" i="12"/>
  <c r="P29" i="12" s="1"/>
  <c r="M29" i="12"/>
  <c r="N29" i="12" s="1"/>
  <c r="K29" i="12"/>
  <c r="L29" i="12" s="1"/>
  <c r="Q28" i="12"/>
  <c r="R28" i="12" s="1"/>
  <c r="O28" i="12"/>
  <c r="P28" i="12" s="1"/>
  <c r="M28" i="12"/>
  <c r="N28" i="12" s="1"/>
  <c r="K28" i="12"/>
  <c r="L28" i="12" s="1"/>
  <c r="R27" i="12"/>
  <c r="Q27" i="12"/>
  <c r="O27" i="12"/>
  <c r="P27" i="12" s="1"/>
  <c r="M27" i="12"/>
  <c r="N27" i="12" s="1"/>
  <c r="K27" i="12"/>
  <c r="L27" i="12" s="1"/>
  <c r="Q26" i="12"/>
  <c r="R26" i="12" s="1"/>
  <c r="O26" i="12"/>
  <c r="P26" i="12" s="1"/>
  <c r="M26" i="12"/>
  <c r="N26" i="12" s="1"/>
  <c r="L26" i="12"/>
  <c r="K26" i="12"/>
  <c r="Q25" i="12"/>
  <c r="R25" i="12" s="1"/>
  <c r="O25" i="12"/>
  <c r="P25" i="12" s="1"/>
  <c r="M25" i="12"/>
  <c r="N25" i="12" s="1"/>
  <c r="K25" i="12"/>
  <c r="L25" i="12" s="1"/>
  <c r="Q24" i="12"/>
  <c r="R24" i="12" s="1"/>
  <c r="O24" i="12"/>
  <c r="P24" i="12" s="1"/>
  <c r="M24" i="12"/>
  <c r="N24" i="12" s="1"/>
  <c r="K24" i="12"/>
  <c r="L24" i="12" s="1"/>
  <c r="Q23" i="12"/>
  <c r="R23" i="12" s="1"/>
  <c r="O23" i="12"/>
  <c r="P23" i="12" s="1"/>
  <c r="M23" i="12"/>
  <c r="N23" i="12" s="1"/>
  <c r="K23" i="12"/>
  <c r="L23" i="12" s="1"/>
  <c r="Q22" i="12"/>
  <c r="R22" i="12" s="1"/>
  <c r="O22" i="12"/>
  <c r="P22" i="12" s="1"/>
  <c r="M22" i="12"/>
  <c r="N22" i="12" s="1"/>
  <c r="K22" i="12"/>
  <c r="L22" i="12" s="1"/>
  <c r="Q21" i="12"/>
  <c r="R21" i="12" s="1"/>
  <c r="O21" i="12"/>
  <c r="P21" i="12" s="1"/>
  <c r="N21" i="12"/>
  <c r="M21" i="12"/>
  <c r="K21" i="12"/>
  <c r="L21" i="12" s="1"/>
  <c r="Q19" i="12"/>
  <c r="R19" i="12" s="1"/>
  <c r="O19" i="12"/>
  <c r="P19" i="12" s="1"/>
  <c r="M19" i="12"/>
  <c r="N19" i="12" s="1"/>
  <c r="K19" i="12"/>
  <c r="L19" i="12" s="1"/>
  <c r="Q18" i="12"/>
  <c r="R18" i="12" s="1"/>
  <c r="O18" i="12"/>
  <c r="P18" i="12" s="1"/>
  <c r="N18" i="12"/>
  <c r="M18" i="12"/>
  <c r="K18" i="12"/>
  <c r="L18" i="12" s="1"/>
  <c r="R15" i="12"/>
  <c r="P15" i="12"/>
  <c r="N15" i="12"/>
  <c r="H15" i="12"/>
  <c r="G15" i="12"/>
  <c r="Q15" i="12" s="1"/>
  <c r="F15" i="12"/>
  <c r="O15" i="12" s="1"/>
  <c r="E15" i="12"/>
  <c r="M15" i="12"/>
  <c r="C15" i="12"/>
  <c r="Q14" i="12"/>
  <c r="R14" i="12" s="1"/>
  <c r="P14" i="12"/>
  <c r="O14" i="12"/>
  <c r="M14" i="12"/>
  <c r="N14" i="12" s="1"/>
  <c r="K14" i="12"/>
  <c r="L14" i="12" s="1"/>
  <c r="Q13" i="12"/>
  <c r="R13" i="12" s="1"/>
  <c r="O13" i="12"/>
  <c r="P13" i="12" s="1"/>
  <c r="M13" i="12"/>
  <c r="N13" i="12" s="1"/>
  <c r="K13" i="12"/>
  <c r="L13" i="12" s="1"/>
  <c r="Q12" i="12"/>
  <c r="R12" i="12" s="1"/>
  <c r="O12" i="12"/>
  <c r="P12" i="12" s="1"/>
  <c r="M12" i="12"/>
  <c r="N12" i="12" s="1"/>
  <c r="K12" i="12"/>
  <c r="L12" i="12" s="1"/>
  <c r="Q11" i="12"/>
  <c r="R11" i="12" s="1"/>
  <c r="O11" i="12"/>
  <c r="P11" i="12" s="1"/>
  <c r="M11" i="12"/>
  <c r="N11" i="12" s="1"/>
  <c r="K11" i="12"/>
  <c r="L11" i="12" s="1"/>
  <c r="Q10" i="12"/>
  <c r="R10" i="12" s="1"/>
  <c r="O10" i="12"/>
  <c r="P10" i="12" s="1"/>
  <c r="M10" i="12"/>
  <c r="N10" i="12" s="1"/>
  <c r="K10" i="12"/>
  <c r="L10" i="12" s="1"/>
  <c r="Q9" i="12"/>
  <c r="R9" i="12" s="1"/>
  <c r="P9" i="12"/>
  <c r="O9" i="12"/>
  <c r="M9" i="12"/>
  <c r="N9" i="12" s="1"/>
  <c r="K9" i="12"/>
  <c r="L9" i="12" s="1"/>
  <c r="Q8" i="12"/>
  <c r="R8" i="12" s="1"/>
  <c r="O8" i="12"/>
  <c r="P8" i="12" s="1"/>
  <c r="M8" i="12"/>
  <c r="N8" i="12" s="1"/>
  <c r="K8" i="12"/>
  <c r="L8" i="12" s="1"/>
  <c r="Q7" i="12"/>
  <c r="R7" i="12" s="1"/>
  <c r="O7" i="12"/>
  <c r="P7" i="12" s="1"/>
  <c r="M7" i="12"/>
  <c r="N7" i="12" s="1"/>
  <c r="K7" i="12"/>
  <c r="L7" i="12" s="1"/>
  <c r="Q6" i="12"/>
  <c r="R6" i="12" s="1"/>
  <c r="O6" i="12"/>
  <c r="P6" i="12" s="1"/>
  <c r="M6" i="12"/>
  <c r="N6" i="12" s="1"/>
  <c r="K6" i="12"/>
  <c r="L6" i="12" s="1"/>
  <c r="Q5" i="12"/>
  <c r="R5" i="12" s="1"/>
  <c r="P5" i="12"/>
  <c r="O5" i="12"/>
  <c r="M5" i="12"/>
  <c r="N5" i="12" s="1"/>
  <c r="K5" i="12"/>
  <c r="L5" i="12" s="1"/>
  <c r="Q4" i="12"/>
  <c r="R4" i="12" s="1"/>
  <c r="L4" i="12"/>
  <c r="H4" i="12"/>
  <c r="G4" i="12"/>
  <c r="F4" i="12"/>
  <c r="O4" i="12" s="1"/>
  <c r="P4" i="12" s="1"/>
  <c r="E4" i="12"/>
  <c r="D4" i="12"/>
  <c r="M4" i="12" s="1"/>
  <c r="N4" i="12" s="1"/>
  <c r="C4" i="12"/>
  <c r="K4" i="12" s="1"/>
  <c r="AC17" i="15" l="1"/>
  <c r="AE16" i="15"/>
  <c r="C22" i="11"/>
  <c r="C35" i="11" s="1"/>
  <c r="G9" i="11"/>
  <c r="J12" i="11"/>
  <c r="H3" i="10"/>
  <c r="I3" i="10"/>
  <c r="J3" i="10"/>
  <c r="K3" i="10"/>
  <c r="L3" i="10"/>
  <c r="M3" i="10" s="1"/>
  <c r="N3" i="10"/>
  <c r="O3" i="10"/>
  <c r="Q3" i="10"/>
  <c r="R3" i="10"/>
  <c r="H4" i="10"/>
  <c r="J4" i="10" s="1"/>
  <c r="I4" i="10"/>
  <c r="K4" i="10"/>
  <c r="L4" i="10"/>
  <c r="M4" i="10" s="1"/>
  <c r="N4" i="10"/>
  <c r="O4" i="10"/>
  <c r="P4" i="10"/>
  <c r="Q4" i="10"/>
  <c r="R4" i="10"/>
  <c r="H5" i="10"/>
  <c r="J5" i="10" s="1"/>
  <c r="I5" i="10"/>
  <c r="K5" i="10"/>
  <c r="L5" i="10"/>
  <c r="N5" i="10"/>
  <c r="O5" i="10"/>
  <c r="P5" i="10"/>
  <c r="Q5" i="10"/>
  <c r="R5" i="10"/>
  <c r="S5" i="10" s="1"/>
  <c r="H6" i="10"/>
  <c r="I6" i="10"/>
  <c r="K6" i="10"/>
  <c r="L6" i="10"/>
  <c r="M6" i="10" s="1"/>
  <c r="N6" i="10"/>
  <c r="O6" i="10"/>
  <c r="P6" i="10" s="1"/>
  <c r="Q6" i="10"/>
  <c r="R6" i="10"/>
  <c r="S6" i="10" s="1"/>
  <c r="H7" i="10"/>
  <c r="I7" i="10"/>
  <c r="J7" i="10"/>
  <c r="K7" i="10"/>
  <c r="L7" i="10"/>
  <c r="M7" i="10" s="1"/>
  <c r="N7" i="10"/>
  <c r="O7" i="10"/>
  <c r="P7" i="10" s="1"/>
  <c r="Q7" i="10"/>
  <c r="S7" i="10" s="1"/>
  <c r="R7" i="10"/>
  <c r="H8" i="10"/>
  <c r="I8" i="10"/>
  <c r="K8" i="10"/>
  <c r="L8" i="10"/>
  <c r="N8" i="10"/>
  <c r="O8" i="10"/>
  <c r="P8" i="10" s="1"/>
  <c r="Q8" i="10"/>
  <c r="R8" i="10"/>
  <c r="S8" i="10"/>
  <c r="H9" i="10"/>
  <c r="I9" i="10"/>
  <c r="K9" i="10"/>
  <c r="L9" i="10"/>
  <c r="M9" i="10" s="1"/>
  <c r="N9" i="10"/>
  <c r="O9" i="10"/>
  <c r="P9" i="10" s="1"/>
  <c r="Q9" i="10"/>
  <c r="R9" i="10"/>
  <c r="H10" i="10"/>
  <c r="I10" i="10"/>
  <c r="J10" i="10" s="1"/>
  <c r="K10" i="10"/>
  <c r="L10" i="10"/>
  <c r="M10" i="10" s="1"/>
  <c r="N10" i="10"/>
  <c r="O10" i="10"/>
  <c r="P10" i="10" s="1"/>
  <c r="Q10" i="10"/>
  <c r="S10" i="10" s="1"/>
  <c r="R10" i="10"/>
  <c r="H11" i="10"/>
  <c r="I11" i="10"/>
  <c r="K11" i="10"/>
  <c r="L11" i="10"/>
  <c r="N11" i="10"/>
  <c r="O11" i="10"/>
  <c r="P11" i="10"/>
  <c r="Q11" i="10"/>
  <c r="R11" i="10"/>
  <c r="S11" i="10" s="1"/>
  <c r="H12" i="10"/>
  <c r="I12" i="10"/>
  <c r="K12" i="10"/>
  <c r="L12" i="10"/>
  <c r="N12" i="10"/>
  <c r="O12" i="10"/>
  <c r="P12" i="10" s="1"/>
  <c r="Q12" i="10"/>
  <c r="R12" i="10"/>
  <c r="S12" i="10"/>
  <c r="H13" i="10"/>
  <c r="I13" i="10"/>
  <c r="K13" i="10"/>
  <c r="L13" i="10"/>
  <c r="N13" i="10"/>
  <c r="O13" i="10"/>
  <c r="Q13" i="10"/>
  <c r="R13" i="10"/>
  <c r="S13" i="10"/>
  <c r="H14" i="10"/>
  <c r="I14" i="10"/>
  <c r="J14" i="10"/>
  <c r="K14" i="10"/>
  <c r="L14" i="10"/>
  <c r="M14" i="10" s="1"/>
  <c r="N14" i="10"/>
  <c r="O14" i="10"/>
  <c r="Q14" i="10"/>
  <c r="R14" i="10"/>
  <c r="H15" i="10"/>
  <c r="I15" i="10"/>
  <c r="J15" i="10"/>
  <c r="K15" i="10"/>
  <c r="L15" i="10"/>
  <c r="M15" i="10" s="1"/>
  <c r="N15" i="10"/>
  <c r="O15" i="10"/>
  <c r="P15" i="10" s="1"/>
  <c r="Q15" i="10"/>
  <c r="R15" i="10"/>
  <c r="S15" i="10" s="1"/>
  <c r="H16" i="10"/>
  <c r="I16" i="10"/>
  <c r="J16" i="10" s="1"/>
  <c r="K16" i="10"/>
  <c r="L16" i="10"/>
  <c r="N16" i="10"/>
  <c r="O16" i="10"/>
  <c r="P16" i="10"/>
  <c r="Q16" i="10"/>
  <c r="R16" i="10"/>
  <c r="S16" i="10" s="1"/>
  <c r="H17" i="10"/>
  <c r="I17" i="10"/>
  <c r="J17" i="10" s="1"/>
  <c r="K17" i="10"/>
  <c r="L17" i="10"/>
  <c r="N17" i="10"/>
  <c r="O17" i="10"/>
  <c r="P17" i="10" s="1"/>
  <c r="Q17" i="10"/>
  <c r="R17" i="10"/>
  <c r="S17" i="10" s="1"/>
  <c r="H18" i="10"/>
  <c r="I18" i="10"/>
  <c r="J18" i="10" s="1"/>
  <c r="K18" i="10"/>
  <c r="L18" i="10"/>
  <c r="N18" i="10"/>
  <c r="O18" i="10"/>
  <c r="Q18" i="10"/>
  <c r="R18" i="10"/>
  <c r="S18" i="10" s="1"/>
  <c r="H19" i="10"/>
  <c r="I19" i="10"/>
  <c r="J19" i="10" s="1"/>
  <c r="K19" i="10"/>
  <c r="L19" i="10"/>
  <c r="M19" i="10" s="1"/>
  <c r="N19" i="10"/>
  <c r="O19" i="10"/>
  <c r="P19" i="10" s="1"/>
  <c r="Q19" i="10"/>
  <c r="R19" i="10"/>
  <c r="H20" i="10"/>
  <c r="I20" i="10"/>
  <c r="K20" i="10"/>
  <c r="L20" i="10"/>
  <c r="N20" i="10"/>
  <c r="O20" i="10"/>
  <c r="P20" i="10" s="1"/>
  <c r="Q20" i="10"/>
  <c r="R20" i="10"/>
  <c r="S20" i="10"/>
  <c r="H21" i="10"/>
  <c r="C17" i="11" s="1"/>
  <c r="I21" i="10"/>
  <c r="J21" i="10" s="1"/>
  <c r="K21" i="10"/>
  <c r="E17" i="11" s="1"/>
  <c r="E30" i="11" s="1"/>
  <c r="L21" i="10"/>
  <c r="M21" i="10" s="1"/>
  <c r="N21" i="10"/>
  <c r="G17" i="11" s="1"/>
  <c r="O21" i="10"/>
  <c r="H17" i="11" s="1"/>
  <c r="Q21" i="10"/>
  <c r="S21" i="10" s="1"/>
  <c r="R21" i="10"/>
  <c r="J17" i="11" s="1"/>
  <c r="H22" i="10"/>
  <c r="C18" i="11" s="1"/>
  <c r="C31" i="11" s="1"/>
  <c r="I22" i="10"/>
  <c r="D18" i="11" s="1"/>
  <c r="D31" i="11" s="1"/>
  <c r="K22" i="10"/>
  <c r="E18" i="11" s="1"/>
  <c r="E31" i="11" s="1"/>
  <c r="L22" i="10"/>
  <c r="M22" i="10" s="1"/>
  <c r="N22" i="10"/>
  <c r="G18" i="11" s="1"/>
  <c r="G31" i="11" s="1"/>
  <c r="O22" i="10"/>
  <c r="H18" i="11" s="1"/>
  <c r="P22" i="10"/>
  <c r="Q22" i="10"/>
  <c r="I18" i="11" s="1"/>
  <c r="R22" i="10"/>
  <c r="J18" i="11" s="1"/>
  <c r="J31" i="11" s="1"/>
  <c r="H23" i="10"/>
  <c r="I23" i="10"/>
  <c r="J23" i="10" s="1"/>
  <c r="K23" i="10"/>
  <c r="L23" i="10"/>
  <c r="N23" i="10"/>
  <c r="O23" i="10"/>
  <c r="P23" i="10"/>
  <c r="Q23" i="10"/>
  <c r="R23" i="10"/>
  <c r="S23" i="10" s="1"/>
  <c r="H24" i="10"/>
  <c r="C19" i="11" s="1"/>
  <c r="C32" i="11" s="1"/>
  <c r="I24" i="10"/>
  <c r="D19" i="11" s="1"/>
  <c r="D32" i="11" s="1"/>
  <c r="K24" i="10"/>
  <c r="E19" i="11" s="1"/>
  <c r="E32" i="11" s="1"/>
  <c r="L24" i="10"/>
  <c r="N24" i="10"/>
  <c r="G19" i="11" s="1"/>
  <c r="G32" i="11" s="1"/>
  <c r="O24" i="10"/>
  <c r="H19" i="11" s="1"/>
  <c r="H32" i="11" s="1"/>
  <c r="P24" i="10"/>
  <c r="Q24" i="10"/>
  <c r="I19" i="11" s="1"/>
  <c r="I32" i="11" s="1"/>
  <c r="R24" i="10"/>
  <c r="J19" i="11" s="1"/>
  <c r="H25" i="10"/>
  <c r="C20" i="11" s="1"/>
  <c r="I25" i="10"/>
  <c r="D20" i="11" s="1"/>
  <c r="D33" i="11" s="1"/>
  <c r="K25" i="10"/>
  <c r="E20" i="11" s="1"/>
  <c r="E33" i="11" s="1"/>
  <c r="L25" i="10"/>
  <c r="M25" i="10" s="1"/>
  <c r="N25" i="10"/>
  <c r="G20" i="11" s="1"/>
  <c r="G33" i="11" s="1"/>
  <c r="O25" i="10"/>
  <c r="P25" i="10" s="1"/>
  <c r="Q25" i="10"/>
  <c r="I20" i="11" s="1"/>
  <c r="I33" i="11" s="1"/>
  <c r="R25" i="10"/>
  <c r="J20" i="11" s="1"/>
  <c r="J33" i="11" s="1"/>
  <c r="H26" i="10"/>
  <c r="C21" i="11" s="1"/>
  <c r="I26" i="10"/>
  <c r="D21" i="11" s="1"/>
  <c r="K26" i="10"/>
  <c r="E21" i="11" s="1"/>
  <c r="E34" i="11" s="1"/>
  <c r="L26" i="10"/>
  <c r="M26" i="10" s="1"/>
  <c r="N26" i="10"/>
  <c r="G21" i="11" s="1"/>
  <c r="G34" i="11" s="1"/>
  <c r="O26" i="10"/>
  <c r="P26" i="10" s="1"/>
  <c r="Q26" i="10"/>
  <c r="I21" i="11" s="1"/>
  <c r="I34" i="11" s="1"/>
  <c r="R26" i="10"/>
  <c r="J21" i="11" s="1"/>
  <c r="J34" i="11" s="1"/>
  <c r="H27" i="10"/>
  <c r="I27" i="10"/>
  <c r="D22" i="11" s="1"/>
  <c r="K27" i="10"/>
  <c r="E22" i="11" s="1"/>
  <c r="L27" i="10"/>
  <c r="N27" i="10"/>
  <c r="G22" i="11" s="1"/>
  <c r="G35" i="11" s="1"/>
  <c r="O27" i="10"/>
  <c r="H22" i="11" s="1"/>
  <c r="H35" i="11" s="1"/>
  <c r="P27" i="10"/>
  <c r="Q27" i="10"/>
  <c r="I22" i="11" s="1"/>
  <c r="I35" i="11" s="1"/>
  <c r="R27" i="10"/>
  <c r="J22" i="11" s="1"/>
  <c r="J35" i="11" s="1"/>
  <c r="H28" i="10"/>
  <c r="C23" i="11" s="1"/>
  <c r="C36" i="11" s="1"/>
  <c r="I28" i="10"/>
  <c r="D23" i="11" s="1"/>
  <c r="D36" i="11" s="1"/>
  <c r="K28" i="10"/>
  <c r="E23" i="11" s="1"/>
  <c r="E36" i="11" s="1"/>
  <c r="L28" i="10"/>
  <c r="N28" i="10"/>
  <c r="O28" i="10"/>
  <c r="H23" i="11" s="1"/>
  <c r="H36" i="11" s="1"/>
  <c r="Q28" i="10"/>
  <c r="I23" i="11" s="1"/>
  <c r="I36" i="11" s="1"/>
  <c r="R28" i="10"/>
  <c r="S28" i="10" s="1"/>
  <c r="H29" i="10"/>
  <c r="I29" i="10"/>
  <c r="J29" i="10"/>
  <c r="K29" i="10"/>
  <c r="L29" i="10"/>
  <c r="N29" i="10"/>
  <c r="O29" i="10"/>
  <c r="Q29" i="10"/>
  <c r="R29" i="10"/>
  <c r="S29" i="10" s="1"/>
  <c r="H30" i="10"/>
  <c r="I30" i="10"/>
  <c r="J30" i="10" s="1"/>
  <c r="K30" i="10"/>
  <c r="L30" i="10"/>
  <c r="M30" i="10" s="1"/>
  <c r="N30" i="10"/>
  <c r="O30" i="10"/>
  <c r="Q30" i="10"/>
  <c r="R30" i="10"/>
  <c r="H31" i="10"/>
  <c r="I31" i="10"/>
  <c r="J31" i="10"/>
  <c r="K31" i="10"/>
  <c r="L31" i="10"/>
  <c r="M31" i="10" s="1"/>
  <c r="N31" i="10"/>
  <c r="O31" i="10"/>
  <c r="P31" i="10"/>
  <c r="Q31" i="10"/>
  <c r="R31" i="10"/>
  <c r="H32" i="10"/>
  <c r="C4" i="11" s="1"/>
  <c r="I32" i="10"/>
  <c r="K32" i="10"/>
  <c r="E4" i="11" s="1"/>
  <c r="L32" i="10"/>
  <c r="N32" i="10"/>
  <c r="G4" i="11" s="1"/>
  <c r="O32" i="10"/>
  <c r="H4" i="11" s="1"/>
  <c r="P32" i="10"/>
  <c r="Q32" i="10"/>
  <c r="I4" i="11" s="1"/>
  <c r="R32" i="10"/>
  <c r="J4" i="11" s="1"/>
  <c r="S32" i="10"/>
  <c r="H33" i="10"/>
  <c r="C5" i="11" s="1"/>
  <c r="I33" i="10"/>
  <c r="K33" i="10"/>
  <c r="E5" i="11" s="1"/>
  <c r="L33" i="10"/>
  <c r="N33" i="10"/>
  <c r="G5" i="11" s="1"/>
  <c r="O33" i="10"/>
  <c r="Q33" i="10"/>
  <c r="I5" i="11" s="1"/>
  <c r="R33" i="10"/>
  <c r="J5" i="11" s="1"/>
  <c r="S33" i="10"/>
  <c r="H34" i="10"/>
  <c r="C9" i="11" s="1"/>
  <c r="I34" i="10"/>
  <c r="D9" i="11" s="1"/>
  <c r="J34" i="10"/>
  <c r="K34" i="10"/>
  <c r="E9" i="11" s="1"/>
  <c r="L34" i="10"/>
  <c r="F9" i="11" s="1"/>
  <c r="N34" i="10"/>
  <c r="P34" i="10" s="1"/>
  <c r="O34" i="10"/>
  <c r="H9" i="11" s="1"/>
  <c r="Q34" i="10"/>
  <c r="I9" i="11" s="1"/>
  <c r="R34" i="10"/>
  <c r="J9" i="11" s="1"/>
  <c r="S34" i="10"/>
  <c r="H35" i="10"/>
  <c r="I35" i="10"/>
  <c r="J35" i="10"/>
  <c r="K35" i="10"/>
  <c r="L35" i="10"/>
  <c r="N35" i="10"/>
  <c r="P35" i="10" s="1"/>
  <c r="O35" i="10"/>
  <c r="Q35" i="10"/>
  <c r="R35" i="10"/>
  <c r="S35" i="10" s="1"/>
  <c r="H36" i="10"/>
  <c r="I36" i="10"/>
  <c r="J36" i="10"/>
  <c r="K36" i="10"/>
  <c r="L36" i="10"/>
  <c r="M36" i="10" s="1"/>
  <c r="N36" i="10"/>
  <c r="O36" i="10"/>
  <c r="Q36" i="10"/>
  <c r="R36" i="10"/>
  <c r="S36" i="10" s="1"/>
  <c r="H37" i="10"/>
  <c r="I37" i="10"/>
  <c r="K37" i="10"/>
  <c r="L37" i="10"/>
  <c r="M37" i="10" s="1"/>
  <c r="N37" i="10"/>
  <c r="O37" i="10"/>
  <c r="P37" i="10" s="1"/>
  <c r="Q37" i="10"/>
  <c r="R37" i="10"/>
  <c r="S37" i="10" s="1"/>
  <c r="H38" i="10"/>
  <c r="I38" i="10"/>
  <c r="K38" i="10"/>
  <c r="L38" i="10"/>
  <c r="N38" i="10"/>
  <c r="O38" i="10"/>
  <c r="Q38" i="10"/>
  <c r="R38" i="10"/>
  <c r="S38" i="10" s="1"/>
  <c r="H39" i="10"/>
  <c r="C10" i="11" s="1"/>
  <c r="I39" i="10"/>
  <c r="D10" i="11" s="1"/>
  <c r="K39" i="10"/>
  <c r="E10" i="11" s="1"/>
  <c r="L39" i="10"/>
  <c r="N39" i="10"/>
  <c r="G10" i="11" s="1"/>
  <c r="O39" i="10"/>
  <c r="H10" i="11" s="1"/>
  <c r="Q39" i="10"/>
  <c r="I10" i="11" s="1"/>
  <c r="R39" i="10"/>
  <c r="S39" i="10" s="1"/>
  <c r="H40" i="10"/>
  <c r="I40" i="10"/>
  <c r="D7" i="11" s="1"/>
  <c r="K40" i="10"/>
  <c r="E7" i="11" s="1"/>
  <c r="L40" i="10"/>
  <c r="N40" i="10"/>
  <c r="G7" i="11" s="1"/>
  <c r="O40" i="10"/>
  <c r="H7" i="11" s="1"/>
  <c r="P40" i="10"/>
  <c r="Q40" i="10"/>
  <c r="I7" i="11" s="1"/>
  <c r="R40" i="10"/>
  <c r="H41" i="10"/>
  <c r="C24" i="11" s="1"/>
  <c r="I41" i="10"/>
  <c r="D24" i="11" s="1"/>
  <c r="D37" i="11" s="1"/>
  <c r="K41" i="10"/>
  <c r="E24" i="11" s="1"/>
  <c r="E37" i="11" s="1"/>
  <c r="L41" i="10"/>
  <c r="M41" i="10" s="1"/>
  <c r="N41" i="10"/>
  <c r="G24" i="11" s="1"/>
  <c r="G37" i="11" s="1"/>
  <c r="O41" i="10"/>
  <c r="H24" i="11" s="1"/>
  <c r="H37" i="11" s="1"/>
  <c r="P41" i="10"/>
  <c r="Q41" i="10"/>
  <c r="I24" i="11" s="1"/>
  <c r="R41" i="10"/>
  <c r="S41" i="10" s="1"/>
  <c r="H42" i="10"/>
  <c r="C25" i="11" s="1"/>
  <c r="C38" i="11" s="1"/>
  <c r="I42" i="10"/>
  <c r="D25" i="11" s="1"/>
  <c r="K42" i="10"/>
  <c r="E25" i="11" s="1"/>
  <c r="L42" i="10"/>
  <c r="M42" i="10" s="1"/>
  <c r="N42" i="10"/>
  <c r="G25" i="11" s="1"/>
  <c r="G38" i="11" s="1"/>
  <c r="O42" i="10"/>
  <c r="H25" i="11" s="1"/>
  <c r="H38" i="11" s="1"/>
  <c r="Q42" i="10"/>
  <c r="I25" i="11" s="1"/>
  <c r="I38" i="11" s="1"/>
  <c r="R42" i="10"/>
  <c r="J25" i="11" s="1"/>
  <c r="J38" i="11" s="1"/>
  <c r="H43" i="10"/>
  <c r="I43" i="10"/>
  <c r="J43" i="10" s="1"/>
  <c r="K43" i="10"/>
  <c r="L43" i="10"/>
  <c r="M43" i="10" s="1"/>
  <c r="N43" i="10"/>
  <c r="O43" i="10"/>
  <c r="Q43" i="10"/>
  <c r="R43" i="10"/>
  <c r="H44" i="10"/>
  <c r="I44" i="10"/>
  <c r="K44" i="10"/>
  <c r="L44" i="10"/>
  <c r="M44" i="10" s="1"/>
  <c r="N44" i="10"/>
  <c r="O44" i="10"/>
  <c r="P44" i="10"/>
  <c r="Q44" i="10"/>
  <c r="S44" i="10" s="1"/>
  <c r="R44" i="10"/>
  <c r="H45" i="10"/>
  <c r="I45" i="10"/>
  <c r="K45" i="10"/>
  <c r="L45" i="10"/>
  <c r="N45" i="10"/>
  <c r="O45" i="10"/>
  <c r="P45" i="10"/>
  <c r="Q45" i="10"/>
  <c r="R45" i="10"/>
  <c r="S45" i="10"/>
  <c r="H46" i="10"/>
  <c r="I46" i="10"/>
  <c r="K46" i="10"/>
  <c r="L46" i="10"/>
  <c r="N46" i="10"/>
  <c r="O46" i="10"/>
  <c r="P46" i="10"/>
  <c r="Q46" i="10"/>
  <c r="R46" i="10"/>
  <c r="S46" i="10"/>
  <c r="H47" i="10"/>
  <c r="I47" i="10"/>
  <c r="K47" i="10"/>
  <c r="L47" i="10"/>
  <c r="N47" i="10"/>
  <c r="O47" i="10"/>
  <c r="P47" i="10" s="1"/>
  <c r="Q47" i="10"/>
  <c r="R47" i="10"/>
  <c r="S47" i="10"/>
  <c r="H48" i="10"/>
  <c r="I48" i="10"/>
  <c r="J48" i="10" s="1"/>
  <c r="K48" i="10"/>
  <c r="L48" i="10"/>
  <c r="N48" i="10"/>
  <c r="O48" i="10"/>
  <c r="Q48" i="10"/>
  <c r="R48" i="10"/>
  <c r="S48" i="10" s="1"/>
  <c r="H49" i="10"/>
  <c r="I49" i="10"/>
  <c r="D12" i="11" s="1"/>
  <c r="J49" i="10"/>
  <c r="K49" i="10"/>
  <c r="E12" i="11" s="1"/>
  <c r="L49" i="10"/>
  <c r="N49" i="10"/>
  <c r="G12" i="11" s="1"/>
  <c r="O49" i="10"/>
  <c r="H12" i="11" s="1"/>
  <c r="Q49" i="10"/>
  <c r="I12" i="11" s="1"/>
  <c r="R49" i="10"/>
  <c r="H50" i="10"/>
  <c r="I50" i="10"/>
  <c r="J50" i="10" s="1"/>
  <c r="K50" i="10"/>
  <c r="L50" i="10"/>
  <c r="M50" i="10" s="1"/>
  <c r="N50" i="10"/>
  <c r="O50" i="10"/>
  <c r="Q50" i="10"/>
  <c r="R50" i="10"/>
  <c r="H51" i="10"/>
  <c r="I51" i="10"/>
  <c r="J51" i="10" s="1"/>
  <c r="K51" i="10"/>
  <c r="L51" i="10"/>
  <c r="N51" i="10"/>
  <c r="O51" i="10"/>
  <c r="P51" i="10" s="1"/>
  <c r="Q51" i="10"/>
  <c r="R51" i="10"/>
  <c r="H52" i="10"/>
  <c r="C6" i="11" s="1"/>
  <c r="I52" i="10"/>
  <c r="J52" i="10" s="1"/>
  <c r="K52" i="10"/>
  <c r="E6" i="11" s="1"/>
  <c r="L52" i="10"/>
  <c r="N52" i="10"/>
  <c r="G6" i="11" s="1"/>
  <c r="O52" i="10"/>
  <c r="H6" i="11" s="1"/>
  <c r="Q52" i="10"/>
  <c r="I6" i="11" s="1"/>
  <c r="R52" i="10"/>
  <c r="H53" i="10"/>
  <c r="I53" i="10"/>
  <c r="K53" i="10"/>
  <c r="L53" i="10"/>
  <c r="N53" i="10"/>
  <c r="O53" i="10"/>
  <c r="P53" i="10"/>
  <c r="Q53" i="10"/>
  <c r="R53" i="10"/>
  <c r="H54" i="10"/>
  <c r="I54" i="10"/>
  <c r="K54" i="10"/>
  <c r="L54" i="10"/>
  <c r="N54" i="10"/>
  <c r="O54" i="10"/>
  <c r="P54" i="10" s="1"/>
  <c r="Q54" i="10"/>
  <c r="R54" i="10"/>
  <c r="S54" i="10"/>
  <c r="H55" i="10"/>
  <c r="I55" i="10"/>
  <c r="J55" i="10" s="1"/>
  <c r="K55" i="10"/>
  <c r="L55" i="10"/>
  <c r="N55" i="10"/>
  <c r="P55" i="10" s="1"/>
  <c r="O55" i="10"/>
  <c r="Q55" i="10"/>
  <c r="R55" i="10"/>
  <c r="S55" i="10"/>
  <c r="H56" i="10"/>
  <c r="I56" i="10"/>
  <c r="J56" i="10" s="1"/>
  <c r="K56" i="10"/>
  <c r="L56" i="10"/>
  <c r="M56" i="10" s="1"/>
  <c r="N56" i="10"/>
  <c r="O56" i="10"/>
  <c r="P56" i="10" s="1"/>
  <c r="Q56" i="10"/>
  <c r="R56" i="10"/>
  <c r="H57" i="10"/>
  <c r="I57" i="10"/>
  <c r="J57" i="10" s="1"/>
  <c r="K57" i="10"/>
  <c r="L57" i="10"/>
  <c r="M57" i="10" s="1"/>
  <c r="N57" i="10"/>
  <c r="O57" i="10"/>
  <c r="P57" i="10"/>
  <c r="Q57" i="10"/>
  <c r="R57" i="10"/>
  <c r="H58" i="10"/>
  <c r="I58" i="10"/>
  <c r="K58" i="10"/>
  <c r="L58" i="10"/>
  <c r="N58" i="10"/>
  <c r="O58" i="10"/>
  <c r="P58" i="10"/>
  <c r="Q58" i="10"/>
  <c r="R58" i="10"/>
  <c r="S58" i="10"/>
  <c r="H59" i="10"/>
  <c r="H80" i="10" s="1"/>
  <c r="H81" i="10" s="1"/>
  <c r="H83" i="10" s="1"/>
  <c r="I59" i="10"/>
  <c r="D11" i="11" s="1"/>
  <c r="K59" i="10"/>
  <c r="L59" i="10"/>
  <c r="N59" i="10"/>
  <c r="G11" i="11" s="1"/>
  <c r="O59" i="10"/>
  <c r="H11" i="11" s="1"/>
  <c r="Q59" i="10"/>
  <c r="R59" i="10"/>
  <c r="J11" i="11" s="1"/>
  <c r="S59" i="10"/>
  <c r="H60" i="10"/>
  <c r="C3" i="11" s="1"/>
  <c r="I60" i="10"/>
  <c r="D3" i="11" s="1"/>
  <c r="K60" i="10"/>
  <c r="E3" i="11" s="1"/>
  <c r="L60" i="10"/>
  <c r="N60" i="10"/>
  <c r="G3" i="11" s="1"/>
  <c r="O60" i="10"/>
  <c r="H3" i="11" s="1"/>
  <c r="Q60" i="10"/>
  <c r="I3" i="11" s="1"/>
  <c r="R60" i="10"/>
  <c r="J3" i="11" s="1"/>
  <c r="H61" i="10"/>
  <c r="I61" i="10"/>
  <c r="J61" i="10"/>
  <c r="K61" i="10"/>
  <c r="L61" i="10"/>
  <c r="N61" i="10"/>
  <c r="O61" i="10"/>
  <c r="Q61" i="10"/>
  <c r="R61" i="10"/>
  <c r="H62" i="10"/>
  <c r="I62" i="10"/>
  <c r="J62" i="10" s="1"/>
  <c r="K62" i="10"/>
  <c r="L62" i="10"/>
  <c r="M62" i="10" s="1"/>
  <c r="N62" i="10"/>
  <c r="O62" i="10"/>
  <c r="Q62" i="10"/>
  <c r="R62" i="10"/>
  <c r="H63" i="10"/>
  <c r="I63" i="10"/>
  <c r="K63" i="10"/>
  <c r="L63" i="10"/>
  <c r="N63" i="10"/>
  <c r="O63" i="10"/>
  <c r="P63" i="10"/>
  <c r="Q63" i="10"/>
  <c r="R63" i="10"/>
  <c r="H64" i="10"/>
  <c r="I64" i="10"/>
  <c r="K64" i="10"/>
  <c r="L64" i="10"/>
  <c r="N64" i="10"/>
  <c r="O64" i="10"/>
  <c r="P64" i="10" s="1"/>
  <c r="Q64" i="10"/>
  <c r="R64" i="10"/>
  <c r="H65" i="10"/>
  <c r="I65" i="10"/>
  <c r="K65" i="10"/>
  <c r="L65" i="10"/>
  <c r="M65" i="10" s="1"/>
  <c r="N65" i="10"/>
  <c r="O65" i="10"/>
  <c r="P65" i="10"/>
  <c r="Q65" i="10"/>
  <c r="R65" i="10"/>
  <c r="H66" i="10"/>
  <c r="I66" i="10"/>
  <c r="K66" i="10"/>
  <c r="L66" i="10"/>
  <c r="N66" i="10"/>
  <c r="O66" i="10"/>
  <c r="Q66" i="10"/>
  <c r="R66" i="10"/>
  <c r="S66" i="10"/>
  <c r="H67" i="10"/>
  <c r="I67" i="10"/>
  <c r="J67" i="10" s="1"/>
  <c r="K67" i="10"/>
  <c r="L67" i="10"/>
  <c r="N67" i="10"/>
  <c r="O67" i="10"/>
  <c r="P67" i="10" s="1"/>
  <c r="Q67" i="10"/>
  <c r="R67" i="10"/>
  <c r="S67" i="10" s="1"/>
  <c r="H68" i="10"/>
  <c r="I68" i="10"/>
  <c r="J68" i="10" s="1"/>
  <c r="K68" i="10"/>
  <c r="L68" i="10"/>
  <c r="M68" i="10" s="1"/>
  <c r="N68" i="10"/>
  <c r="O68" i="10"/>
  <c r="Q68" i="10"/>
  <c r="S68" i="10" s="1"/>
  <c r="R68" i="10"/>
  <c r="H69" i="10"/>
  <c r="I69" i="10"/>
  <c r="K69" i="10"/>
  <c r="L69" i="10"/>
  <c r="M69" i="10" s="1"/>
  <c r="N69" i="10"/>
  <c r="O69" i="10"/>
  <c r="P69" i="10"/>
  <c r="Q69" i="10"/>
  <c r="S69" i="10" s="1"/>
  <c r="R69" i="10"/>
  <c r="H70" i="10"/>
  <c r="I70" i="10"/>
  <c r="J70" i="10" s="1"/>
  <c r="K70" i="10"/>
  <c r="L70" i="10"/>
  <c r="M70" i="10" s="1"/>
  <c r="N70" i="10"/>
  <c r="O70" i="10"/>
  <c r="P70" i="10"/>
  <c r="Q70" i="10"/>
  <c r="R70" i="10"/>
  <c r="S70" i="10" s="1"/>
  <c r="H71" i="10"/>
  <c r="J71" i="10" s="1"/>
  <c r="I71" i="10"/>
  <c r="K71" i="10"/>
  <c r="L71" i="10"/>
  <c r="N71" i="10"/>
  <c r="O71" i="10"/>
  <c r="P71" i="10"/>
  <c r="Q71" i="10"/>
  <c r="R71" i="10"/>
  <c r="S71" i="10"/>
  <c r="H72" i="10"/>
  <c r="I72" i="10"/>
  <c r="J72" i="10" s="1"/>
  <c r="K72" i="10"/>
  <c r="L72" i="10"/>
  <c r="N72" i="10"/>
  <c r="O72" i="10"/>
  <c r="Q72" i="10"/>
  <c r="R72" i="10"/>
  <c r="S72" i="10"/>
  <c r="H73" i="10"/>
  <c r="I73" i="10"/>
  <c r="J73" i="10" s="1"/>
  <c r="K73" i="10"/>
  <c r="L73" i="10"/>
  <c r="N73" i="10"/>
  <c r="O73" i="10"/>
  <c r="Q73" i="10"/>
  <c r="R73" i="10"/>
  <c r="S73" i="10" s="1"/>
  <c r="H74" i="10"/>
  <c r="I74" i="10"/>
  <c r="J74" i="10"/>
  <c r="K74" i="10"/>
  <c r="L74" i="10"/>
  <c r="N74" i="10"/>
  <c r="O74" i="10"/>
  <c r="Q74" i="10"/>
  <c r="R74" i="10"/>
  <c r="S74" i="10" s="1"/>
  <c r="H75" i="10"/>
  <c r="I75" i="10"/>
  <c r="J75" i="10" s="1"/>
  <c r="K75" i="10"/>
  <c r="L75" i="10"/>
  <c r="N75" i="10"/>
  <c r="O75" i="10"/>
  <c r="Q75" i="10"/>
  <c r="R75" i="10"/>
  <c r="S75" i="10" s="1"/>
  <c r="R2" i="10"/>
  <c r="Q2" i="10"/>
  <c r="O2" i="10"/>
  <c r="N2" i="10"/>
  <c r="L2" i="10"/>
  <c r="K2" i="10"/>
  <c r="I2" i="10"/>
  <c r="J2" i="10" s="1"/>
  <c r="H2" i="10"/>
  <c r="N78" i="7"/>
  <c r="N77" i="7"/>
  <c r="N76" i="7"/>
  <c r="N75" i="7"/>
  <c r="N74" i="7"/>
  <c r="N73" i="7"/>
  <c r="N72" i="7"/>
  <c r="N71" i="7"/>
  <c r="N70" i="7"/>
  <c r="N69" i="7"/>
  <c r="N68" i="7"/>
  <c r="N67" i="7"/>
  <c r="N66" i="7"/>
  <c r="N65" i="7"/>
  <c r="N64" i="7"/>
  <c r="N63" i="7"/>
  <c r="N62" i="7"/>
  <c r="N61" i="7"/>
  <c r="N60" i="7"/>
  <c r="N59" i="7"/>
  <c r="N58" i="7"/>
  <c r="N57" i="7"/>
  <c r="N56" i="7"/>
  <c r="N55" i="7"/>
  <c r="N54" i="7"/>
  <c r="N53" i="7"/>
  <c r="N52" i="7"/>
  <c r="N51" i="7"/>
  <c r="N50" i="7"/>
  <c r="L78" i="7"/>
  <c r="L77" i="7"/>
  <c r="L76" i="7"/>
  <c r="L75" i="7"/>
  <c r="L74" i="7"/>
  <c r="L73" i="7"/>
  <c r="L72" i="7"/>
  <c r="L71" i="7"/>
  <c r="L70" i="7"/>
  <c r="L69" i="7"/>
  <c r="L68" i="7"/>
  <c r="L67" i="7"/>
  <c r="L66" i="7"/>
  <c r="L65" i="7"/>
  <c r="L64" i="7"/>
  <c r="L63" i="7"/>
  <c r="L62" i="7"/>
  <c r="L61" i="7"/>
  <c r="L60" i="7"/>
  <c r="L59" i="7"/>
  <c r="L58" i="7"/>
  <c r="L57" i="7"/>
  <c r="L56" i="7"/>
  <c r="L55" i="7"/>
  <c r="L54" i="7"/>
  <c r="L53" i="7"/>
  <c r="L52" i="7"/>
  <c r="L51" i="7"/>
  <c r="L50" i="7"/>
  <c r="N25" i="7"/>
  <c r="N35" i="7"/>
  <c r="N34" i="7"/>
  <c r="N39" i="7"/>
  <c r="L39" i="7"/>
  <c r="L25" i="7"/>
  <c r="L35" i="7"/>
  <c r="L34" i="7"/>
  <c r="Q78" i="7"/>
  <c r="R78" i="7" s="1"/>
  <c r="O78" i="7"/>
  <c r="P78" i="7" s="1"/>
  <c r="M78" i="7"/>
  <c r="K78" i="7"/>
  <c r="Q77" i="7"/>
  <c r="R77" i="7" s="1"/>
  <c r="O77" i="7"/>
  <c r="P77" i="7" s="1"/>
  <c r="M77" i="7"/>
  <c r="K77" i="7"/>
  <c r="Q76" i="7"/>
  <c r="R76" i="7" s="1"/>
  <c r="O76" i="7"/>
  <c r="P76" i="7" s="1"/>
  <c r="M76" i="7"/>
  <c r="K76" i="7"/>
  <c r="Q75" i="7"/>
  <c r="R75" i="7" s="1"/>
  <c r="O75" i="7"/>
  <c r="P75" i="7" s="1"/>
  <c r="M75" i="7"/>
  <c r="K75" i="7"/>
  <c r="Q74" i="7"/>
  <c r="R74" i="7" s="1"/>
  <c r="O74" i="7"/>
  <c r="P74" i="7" s="1"/>
  <c r="M74" i="7"/>
  <c r="K74" i="7"/>
  <c r="Q73" i="7"/>
  <c r="R73" i="7" s="1"/>
  <c r="O73" i="7"/>
  <c r="P73" i="7" s="1"/>
  <c r="M73" i="7"/>
  <c r="K73" i="7"/>
  <c r="Q72" i="7"/>
  <c r="R72" i="7" s="1"/>
  <c r="O72" i="7"/>
  <c r="P72" i="7" s="1"/>
  <c r="M72" i="7"/>
  <c r="K72" i="7"/>
  <c r="Q71" i="7"/>
  <c r="R71" i="7" s="1"/>
  <c r="O71" i="7"/>
  <c r="P71" i="7" s="1"/>
  <c r="M71" i="7"/>
  <c r="K71" i="7"/>
  <c r="Q70" i="7"/>
  <c r="R70" i="7" s="1"/>
  <c r="O70" i="7"/>
  <c r="P70" i="7" s="1"/>
  <c r="M70" i="7"/>
  <c r="K70" i="7"/>
  <c r="Q69" i="7"/>
  <c r="R69" i="7" s="1"/>
  <c r="O69" i="7"/>
  <c r="P69" i="7" s="1"/>
  <c r="M69" i="7"/>
  <c r="K69" i="7"/>
  <c r="Q68" i="7"/>
  <c r="R68" i="7" s="1"/>
  <c r="P68" i="7"/>
  <c r="O68" i="7"/>
  <c r="M68" i="7"/>
  <c r="K68" i="7"/>
  <c r="Q67" i="7"/>
  <c r="R67" i="7" s="1"/>
  <c r="O67" i="7"/>
  <c r="P67" i="7" s="1"/>
  <c r="M67" i="7"/>
  <c r="K67" i="7"/>
  <c r="Q66" i="7"/>
  <c r="R66" i="7" s="1"/>
  <c r="O66" i="7"/>
  <c r="P66" i="7" s="1"/>
  <c r="M66" i="7"/>
  <c r="K66" i="7"/>
  <c r="Q65" i="7"/>
  <c r="R65" i="7" s="1"/>
  <c r="P65" i="7"/>
  <c r="O65" i="7"/>
  <c r="M65" i="7"/>
  <c r="K65" i="7"/>
  <c r="Q64" i="7"/>
  <c r="R64" i="7" s="1"/>
  <c r="O64" i="7"/>
  <c r="P64" i="7" s="1"/>
  <c r="M64" i="7"/>
  <c r="K64" i="7"/>
  <c r="Q63" i="7"/>
  <c r="R63" i="7" s="1"/>
  <c r="O63" i="7"/>
  <c r="P63" i="7" s="1"/>
  <c r="M63" i="7"/>
  <c r="K63" i="7"/>
  <c r="Q62" i="7"/>
  <c r="R62" i="7" s="1"/>
  <c r="P62" i="7"/>
  <c r="O62" i="7"/>
  <c r="M62" i="7"/>
  <c r="K62" i="7"/>
  <c r="Q61" i="7"/>
  <c r="R61" i="7" s="1"/>
  <c r="O61" i="7"/>
  <c r="P61" i="7" s="1"/>
  <c r="M61" i="7"/>
  <c r="K61" i="7"/>
  <c r="Q60" i="7"/>
  <c r="R60" i="7" s="1"/>
  <c r="O60" i="7"/>
  <c r="P60" i="7" s="1"/>
  <c r="M60" i="7"/>
  <c r="K60" i="7"/>
  <c r="Q59" i="7"/>
  <c r="R59" i="7" s="1"/>
  <c r="O59" i="7"/>
  <c r="P59" i="7" s="1"/>
  <c r="M59" i="7"/>
  <c r="K59" i="7"/>
  <c r="Q58" i="7"/>
  <c r="R58" i="7" s="1"/>
  <c r="O58" i="7"/>
  <c r="P58" i="7" s="1"/>
  <c r="M58" i="7"/>
  <c r="K58" i="7"/>
  <c r="Q57" i="7"/>
  <c r="R57" i="7" s="1"/>
  <c r="O57" i="7"/>
  <c r="P57" i="7" s="1"/>
  <c r="M57" i="7"/>
  <c r="K57" i="7"/>
  <c r="Q56" i="7"/>
  <c r="R56" i="7" s="1"/>
  <c r="O56" i="7"/>
  <c r="P56" i="7" s="1"/>
  <c r="M56" i="7"/>
  <c r="K56" i="7"/>
  <c r="Q55" i="7"/>
  <c r="R55" i="7" s="1"/>
  <c r="O55" i="7"/>
  <c r="P55" i="7" s="1"/>
  <c r="M55" i="7"/>
  <c r="K55" i="7"/>
  <c r="Q54" i="7"/>
  <c r="R54" i="7" s="1"/>
  <c r="O54" i="7"/>
  <c r="P54" i="7" s="1"/>
  <c r="M54" i="7"/>
  <c r="K54" i="7"/>
  <c r="Q53" i="7"/>
  <c r="R53" i="7" s="1"/>
  <c r="O53" i="7"/>
  <c r="P53" i="7" s="1"/>
  <c r="M53" i="7"/>
  <c r="K53" i="7"/>
  <c r="Q52" i="7"/>
  <c r="R52" i="7" s="1"/>
  <c r="O52" i="7"/>
  <c r="P52" i="7" s="1"/>
  <c r="M52" i="7"/>
  <c r="K52" i="7"/>
  <c r="Q51" i="7"/>
  <c r="R51" i="7" s="1"/>
  <c r="O51" i="7"/>
  <c r="P51" i="7" s="1"/>
  <c r="M51" i="7"/>
  <c r="K51" i="7"/>
  <c r="Q50" i="7"/>
  <c r="R50" i="7" s="1"/>
  <c r="P50" i="7"/>
  <c r="O50" i="7"/>
  <c r="M50" i="7"/>
  <c r="K50" i="7"/>
  <c r="AC18" i="15" l="1"/>
  <c r="AE17" i="15"/>
  <c r="J64" i="10"/>
  <c r="P28" i="10"/>
  <c r="P61" i="10"/>
  <c r="P18" i="10"/>
  <c r="J13" i="10"/>
  <c r="J65" i="10"/>
  <c r="M75" i="10"/>
  <c r="S60" i="10"/>
  <c r="J53" i="10"/>
  <c r="J40" i="10"/>
  <c r="P38" i="10"/>
  <c r="J37" i="10"/>
  <c r="P33" i="10"/>
  <c r="M32" i="10"/>
  <c r="J27" i="10"/>
  <c r="S25" i="10"/>
  <c r="J11" i="10"/>
  <c r="S9" i="10"/>
  <c r="M8" i="10"/>
  <c r="G23" i="11"/>
  <c r="G36" i="11" s="1"/>
  <c r="K36" i="11" s="1"/>
  <c r="S19" i="10"/>
  <c r="E14" i="11"/>
  <c r="P66" i="10"/>
  <c r="M67" i="10"/>
  <c r="J66" i="10"/>
  <c r="S56" i="10"/>
  <c r="S52" i="10"/>
  <c r="S43" i="10"/>
  <c r="J41" i="10"/>
  <c r="M16" i="10"/>
  <c r="P75" i="10"/>
  <c r="P72" i="10"/>
  <c r="M63" i="10"/>
  <c r="L78" i="10"/>
  <c r="J58" i="10"/>
  <c r="J54" i="10"/>
  <c r="M46" i="10"/>
  <c r="J32" i="10"/>
  <c r="J28" i="10"/>
  <c r="S14" i="10"/>
  <c r="P13" i="10"/>
  <c r="J8" i="10"/>
  <c r="M5" i="10"/>
  <c r="J9" i="10"/>
  <c r="J6" i="10"/>
  <c r="P68" i="10"/>
  <c r="S65" i="10"/>
  <c r="S61" i="10"/>
  <c r="M55" i="10"/>
  <c r="P52" i="10"/>
  <c r="M51" i="10"/>
  <c r="P43" i="10"/>
  <c r="J42" i="10"/>
  <c r="P39" i="10"/>
  <c r="M29" i="10"/>
  <c r="S26" i="10"/>
  <c r="J47" i="10"/>
  <c r="M72" i="10"/>
  <c r="J63" i="10"/>
  <c r="S57" i="10"/>
  <c r="S53" i="10"/>
  <c r="S49" i="10"/>
  <c r="J46" i="10"/>
  <c r="S40" i="10"/>
  <c r="J38" i="10"/>
  <c r="S31" i="10"/>
  <c r="P30" i="10"/>
  <c r="J24" i="10"/>
  <c r="P14" i="10"/>
  <c r="M13" i="10"/>
  <c r="J12" i="10"/>
  <c r="D6" i="11"/>
  <c r="M74" i="10"/>
  <c r="M66" i="10"/>
  <c r="S63" i="10"/>
  <c r="P62" i="10"/>
  <c r="M61" i="10"/>
  <c r="J60" i="10"/>
  <c r="M54" i="10"/>
  <c r="S51" i="10"/>
  <c r="P50" i="10"/>
  <c r="M49" i="10"/>
  <c r="J33" i="10"/>
  <c r="P29" i="10"/>
  <c r="M27" i="10"/>
  <c r="J26" i="10"/>
  <c r="H5" i="11"/>
  <c r="J6" i="11"/>
  <c r="M28" i="10"/>
  <c r="S24" i="10"/>
  <c r="P21" i="10"/>
  <c r="S4" i="10"/>
  <c r="P3" i="10"/>
  <c r="M38" i="10"/>
  <c r="J20" i="10"/>
  <c r="F4" i="11"/>
  <c r="F18" i="11"/>
  <c r="F31" i="11" s="1"/>
  <c r="F23" i="11"/>
  <c r="L23" i="11" s="1"/>
  <c r="S27" i="10"/>
  <c r="I11" i="11"/>
  <c r="Q80" i="10"/>
  <c r="Q81" i="10" s="1"/>
  <c r="Q83" i="10" s="1"/>
  <c r="S2" i="10"/>
  <c r="J69" i="10"/>
  <c r="M64" i="10"/>
  <c r="N78" i="10"/>
  <c r="N80" i="10"/>
  <c r="N81" i="10" s="1"/>
  <c r="N83" i="10" s="1"/>
  <c r="M58" i="10"/>
  <c r="M52" i="10"/>
  <c r="M45" i="10"/>
  <c r="J44" i="10"/>
  <c r="S42" i="10"/>
  <c r="M39" i="10"/>
  <c r="M24" i="10"/>
  <c r="J22" i="10"/>
  <c r="M17" i="10"/>
  <c r="M11" i="10"/>
  <c r="D4" i="11"/>
  <c r="F11" i="11"/>
  <c r="L11" i="11" s="1"/>
  <c r="P60" i="11" s="1"/>
  <c r="J10" i="11"/>
  <c r="J8" i="11" s="1"/>
  <c r="I17" i="11"/>
  <c r="I14" i="11" s="1"/>
  <c r="P2" i="10"/>
  <c r="K80" i="10"/>
  <c r="K81" i="10" s="1"/>
  <c r="K83" i="10" s="1"/>
  <c r="M53" i="10"/>
  <c r="P48" i="10"/>
  <c r="J45" i="10"/>
  <c r="M40" i="10"/>
  <c r="J39" i="10"/>
  <c r="M18" i="10"/>
  <c r="C7" i="11"/>
  <c r="K7" i="11" s="1"/>
  <c r="O41" i="11" s="1"/>
  <c r="P73" i="10"/>
  <c r="P74" i="10"/>
  <c r="M73" i="10"/>
  <c r="S62" i="10"/>
  <c r="M60" i="10"/>
  <c r="J59" i="10"/>
  <c r="S50" i="10"/>
  <c r="P49" i="10"/>
  <c r="M48" i="10"/>
  <c r="P42" i="10"/>
  <c r="M33" i="10"/>
  <c r="J25" i="10"/>
  <c r="J7" i="11"/>
  <c r="J13" i="11" s="1"/>
  <c r="F24" i="11"/>
  <c r="F37" i="11" s="1"/>
  <c r="M2" i="10"/>
  <c r="S64" i="10"/>
  <c r="P36" i="10"/>
  <c r="M34" i="10"/>
  <c r="S30" i="10"/>
  <c r="S22" i="10"/>
  <c r="S3" i="10"/>
  <c r="F17" i="11"/>
  <c r="F30" i="11" s="1"/>
  <c r="J24" i="11"/>
  <c r="J37" i="11" s="1"/>
  <c r="K78" i="10"/>
  <c r="H21" i="11"/>
  <c r="H34" i="11" s="1"/>
  <c r="F21" i="11"/>
  <c r="F34" i="11" s="1"/>
  <c r="F7" i="11"/>
  <c r="F19" i="11"/>
  <c r="F32" i="11" s="1"/>
  <c r="P59" i="10"/>
  <c r="M20" i="10"/>
  <c r="R78" i="10"/>
  <c r="F5" i="11"/>
  <c r="F10" i="11"/>
  <c r="F22" i="11"/>
  <c r="F35" i="11" s="1"/>
  <c r="H20" i="11"/>
  <c r="H33" i="11" s="1"/>
  <c r="H78" i="10"/>
  <c r="P60" i="10"/>
  <c r="Q78" i="10"/>
  <c r="F25" i="11"/>
  <c r="F38" i="11" s="1"/>
  <c r="J23" i="11"/>
  <c r="J36" i="11" s="1"/>
  <c r="D17" i="11"/>
  <c r="D14" i="11" s="1"/>
  <c r="I78" i="10"/>
  <c r="E11" i="11"/>
  <c r="F12" i="11"/>
  <c r="O78" i="10"/>
  <c r="D5" i="11"/>
  <c r="L5" i="11" s="1"/>
  <c r="C11" i="11"/>
  <c r="K11" i="11" s="1"/>
  <c r="O60" i="11" s="1"/>
  <c r="F20" i="11"/>
  <c r="F33" i="11" s="1"/>
  <c r="M71" i="10"/>
  <c r="M59" i="10"/>
  <c r="M47" i="10"/>
  <c r="M35" i="10"/>
  <c r="M23" i="10"/>
  <c r="M12" i="10"/>
  <c r="F3" i="11"/>
  <c r="L3" i="11" s="1"/>
  <c r="C12" i="11"/>
  <c r="K12" i="11" s="1"/>
  <c r="F6" i="11"/>
  <c r="J14" i="11"/>
  <c r="E13" i="11"/>
  <c r="G13" i="11"/>
  <c r="K24" i="11"/>
  <c r="K6" i="11"/>
  <c r="K5" i="11"/>
  <c r="C8" i="11"/>
  <c r="C37" i="11"/>
  <c r="C30" i="11"/>
  <c r="G8" i="11"/>
  <c r="D30" i="11"/>
  <c r="K3" i="11"/>
  <c r="O4" i="11" s="1"/>
  <c r="V5" i="11" s="1"/>
  <c r="H13" i="11"/>
  <c r="K20" i="11"/>
  <c r="L18" i="11"/>
  <c r="I13" i="11"/>
  <c r="K25" i="11"/>
  <c r="K22" i="11"/>
  <c r="D38" i="11"/>
  <c r="E38" i="11"/>
  <c r="K38" i="11" s="1"/>
  <c r="K21" i="11"/>
  <c r="E8" i="11"/>
  <c r="K19" i="11"/>
  <c r="K4" i="11"/>
  <c r="K18" i="11"/>
  <c r="K32" i="11"/>
  <c r="D35" i="11"/>
  <c r="D13" i="11"/>
  <c r="E35" i="11"/>
  <c r="K35" i="11" s="1"/>
  <c r="C34" i="11"/>
  <c r="K34" i="11" s="1"/>
  <c r="I37" i="11"/>
  <c r="J32" i="11"/>
  <c r="H8" i="11"/>
  <c r="H31" i="11"/>
  <c r="I8" i="11"/>
  <c r="I31" i="11"/>
  <c r="K31" i="11" s="1"/>
  <c r="B44" i="11" s="1"/>
  <c r="G14" i="11"/>
  <c r="G30" i="11"/>
  <c r="H14" i="11"/>
  <c r="H30" i="11"/>
  <c r="F36" i="11"/>
  <c r="L36" i="11" s="1"/>
  <c r="D34" i="11"/>
  <c r="C33" i="11"/>
  <c r="K33" i="11" s="1"/>
  <c r="J30" i="11"/>
  <c r="O83" i="7"/>
  <c r="P83" i="7" s="1"/>
  <c r="O82" i="7"/>
  <c r="P82" i="7" s="1"/>
  <c r="O87" i="7"/>
  <c r="P87" i="7" s="1"/>
  <c r="M86" i="7"/>
  <c r="N86" i="7" s="1"/>
  <c r="K88" i="7"/>
  <c r="L88" i="7" s="1"/>
  <c r="L87" i="7"/>
  <c r="R25" i="7"/>
  <c r="P35" i="7"/>
  <c r="O25" i="7"/>
  <c r="P25" i="7" s="1"/>
  <c r="O35" i="7"/>
  <c r="R41" i="7"/>
  <c r="R42" i="7"/>
  <c r="R49" i="7"/>
  <c r="R87" i="7"/>
  <c r="R21" i="7"/>
  <c r="P33" i="7"/>
  <c r="P34" i="7"/>
  <c r="P36" i="7"/>
  <c r="P46" i="7"/>
  <c r="P47" i="7"/>
  <c r="P48" i="7"/>
  <c r="P21" i="7"/>
  <c r="N22" i="7"/>
  <c r="N24" i="7"/>
  <c r="N33" i="7"/>
  <c r="N36" i="7"/>
  <c r="N37" i="7"/>
  <c r="N38" i="7"/>
  <c r="N21" i="7"/>
  <c r="L28" i="7"/>
  <c r="L86" i="7"/>
  <c r="L21" i="7"/>
  <c r="R14" i="7"/>
  <c r="R6" i="7"/>
  <c r="R7" i="7"/>
  <c r="R5" i="7"/>
  <c r="P9" i="7"/>
  <c r="P8" i="7"/>
  <c r="BC24" i="2"/>
  <c r="N9" i="7"/>
  <c r="N8" i="7"/>
  <c r="N7" i="7"/>
  <c r="Q5" i="7"/>
  <c r="Q6" i="7"/>
  <c r="Q7" i="7"/>
  <c r="Q8" i="7"/>
  <c r="R8" i="7" s="1"/>
  <c r="Q9" i="7"/>
  <c r="R9" i="7" s="1"/>
  <c r="Q10" i="7"/>
  <c r="R10" i="7" s="1"/>
  <c r="Q11" i="7"/>
  <c r="R11" i="7" s="1"/>
  <c r="Q12" i="7"/>
  <c r="R12" i="7" s="1"/>
  <c r="Q13" i="7"/>
  <c r="R13" i="7" s="1"/>
  <c r="Q14" i="7"/>
  <c r="Q18" i="7"/>
  <c r="R18" i="7" s="1"/>
  <c r="Q19" i="7"/>
  <c r="R19" i="7" s="1"/>
  <c r="Q21" i="7"/>
  <c r="Q22" i="7"/>
  <c r="R22" i="7" s="1"/>
  <c r="Q23" i="7"/>
  <c r="R23" i="7" s="1"/>
  <c r="Q24" i="7"/>
  <c r="R24" i="7" s="1"/>
  <c r="Q25" i="7"/>
  <c r="Q26" i="7"/>
  <c r="R26" i="7" s="1"/>
  <c r="Q27" i="7"/>
  <c r="R27" i="7" s="1"/>
  <c r="Q28" i="7"/>
  <c r="R28" i="7" s="1"/>
  <c r="Q29" i="7"/>
  <c r="R29" i="7" s="1"/>
  <c r="Q30" i="7"/>
  <c r="R30" i="7" s="1"/>
  <c r="Q31" i="7"/>
  <c r="R31" i="7" s="1"/>
  <c r="Q32" i="7"/>
  <c r="R32" i="7" s="1"/>
  <c r="Q33" i="7"/>
  <c r="R33" i="7" s="1"/>
  <c r="Q34" i="7"/>
  <c r="R34" i="7" s="1"/>
  <c r="Q35" i="7"/>
  <c r="R35" i="7" s="1"/>
  <c r="Q36" i="7"/>
  <c r="R36" i="7" s="1"/>
  <c r="Q37" i="7"/>
  <c r="R37" i="7" s="1"/>
  <c r="Q38" i="7"/>
  <c r="R38" i="7" s="1"/>
  <c r="Q39" i="7"/>
  <c r="R39" i="7" s="1"/>
  <c r="Q40" i="7"/>
  <c r="R40" i="7" s="1"/>
  <c r="Q41" i="7"/>
  <c r="Q42" i="7"/>
  <c r="Q43" i="7"/>
  <c r="R43" i="7" s="1"/>
  <c r="Q44" i="7"/>
  <c r="R44" i="7" s="1"/>
  <c r="Q45" i="7"/>
  <c r="R45" i="7" s="1"/>
  <c r="Q46" i="7"/>
  <c r="R46" i="7" s="1"/>
  <c r="Q47" i="7"/>
  <c r="R47" i="7" s="1"/>
  <c r="Q48" i="7"/>
  <c r="R48" i="7" s="1"/>
  <c r="Q49" i="7"/>
  <c r="Q80" i="7"/>
  <c r="R80" i="7" s="1"/>
  <c r="Q81" i="7"/>
  <c r="R81" i="7" s="1"/>
  <c r="Q82" i="7"/>
  <c r="R82" i="7" s="1"/>
  <c r="Q83" i="7"/>
  <c r="R83" i="7" s="1"/>
  <c r="Q84" i="7"/>
  <c r="R84" i="7" s="1"/>
  <c r="Q85" i="7"/>
  <c r="R85" i="7" s="1"/>
  <c r="Q86" i="7"/>
  <c r="R86" i="7" s="1"/>
  <c r="Q87" i="7"/>
  <c r="O5" i="7"/>
  <c r="O6" i="7"/>
  <c r="P6" i="7" s="1"/>
  <c r="O7" i="7"/>
  <c r="P7" i="7" s="1"/>
  <c r="O8" i="7"/>
  <c r="O9" i="7"/>
  <c r="O10" i="7"/>
  <c r="P10" i="7" s="1"/>
  <c r="O11" i="7"/>
  <c r="P11" i="7" s="1"/>
  <c r="O12" i="7"/>
  <c r="P12" i="7" s="1"/>
  <c r="O13" i="7"/>
  <c r="P13" i="7" s="1"/>
  <c r="O14" i="7"/>
  <c r="P14" i="7" s="1"/>
  <c r="O18" i="7"/>
  <c r="P18" i="7" s="1"/>
  <c r="O19" i="7"/>
  <c r="P19" i="7" s="1"/>
  <c r="O21" i="7"/>
  <c r="O22" i="7"/>
  <c r="P22" i="7" s="1"/>
  <c r="O23" i="7"/>
  <c r="P23" i="7" s="1"/>
  <c r="O24" i="7"/>
  <c r="P24" i="7" s="1"/>
  <c r="O26" i="7"/>
  <c r="P26" i="7" s="1"/>
  <c r="O27" i="7"/>
  <c r="P27" i="7" s="1"/>
  <c r="O28" i="7"/>
  <c r="P28" i="7" s="1"/>
  <c r="O29" i="7"/>
  <c r="P29" i="7" s="1"/>
  <c r="O30" i="7"/>
  <c r="P30" i="7" s="1"/>
  <c r="O31" i="7"/>
  <c r="P31" i="7" s="1"/>
  <c r="O32" i="7"/>
  <c r="P32" i="7" s="1"/>
  <c r="O33" i="7"/>
  <c r="O34" i="7"/>
  <c r="O36" i="7"/>
  <c r="O37" i="7"/>
  <c r="P37" i="7" s="1"/>
  <c r="O38" i="7"/>
  <c r="P38" i="7" s="1"/>
  <c r="O39" i="7"/>
  <c r="P39" i="7" s="1"/>
  <c r="O40" i="7"/>
  <c r="P40" i="7" s="1"/>
  <c r="O41" i="7"/>
  <c r="P41" i="7" s="1"/>
  <c r="O42" i="7"/>
  <c r="P42" i="7" s="1"/>
  <c r="O43" i="7"/>
  <c r="P43" i="7" s="1"/>
  <c r="O44" i="7"/>
  <c r="P44" i="7" s="1"/>
  <c r="O45" i="7"/>
  <c r="P45" i="7" s="1"/>
  <c r="O46" i="7"/>
  <c r="O47" i="7"/>
  <c r="O48" i="7"/>
  <c r="O49" i="7"/>
  <c r="P49" i="7" s="1"/>
  <c r="O80" i="7"/>
  <c r="P80" i="7" s="1"/>
  <c r="O81" i="7"/>
  <c r="P81" i="7" s="1"/>
  <c r="O84" i="7"/>
  <c r="P84" i="7" s="1"/>
  <c r="O85" i="7"/>
  <c r="P85" i="7" s="1"/>
  <c r="O86" i="7"/>
  <c r="P86" i="7" s="1"/>
  <c r="M5" i="7"/>
  <c r="M6" i="7"/>
  <c r="N6" i="7" s="1"/>
  <c r="M7" i="7"/>
  <c r="M8" i="7"/>
  <c r="M9" i="7"/>
  <c r="M10" i="7"/>
  <c r="N10" i="7" s="1"/>
  <c r="M11" i="7"/>
  <c r="N11" i="7" s="1"/>
  <c r="M12" i="7"/>
  <c r="N12" i="7" s="1"/>
  <c r="M13" i="7"/>
  <c r="N13" i="7" s="1"/>
  <c r="M14" i="7"/>
  <c r="N14" i="7" s="1"/>
  <c r="M18" i="7"/>
  <c r="N18" i="7" s="1"/>
  <c r="M19" i="7"/>
  <c r="N19" i="7" s="1"/>
  <c r="M21" i="7"/>
  <c r="M22" i="7"/>
  <c r="M23" i="7"/>
  <c r="N23" i="7" s="1"/>
  <c r="M24" i="7"/>
  <c r="M25" i="7"/>
  <c r="M26" i="7"/>
  <c r="N26" i="7" s="1"/>
  <c r="M27" i="7"/>
  <c r="N27" i="7" s="1"/>
  <c r="M28" i="7"/>
  <c r="N28" i="7" s="1"/>
  <c r="M29" i="7"/>
  <c r="N29" i="7" s="1"/>
  <c r="M30" i="7"/>
  <c r="N30" i="7" s="1"/>
  <c r="M31" i="7"/>
  <c r="N31" i="7" s="1"/>
  <c r="M32" i="7"/>
  <c r="N32" i="7" s="1"/>
  <c r="M33" i="7"/>
  <c r="M34" i="7"/>
  <c r="M35" i="7"/>
  <c r="M36" i="7"/>
  <c r="M37" i="7"/>
  <c r="M38" i="7"/>
  <c r="M39" i="7"/>
  <c r="M40" i="7"/>
  <c r="N40" i="7" s="1"/>
  <c r="M41" i="7"/>
  <c r="N41" i="7" s="1"/>
  <c r="M42" i="7"/>
  <c r="N42" i="7" s="1"/>
  <c r="M43" i="7"/>
  <c r="N43" i="7" s="1"/>
  <c r="M44" i="7"/>
  <c r="N44" i="7" s="1"/>
  <c r="M45" i="7"/>
  <c r="N45" i="7" s="1"/>
  <c r="M46" i="7"/>
  <c r="N46" i="7" s="1"/>
  <c r="M47" i="7"/>
  <c r="N47" i="7" s="1"/>
  <c r="M48" i="7"/>
  <c r="N48" i="7" s="1"/>
  <c r="M49" i="7"/>
  <c r="N49" i="7" s="1"/>
  <c r="M80" i="7"/>
  <c r="N80" i="7" s="1"/>
  <c r="M81" i="7"/>
  <c r="N81" i="7" s="1"/>
  <c r="M82" i="7"/>
  <c r="N82" i="7" s="1"/>
  <c r="M83" i="7"/>
  <c r="N83" i="7" s="1"/>
  <c r="M84" i="7"/>
  <c r="N84" i="7" s="1"/>
  <c r="M85" i="7"/>
  <c r="N85" i="7" s="1"/>
  <c r="M87" i="7"/>
  <c r="N87" i="7" s="1"/>
  <c r="K5" i="7"/>
  <c r="L5" i="7" s="1"/>
  <c r="K6" i="7"/>
  <c r="L6" i="7" s="1"/>
  <c r="K7" i="7"/>
  <c r="L7" i="7" s="1"/>
  <c r="K8" i="7"/>
  <c r="L8" i="7" s="1"/>
  <c r="K9" i="7"/>
  <c r="L9" i="7" s="1"/>
  <c r="K10" i="7"/>
  <c r="L10" i="7" s="1"/>
  <c r="K11" i="7"/>
  <c r="L11" i="7" s="1"/>
  <c r="K12" i="7"/>
  <c r="L12" i="7" s="1"/>
  <c r="K13" i="7"/>
  <c r="L13" i="7" s="1"/>
  <c r="K14" i="7"/>
  <c r="L14" i="7" s="1"/>
  <c r="K18" i="7"/>
  <c r="L18" i="7" s="1"/>
  <c r="K19" i="7"/>
  <c r="L19" i="7" s="1"/>
  <c r="K21" i="7"/>
  <c r="K22" i="7"/>
  <c r="L22" i="7" s="1"/>
  <c r="K23" i="7"/>
  <c r="L23" i="7" s="1"/>
  <c r="K24" i="7"/>
  <c r="L24" i="7" s="1"/>
  <c r="K25" i="7"/>
  <c r="K26" i="7"/>
  <c r="L26" i="7" s="1"/>
  <c r="K27" i="7"/>
  <c r="L27" i="7" s="1"/>
  <c r="K28" i="7"/>
  <c r="K29" i="7"/>
  <c r="L29" i="7" s="1"/>
  <c r="K30" i="7"/>
  <c r="L30" i="7" s="1"/>
  <c r="K31" i="7"/>
  <c r="L31" i="7" s="1"/>
  <c r="K32" i="7"/>
  <c r="L32" i="7" s="1"/>
  <c r="K33" i="7"/>
  <c r="L33" i="7" s="1"/>
  <c r="K34" i="7"/>
  <c r="K35" i="7"/>
  <c r="K36" i="7"/>
  <c r="L36" i="7" s="1"/>
  <c r="K37" i="7"/>
  <c r="L37" i="7" s="1"/>
  <c r="K38" i="7"/>
  <c r="L38" i="7" s="1"/>
  <c r="K39" i="7"/>
  <c r="K40" i="7"/>
  <c r="L40" i="7" s="1"/>
  <c r="K41" i="7"/>
  <c r="L41" i="7" s="1"/>
  <c r="K42" i="7"/>
  <c r="L42" i="7" s="1"/>
  <c r="K43" i="7"/>
  <c r="L43" i="7" s="1"/>
  <c r="K44" i="7"/>
  <c r="L44" i="7" s="1"/>
  <c r="K45" i="7"/>
  <c r="L45" i="7" s="1"/>
  <c r="K46" i="7"/>
  <c r="L46" i="7" s="1"/>
  <c r="K47" i="7"/>
  <c r="L47" i="7" s="1"/>
  <c r="K48" i="7"/>
  <c r="L48" i="7" s="1"/>
  <c r="K49" i="7"/>
  <c r="L49" i="7" s="1"/>
  <c r="K80" i="7"/>
  <c r="L80" i="7" s="1"/>
  <c r="K81" i="7"/>
  <c r="L81" i="7" s="1"/>
  <c r="K82" i="7"/>
  <c r="L82" i="7" s="1"/>
  <c r="K83" i="7"/>
  <c r="L83" i="7" s="1"/>
  <c r="K84" i="7"/>
  <c r="L84" i="7" s="1"/>
  <c r="K85" i="7"/>
  <c r="L85" i="7" s="1"/>
  <c r="K86" i="7"/>
  <c r="K87" i="7"/>
  <c r="Y39" i="1"/>
  <c r="AC19" i="15" l="1"/>
  <c r="AE18" i="15"/>
  <c r="L4" i="11"/>
  <c r="I30" i="11"/>
  <c r="L6" i="11"/>
  <c r="C13" i="11"/>
  <c r="L25" i="11"/>
  <c r="C14" i="11"/>
  <c r="L32" i="11"/>
  <c r="L7" i="11"/>
  <c r="P41" i="11" s="1"/>
  <c r="Q41" i="11" s="1"/>
  <c r="L33" i="11"/>
  <c r="K23" i="11"/>
  <c r="L35" i="11"/>
  <c r="L22" i="11"/>
  <c r="F14" i="11"/>
  <c r="L20" i="11"/>
  <c r="K17" i="11"/>
  <c r="K14" i="11" s="1"/>
  <c r="L24" i="11"/>
  <c r="L12" i="11"/>
  <c r="F8" i="11"/>
  <c r="F13" i="11"/>
  <c r="S83" i="10"/>
  <c r="L17" i="11"/>
  <c r="D8" i="11"/>
  <c r="L34" i="11"/>
  <c r="L21" i="11"/>
  <c r="L38" i="11"/>
  <c r="K10" i="11"/>
  <c r="L19" i="11"/>
  <c r="L10" i="11"/>
  <c r="Q60" i="11"/>
  <c r="K9" i="11"/>
  <c r="K37" i="11"/>
  <c r="L31" i="11"/>
  <c r="C44" i="11" s="1"/>
  <c r="L37" i="11"/>
  <c r="L30" i="11"/>
  <c r="C43" i="11" s="1"/>
  <c r="K30" i="11"/>
  <c r="B43" i="11" s="1"/>
  <c r="K13" i="11"/>
  <c r="O22" i="11" s="1"/>
  <c r="P4" i="11"/>
  <c r="V4" i="11" s="1"/>
  <c r="V6" i="11" s="1"/>
  <c r="V7" i="11" s="1"/>
  <c r="AA37" i="8"/>
  <c r="AA25" i="8"/>
  <c r="T13" i="8"/>
  <c r="S13" i="8"/>
  <c r="X25" i="8"/>
  <c r="Z25" i="8" s="1"/>
  <c r="Y25" i="8"/>
  <c r="X26" i="8"/>
  <c r="Y26" i="8"/>
  <c r="X27" i="8"/>
  <c r="Y27" i="8"/>
  <c r="X28" i="8"/>
  <c r="Y28" i="8"/>
  <c r="X29" i="8"/>
  <c r="Y29" i="8"/>
  <c r="X30" i="8"/>
  <c r="Y30" i="8"/>
  <c r="X31" i="8"/>
  <c r="Y31" i="8"/>
  <c r="X32" i="8"/>
  <c r="Y32" i="8"/>
  <c r="X33" i="8"/>
  <c r="Y33" i="8"/>
  <c r="X37" i="8"/>
  <c r="Z37" i="8" s="1"/>
  <c r="Y37" i="8"/>
  <c r="X38" i="8"/>
  <c r="Z38" i="8" s="1"/>
  <c r="Y38" i="8"/>
  <c r="AA38" i="8" s="1"/>
  <c r="X39" i="8"/>
  <c r="Y39" i="8"/>
  <c r="X40" i="8"/>
  <c r="Y40" i="8"/>
  <c r="X41" i="8"/>
  <c r="Y41" i="8"/>
  <c r="X42" i="8"/>
  <c r="Y42" i="8"/>
  <c r="X43" i="8"/>
  <c r="Y43" i="8"/>
  <c r="X44" i="8"/>
  <c r="Y44" i="8"/>
  <c r="X45" i="8"/>
  <c r="Y45" i="8"/>
  <c r="X46" i="8"/>
  <c r="Y46" i="8"/>
  <c r="Y24" i="8"/>
  <c r="AA24" i="8" s="1"/>
  <c r="X24" i="8"/>
  <c r="Z24" i="8" s="1"/>
  <c r="AC20" i="15" l="1"/>
  <c r="AE19" i="15"/>
  <c r="L9" i="11"/>
  <c r="L13" i="11"/>
  <c r="P22" i="11" s="1"/>
  <c r="K8" i="11"/>
  <c r="L14" i="11"/>
  <c r="L8" i="11"/>
  <c r="Q22" i="11"/>
  <c r="Q4" i="11"/>
  <c r="B49" i="11"/>
  <c r="Y47" i="8"/>
  <c r="X47" i="8"/>
  <c r="X34" i="8"/>
  <c r="Y34" i="8"/>
  <c r="AC21" i="15" l="1"/>
  <c r="AE20" i="15"/>
  <c r="D45" i="11"/>
  <c r="D44" i="11"/>
  <c r="D47" i="11"/>
  <c r="D46" i="11"/>
  <c r="D43" i="11"/>
  <c r="E46" i="11"/>
  <c r="E44" i="11"/>
  <c r="E47" i="11"/>
  <c r="E43" i="11"/>
  <c r="E45" i="11"/>
  <c r="D48" i="11"/>
  <c r="E48" i="11"/>
  <c r="O13"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24" i="8"/>
  <c r="C55" i="8"/>
  <c r="B55" i="8"/>
  <c r="AA5" i="8"/>
  <c r="AB4" i="8"/>
  <c r="M4" i="8"/>
  <c r="Q4" i="8" s="1"/>
  <c r="M5" i="8"/>
  <c r="Q5" i="8" s="1"/>
  <c r="M6" i="8"/>
  <c r="Q6" i="8" s="1"/>
  <c r="M7" i="8"/>
  <c r="Q7" i="8" s="1"/>
  <c r="M8" i="8"/>
  <c r="Q8" i="8" s="1"/>
  <c r="M9" i="8"/>
  <c r="Q9" i="8" s="1"/>
  <c r="M10" i="8"/>
  <c r="Q10" i="8" s="1"/>
  <c r="M11" i="8"/>
  <c r="Q11" i="8" s="1"/>
  <c r="M12" i="8"/>
  <c r="Q12" i="8" s="1"/>
  <c r="M3" i="8"/>
  <c r="Q3" i="8" s="1"/>
  <c r="L13" i="8"/>
  <c r="K13" i="8"/>
  <c r="E13" i="8"/>
  <c r="I4" i="8" s="1"/>
  <c r="D13" i="8"/>
  <c r="F4" i="8"/>
  <c r="F5" i="8"/>
  <c r="F6" i="8"/>
  <c r="F7" i="8"/>
  <c r="F8" i="8"/>
  <c r="F9" i="8"/>
  <c r="F10" i="8"/>
  <c r="F11" i="8"/>
  <c r="F12" i="8"/>
  <c r="F3" i="8"/>
  <c r="AC22" i="15" l="1"/>
  <c r="AE21" i="15"/>
  <c r="H6" i="8"/>
  <c r="H3" i="8"/>
  <c r="AB5" i="8"/>
  <c r="M13" i="8"/>
  <c r="N3" i="8" s="1"/>
  <c r="D55" i="8"/>
  <c r="E24" i="8" s="1"/>
  <c r="F24" i="8" s="1"/>
  <c r="H4" i="8"/>
  <c r="F13" i="8"/>
  <c r="J3" i="8" s="1"/>
  <c r="P3" i="8" s="1"/>
  <c r="J9" i="8"/>
  <c r="H5" i="8"/>
  <c r="I9" i="8"/>
  <c r="I8" i="8"/>
  <c r="I5" i="8"/>
  <c r="I3" i="8"/>
  <c r="I12" i="8"/>
  <c r="I11" i="8"/>
  <c r="H12" i="8"/>
  <c r="I10" i="8"/>
  <c r="H11" i="8"/>
  <c r="H10" i="8"/>
  <c r="H9" i="8"/>
  <c r="I7" i="8"/>
  <c r="H8" i="8"/>
  <c r="I6" i="8"/>
  <c r="H7" i="8"/>
  <c r="AC23" i="15" l="1"/>
  <c r="AE22" i="15"/>
  <c r="J10" i="8"/>
  <c r="N7" i="8"/>
  <c r="P9" i="8"/>
  <c r="R9" i="8" s="1"/>
  <c r="V9" i="8"/>
  <c r="X9" i="8" s="1"/>
  <c r="U9" i="8"/>
  <c r="W9" i="8" s="1"/>
  <c r="P10" i="8"/>
  <c r="R10" i="8" s="1"/>
  <c r="U10" i="8"/>
  <c r="W10" i="8" s="1"/>
  <c r="V10" i="8"/>
  <c r="X10" i="8" s="1"/>
  <c r="R3" i="8"/>
  <c r="V3" i="8"/>
  <c r="X3" i="8" s="1"/>
  <c r="U3" i="8"/>
  <c r="W3" i="8" s="1"/>
  <c r="J12" i="8"/>
  <c r="J4" i="8"/>
  <c r="J5" i="8"/>
  <c r="J6" i="8"/>
  <c r="J7" i="8"/>
  <c r="J8" i="8"/>
  <c r="N8" i="8"/>
  <c r="N11" i="8"/>
  <c r="N12" i="8"/>
  <c r="N5" i="8"/>
  <c r="N4" i="8"/>
  <c r="N9" i="8"/>
  <c r="N10" i="8"/>
  <c r="N6" i="8"/>
  <c r="E54" i="8"/>
  <c r="F54" i="8" s="1"/>
  <c r="I29" i="8"/>
  <c r="L29" i="8" s="1"/>
  <c r="I35" i="8"/>
  <c r="L35" i="8" s="1"/>
  <c r="I41" i="8"/>
  <c r="L41" i="8" s="1"/>
  <c r="I47" i="8"/>
  <c r="L47" i="8" s="1"/>
  <c r="I53" i="8"/>
  <c r="L53" i="8" s="1"/>
  <c r="I30" i="8"/>
  <c r="L30" i="8" s="1"/>
  <c r="I42" i="8"/>
  <c r="L42" i="8" s="1"/>
  <c r="I54" i="8"/>
  <c r="L54" i="8" s="1"/>
  <c r="H25" i="8"/>
  <c r="K25" i="8" s="1"/>
  <c r="H37" i="8"/>
  <c r="K37" i="8" s="1"/>
  <c r="H49" i="8"/>
  <c r="K49" i="8" s="1"/>
  <c r="I25" i="8"/>
  <c r="L25" i="8" s="1"/>
  <c r="I37" i="8"/>
  <c r="L37" i="8" s="1"/>
  <c r="I49" i="8"/>
  <c r="L49" i="8" s="1"/>
  <c r="H26" i="8"/>
  <c r="K26" i="8" s="1"/>
  <c r="H38" i="8"/>
  <c r="K38" i="8" s="1"/>
  <c r="H50" i="8"/>
  <c r="K50" i="8" s="1"/>
  <c r="I32" i="8"/>
  <c r="L32" i="8" s="1"/>
  <c r="I44" i="8"/>
  <c r="L44" i="8" s="1"/>
  <c r="H27" i="8"/>
  <c r="K27" i="8" s="1"/>
  <c r="H39" i="8"/>
  <c r="K39" i="8" s="1"/>
  <c r="H51" i="8"/>
  <c r="K51" i="8" s="1"/>
  <c r="I27" i="8"/>
  <c r="L27" i="8" s="1"/>
  <c r="I39" i="8"/>
  <c r="L39" i="8" s="1"/>
  <c r="I51" i="8"/>
  <c r="L51" i="8" s="1"/>
  <c r="H28" i="8"/>
  <c r="K28" i="8" s="1"/>
  <c r="H40" i="8"/>
  <c r="K40" i="8" s="1"/>
  <c r="H52" i="8"/>
  <c r="K52" i="8" s="1"/>
  <c r="I28" i="8"/>
  <c r="L28" i="8" s="1"/>
  <c r="I40" i="8"/>
  <c r="L40" i="8" s="1"/>
  <c r="I52" i="8"/>
  <c r="L52" i="8" s="1"/>
  <c r="H35" i="8"/>
  <c r="K35" i="8" s="1"/>
  <c r="H47" i="8"/>
  <c r="K47" i="8" s="1"/>
  <c r="H30" i="8"/>
  <c r="K30" i="8" s="1"/>
  <c r="H36" i="8"/>
  <c r="K36" i="8" s="1"/>
  <c r="H42" i="8"/>
  <c r="K42" i="8" s="1"/>
  <c r="H48" i="8"/>
  <c r="K48" i="8" s="1"/>
  <c r="H54" i="8"/>
  <c r="K54" i="8" s="1"/>
  <c r="I36" i="8"/>
  <c r="L36" i="8" s="1"/>
  <c r="I48" i="8"/>
  <c r="L48" i="8" s="1"/>
  <c r="H31" i="8"/>
  <c r="K31" i="8" s="1"/>
  <c r="H43" i="8"/>
  <c r="K43" i="8" s="1"/>
  <c r="I24" i="8"/>
  <c r="L24" i="8" s="1"/>
  <c r="I31" i="8"/>
  <c r="L31" i="8" s="1"/>
  <c r="I43" i="8"/>
  <c r="L43" i="8" s="1"/>
  <c r="H24" i="8"/>
  <c r="K24" i="8" s="1"/>
  <c r="H32" i="8"/>
  <c r="K32" i="8" s="1"/>
  <c r="H44" i="8"/>
  <c r="K44" i="8" s="1"/>
  <c r="I26" i="8"/>
  <c r="L26" i="8" s="1"/>
  <c r="I38" i="8"/>
  <c r="L38" i="8" s="1"/>
  <c r="I50" i="8"/>
  <c r="L50" i="8" s="1"/>
  <c r="H33" i="8"/>
  <c r="K33" i="8" s="1"/>
  <c r="H45" i="8"/>
  <c r="K45" i="8" s="1"/>
  <c r="I33" i="8"/>
  <c r="L33" i="8" s="1"/>
  <c r="I45" i="8"/>
  <c r="L45" i="8" s="1"/>
  <c r="H34" i="8"/>
  <c r="K34" i="8" s="1"/>
  <c r="H46" i="8"/>
  <c r="K46" i="8" s="1"/>
  <c r="I34" i="8"/>
  <c r="L34" i="8" s="1"/>
  <c r="I46" i="8"/>
  <c r="L46" i="8" s="1"/>
  <c r="H29" i="8"/>
  <c r="K29" i="8" s="1"/>
  <c r="H41" i="8"/>
  <c r="K41" i="8" s="1"/>
  <c r="H53" i="8"/>
  <c r="K53" i="8" s="1"/>
  <c r="E28" i="8"/>
  <c r="F28" i="8" s="1"/>
  <c r="E40" i="8"/>
  <c r="F40" i="8" s="1"/>
  <c r="E52" i="8"/>
  <c r="F52" i="8" s="1"/>
  <c r="E29" i="8"/>
  <c r="F29" i="8" s="1"/>
  <c r="E41" i="8"/>
  <c r="F41" i="8" s="1"/>
  <c r="E53" i="8"/>
  <c r="F53" i="8" s="1"/>
  <c r="E44" i="8"/>
  <c r="F44" i="8" s="1"/>
  <c r="E33" i="8"/>
  <c r="F33" i="8" s="1"/>
  <c r="E50" i="8"/>
  <c r="F50" i="8" s="1"/>
  <c r="E32" i="8"/>
  <c r="F32" i="8" s="1"/>
  <c r="E45" i="8"/>
  <c r="F45" i="8" s="1"/>
  <c r="E38" i="8"/>
  <c r="F38" i="8" s="1"/>
  <c r="E35" i="8"/>
  <c r="F35" i="8" s="1"/>
  <c r="E47" i="8"/>
  <c r="F47" i="8" s="1"/>
  <c r="E36" i="8"/>
  <c r="F36" i="8" s="1"/>
  <c r="E48" i="8"/>
  <c r="F48" i="8" s="1"/>
  <c r="E25" i="8"/>
  <c r="F25" i="8" s="1"/>
  <c r="E37" i="8"/>
  <c r="F37" i="8" s="1"/>
  <c r="E49" i="8"/>
  <c r="F49" i="8" s="1"/>
  <c r="E26" i="8"/>
  <c r="F26" i="8" s="1"/>
  <c r="E30" i="8"/>
  <c r="F30" i="8" s="1"/>
  <c r="E42" i="8"/>
  <c r="F42" i="8" s="1"/>
  <c r="E27" i="8"/>
  <c r="F27" i="8" s="1"/>
  <c r="E31" i="8"/>
  <c r="F31" i="8" s="1"/>
  <c r="E39" i="8"/>
  <c r="F39" i="8" s="1"/>
  <c r="E43" i="8"/>
  <c r="F43" i="8" s="1"/>
  <c r="E51" i="8"/>
  <c r="F51" i="8" s="1"/>
  <c r="E34" i="8"/>
  <c r="F34" i="8" s="1"/>
  <c r="E46" i="8"/>
  <c r="F46" i="8" s="1"/>
  <c r="J11" i="8"/>
  <c r="H15" i="7"/>
  <c r="G15" i="7"/>
  <c r="F15" i="7"/>
  <c r="E15" i="7"/>
  <c r="C15" i="7"/>
  <c r="H4" i="7"/>
  <c r="G4" i="7"/>
  <c r="Q4" i="7" s="1"/>
  <c r="R4" i="7" s="1"/>
  <c r="F4" i="7"/>
  <c r="O4" i="7" s="1"/>
  <c r="P4" i="7" s="1"/>
  <c r="E4" i="7"/>
  <c r="D4" i="7"/>
  <c r="M4" i="7" s="1"/>
  <c r="N4" i="7" s="1"/>
  <c r="C4" i="7"/>
  <c r="K4" i="7" s="1"/>
  <c r="AC24" i="15" l="1"/>
  <c r="AE23" i="15"/>
  <c r="P11" i="8"/>
  <c r="R11" i="8" s="1"/>
  <c r="U11" i="8"/>
  <c r="W11" i="8" s="1"/>
  <c r="V11" i="8"/>
  <c r="X11" i="8" s="1"/>
  <c r="P4" i="8"/>
  <c r="R4" i="8" s="1"/>
  <c r="U4" i="8"/>
  <c r="W4" i="8" s="1"/>
  <c r="W14" i="8" s="1"/>
  <c r="V4" i="8"/>
  <c r="X4" i="8" s="1"/>
  <c r="X14" i="8" s="1"/>
  <c r="P5" i="8"/>
  <c r="R5" i="8" s="1"/>
  <c r="U5" i="8"/>
  <c r="W5" i="8" s="1"/>
  <c r="W15" i="8" s="1"/>
  <c r="W18" i="8" s="1"/>
  <c r="V5" i="8"/>
  <c r="X5" i="8" s="1"/>
  <c r="X15" i="8" s="1"/>
  <c r="P12" i="8"/>
  <c r="R12" i="8" s="1"/>
  <c r="U12" i="8"/>
  <c r="W12" i="8" s="1"/>
  <c r="V12" i="8"/>
  <c r="X12" i="8" s="1"/>
  <c r="P7" i="8"/>
  <c r="R7" i="8" s="1"/>
  <c r="U7" i="8"/>
  <c r="W7" i="8" s="1"/>
  <c r="V7" i="8"/>
  <c r="X7" i="8" s="1"/>
  <c r="P8" i="8"/>
  <c r="R8" i="8" s="1"/>
  <c r="U8" i="8"/>
  <c r="W8" i="8" s="1"/>
  <c r="V8" i="8"/>
  <c r="X8" i="8" s="1"/>
  <c r="P6" i="8"/>
  <c r="R6" i="8" s="1"/>
  <c r="U6" i="8"/>
  <c r="W6" i="8" s="1"/>
  <c r="V6" i="8"/>
  <c r="X6" i="8" s="1"/>
  <c r="BP42" i="1"/>
  <c r="BQ42" i="1"/>
  <c r="BR42" i="1"/>
  <c r="BS42" i="1"/>
  <c r="BT42" i="1"/>
  <c r="BU42" i="1"/>
  <c r="BC42" i="1"/>
  <c r="BG42" i="1"/>
  <c r="BH42" i="1"/>
  <c r="BI42" i="1"/>
  <c r="BJ42" i="1"/>
  <c r="BL42" i="1"/>
  <c r="BM42" i="1"/>
  <c r="BN42" i="1"/>
  <c r="BO42" i="1"/>
  <c r="AV42" i="1"/>
  <c r="AW42" i="1"/>
  <c r="AX42" i="1"/>
  <c r="AY42" i="1"/>
  <c r="AZ42" i="1"/>
  <c r="BA42" i="1"/>
  <c r="AG42" i="1"/>
  <c r="AF42" i="1"/>
  <c r="BW41" i="1"/>
  <c r="BS40" i="1"/>
  <c r="BH41" i="1"/>
  <c r="BI41" i="1"/>
  <c r="BJ41" i="1"/>
  <c r="BL41" i="1"/>
  <c r="BM41" i="1"/>
  <c r="BN41" i="1"/>
  <c r="BO41" i="1"/>
  <c r="BP41" i="1"/>
  <c r="BQ41" i="1"/>
  <c r="BR41" i="1"/>
  <c r="BS41" i="1"/>
  <c r="BT41" i="1"/>
  <c r="BU41" i="1"/>
  <c r="BV41" i="1"/>
  <c r="BA41" i="1"/>
  <c r="BC41" i="1"/>
  <c r="BG41" i="1"/>
  <c r="AV41" i="1"/>
  <c r="AW41" i="1"/>
  <c r="AX41" i="1"/>
  <c r="AY41" i="1"/>
  <c r="AZ41" i="1"/>
  <c r="AG41" i="1"/>
  <c r="AF41" i="1"/>
  <c r="BG40" i="1"/>
  <c r="BH40" i="1"/>
  <c r="BI40" i="1"/>
  <c r="BJ40" i="1"/>
  <c r="BL40" i="1"/>
  <c r="BM40" i="1"/>
  <c r="BN40" i="1"/>
  <c r="BO40" i="1"/>
  <c r="BP40" i="1"/>
  <c r="BQ40" i="1"/>
  <c r="BR40" i="1"/>
  <c r="BT40" i="1"/>
  <c r="BU40" i="1"/>
  <c r="BV40" i="1"/>
  <c r="BW40" i="1"/>
  <c r="BC40" i="1"/>
  <c r="AV40" i="1"/>
  <c r="AW40" i="1"/>
  <c r="AX40" i="1"/>
  <c r="AY40" i="1"/>
  <c r="AZ40" i="1"/>
  <c r="BA40" i="1"/>
  <c r="AG40" i="1"/>
  <c r="AF40" i="1"/>
  <c r="BD42" i="2"/>
  <c r="BH42" i="2"/>
  <c r="BI42" i="2"/>
  <c r="BJ42" i="2"/>
  <c r="BK42" i="2"/>
  <c r="BM42" i="2"/>
  <c r="BN42" i="2"/>
  <c r="BO42" i="2"/>
  <c r="BP42" i="2"/>
  <c r="BQ42" i="2"/>
  <c r="BR42" i="2"/>
  <c r="BS42" i="2"/>
  <c r="BT42" i="2"/>
  <c r="BU42" i="2"/>
  <c r="BV42" i="2"/>
  <c r="AG42" i="2"/>
  <c r="BD41" i="2"/>
  <c r="BH41" i="2"/>
  <c r="BI41" i="2"/>
  <c r="BJ41" i="2"/>
  <c r="BK41" i="2"/>
  <c r="BM41" i="2"/>
  <c r="BN41" i="2"/>
  <c r="BO41" i="2"/>
  <c r="BP41" i="2"/>
  <c r="BQ41" i="2"/>
  <c r="BR41" i="2"/>
  <c r="BS41" i="2"/>
  <c r="BT41" i="2"/>
  <c r="BU41" i="2"/>
  <c r="BV41" i="2"/>
  <c r="AG41" i="2"/>
  <c r="AG40" i="2"/>
  <c r="BD40" i="2"/>
  <c r="BH40" i="2"/>
  <c r="BI40" i="2"/>
  <c r="BJ40" i="2"/>
  <c r="BK40" i="2"/>
  <c r="BM40" i="2"/>
  <c r="BN40" i="2"/>
  <c r="BO40" i="2"/>
  <c r="BP40" i="2"/>
  <c r="BQ40" i="2"/>
  <c r="BR40" i="2"/>
  <c r="BS40" i="2"/>
  <c r="BT40" i="2"/>
  <c r="BU40" i="2"/>
  <c r="BV40" i="2"/>
  <c r="K4" i="6"/>
  <c r="K5" i="6"/>
  <c r="K6" i="6"/>
  <c r="K7" i="6"/>
  <c r="K8" i="6"/>
  <c r="K9" i="6"/>
  <c r="K10" i="6"/>
  <c r="K11" i="6"/>
  <c r="K12" i="6"/>
  <c r="K13" i="6"/>
  <c r="K14" i="6"/>
  <c r="K15" i="6"/>
  <c r="K16" i="6"/>
  <c r="K17" i="6"/>
  <c r="K18" i="6"/>
  <c r="K19" i="6"/>
  <c r="K20" i="6"/>
  <c r="K21" i="6"/>
  <c r="K22" i="6"/>
  <c r="K23" i="6"/>
  <c r="K24" i="6"/>
  <c r="K25" i="6"/>
  <c r="K26" i="6"/>
  <c r="K27" i="6"/>
  <c r="K28" i="6"/>
  <c r="K29" i="6"/>
  <c r="K30" i="6"/>
  <c r="K31" i="6"/>
  <c r="K32" i="6"/>
  <c r="K33" i="6"/>
  <c r="K3" i="6"/>
  <c r="F4" i="6"/>
  <c r="F5" i="6"/>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 i="6"/>
  <c r="C34" i="6"/>
  <c r="H34" i="6"/>
  <c r="G34" i="6"/>
  <c r="B34" i="6"/>
  <c r="AC25" i="15" l="1"/>
  <c r="AE24" i="15"/>
  <c r="W16" i="8"/>
  <c r="W17" i="8"/>
  <c r="X17" i="8"/>
  <c r="X16" i="8"/>
  <c r="D16" i="12"/>
  <c r="M16" i="12" s="1"/>
  <c r="D16" i="7"/>
  <c r="N16" i="7" s="1"/>
  <c r="X19" i="8"/>
  <c r="X18" i="8"/>
  <c r="W13" i="8"/>
  <c r="X13" i="8"/>
  <c r="P14" i="8"/>
  <c r="P15" i="8" s="1"/>
  <c r="R13" i="8"/>
  <c r="K34" i="6"/>
  <c r="F34" i="6"/>
  <c r="AH5" i="2"/>
  <c r="AQ7" i="2"/>
  <c r="AC26" i="15" l="1"/>
  <c r="AE25" i="15"/>
  <c r="G16" i="12"/>
  <c r="Q16" i="12" s="1"/>
  <c r="G16" i="7"/>
  <c r="R16" i="7" s="1"/>
  <c r="G17" i="12"/>
  <c r="Q17" i="12" s="1"/>
  <c r="R17" i="12" s="1"/>
  <c r="G17" i="7"/>
  <c r="R17" i="7" s="1"/>
  <c r="F16" i="12"/>
  <c r="O16" i="12" s="1"/>
  <c r="F16" i="7"/>
  <c r="P16" i="7" s="1"/>
  <c r="T7" i="12"/>
  <c r="T8" i="12" s="1"/>
  <c r="T10" i="12" s="1"/>
  <c r="R16" i="12" s="1"/>
  <c r="N16" i="12"/>
  <c r="F17" i="12"/>
  <c r="O17" i="12" s="1"/>
  <c r="P17" i="12" s="1"/>
  <c r="F17" i="7"/>
  <c r="P17" i="7" s="1"/>
  <c r="C17" i="12"/>
  <c r="K17" i="12" s="1"/>
  <c r="L17" i="12" s="1"/>
  <c r="C17" i="7"/>
  <c r="C16" i="12"/>
  <c r="K16" i="12" s="1"/>
  <c r="W19" i="8"/>
  <c r="L16" i="7"/>
  <c r="V16" i="7" s="1"/>
  <c r="AH7" i="2"/>
  <c r="AC27" i="15" l="1"/>
  <c r="AE26" i="15"/>
  <c r="D17" i="12"/>
  <c r="M17" i="12" s="1"/>
  <c r="N17" i="12" s="1"/>
  <c r="D17" i="7"/>
  <c r="N17" i="7" s="1"/>
  <c r="T5" i="12"/>
  <c r="P16" i="12" s="1"/>
  <c r="AM5" i="1"/>
  <c r="AM15" i="1"/>
  <c r="AM35" i="1"/>
  <c r="AM23" i="1"/>
  <c r="AM27" i="1"/>
  <c r="AM6" i="1"/>
  <c r="AM18" i="1"/>
  <c r="AM24" i="1"/>
  <c r="AM29" i="1"/>
  <c r="AM9" i="1"/>
  <c r="AM21" i="1"/>
  <c r="AM32" i="1"/>
  <c r="AM34" i="1"/>
  <c r="AM28" i="1"/>
  <c r="AM14" i="1"/>
  <c r="AM30" i="1"/>
  <c r="AM10" i="1"/>
  <c r="AM25" i="1"/>
  <c r="AM20" i="1"/>
  <c r="AM19" i="1"/>
  <c r="AM26" i="1"/>
  <c r="AM13" i="1"/>
  <c r="AM31" i="1"/>
  <c r="AM8" i="1"/>
  <c r="AM33" i="1"/>
  <c r="AM12" i="1"/>
  <c r="AM17" i="1"/>
  <c r="AM22" i="1"/>
  <c r="AM11" i="1"/>
  <c r="AM16" i="1"/>
  <c r="AM7" i="1"/>
  <c r="AJ4" i="1"/>
  <c r="AC28" i="15" l="1"/>
  <c r="AE27" i="15"/>
  <c r="BX4" i="1"/>
  <c r="AH15" i="2"/>
  <c r="AH35" i="2"/>
  <c r="AH23" i="2"/>
  <c r="AH27" i="2"/>
  <c r="AH6" i="2"/>
  <c r="AH18" i="2"/>
  <c r="AH24" i="2"/>
  <c r="AH29" i="2"/>
  <c r="AH9" i="2"/>
  <c r="AH21" i="2"/>
  <c r="AH32" i="2"/>
  <c r="AH34" i="2"/>
  <c r="AH28" i="2"/>
  <c r="AH14" i="2"/>
  <c r="AH30" i="2"/>
  <c r="AH10" i="2"/>
  <c r="AH25" i="2"/>
  <c r="AH20" i="2"/>
  <c r="AH19" i="2"/>
  <c r="AH26" i="2"/>
  <c r="AH13" i="2"/>
  <c r="AH31" i="2"/>
  <c r="AH8" i="2"/>
  <c r="AH33" i="2"/>
  <c r="AH12" i="2"/>
  <c r="AH17" i="2"/>
  <c r="AH22" i="2"/>
  <c r="AH11" i="2"/>
  <c r="AH16" i="2"/>
  <c r="AM5" i="2"/>
  <c r="AM15" i="2"/>
  <c r="AM35" i="2"/>
  <c r="AM23" i="2"/>
  <c r="AM27" i="2"/>
  <c r="AM6" i="2"/>
  <c r="AM18" i="2"/>
  <c r="AM24" i="2"/>
  <c r="AM29" i="2"/>
  <c r="AM9" i="2"/>
  <c r="AM21" i="2"/>
  <c r="AM32" i="2"/>
  <c r="AM34" i="2"/>
  <c r="AM28" i="2"/>
  <c r="AM14" i="2"/>
  <c r="AM30" i="2"/>
  <c r="AM10" i="2"/>
  <c r="AM25" i="2"/>
  <c r="AM20" i="2"/>
  <c r="AM19" i="2"/>
  <c r="AM26" i="2"/>
  <c r="AM13" i="2"/>
  <c r="AM31" i="2"/>
  <c r="AM8" i="2"/>
  <c r="AM33" i="2"/>
  <c r="AM12" i="2"/>
  <c r="AM17" i="2"/>
  <c r="AM22" i="2"/>
  <c r="AM11" i="2"/>
  <c r="AM16" i="2"/>
  <c r="AM7" i="2"/>
  <c r="BC7" i="2" s="1"/>
  <c r="AM4" i="2"/>
  <c r="AL4" i="2" s="1"/>
  <c r="AC29" i="15" l="1"/>
  <c r="AE28" i="15"/>
  <c r="AH4" i="2"/>
  <c r="AL7" i="2"/>
  <c r="AL5" i="2"/>
  <c r="AL15" i="2"/>
  <c r="AL35" i="2"/>
  <c r="AL23" i="2"/>
  <c r="AL27" i="2"/>
  <c r="AL6" i="2"/>
  <c r="AL18" i="2"/>
  <c r="AL24" i="2"/>
  <c r="AL29" i="2"/>
  <c r="AL9" i="2"/>
  <c r="AL21" i="2"/>
  <c r="AL32" i="2"/>
  <c r="AL34" i="2"/>
  <c r="AL28" i="2"/>
  <c r="AL14" i="2"/>
  <c r="AL30" i="2"/>
  <c r="AL10" i="2"/>
  <c r="AL25" i="2"/>
  <c r="AL20" i="2"/>
  <c r="AL19" i="2"/>
  <c r="AL26" i="2"/>
  <c r="AL13" i="2"/>
  <c r="AL31" i="2"/>
  <c r="AL8" i="2"/>
  <c r="AL33" i="2"/>
  <c r="AL12" i="2"/>
  <c r="AL17" i="2"/>
  <c r="AL22" i="2"/>
  <c r="AL11" i="2"/>
  <c r="AL16" i="2"/>
  <c r="AC30" i="15" l="1"/>
  <c r="AE29" i="15"/>
  <c r="BF5" i="1"/>
  <c r="BF15" i="1"/>
  <c r="BF35" i="1"/>
  <c r="BF23" i="1"/>
  <c r="BF27" i="1"/>
  <c r="BF6" i="1"/>
  <c r="BF18" i="1"/>
  <c r="BF24" i="1"/>
  <c r="BF29" i="1"/>
  <c r="BF9" i="1"/>
  <c r="BF21" i="1"/>
  <c r="BF32" i="1"/>
  <c r="BF34" i="1"/>
  <c r="BF28" i="1"/>
  <c r="BF14" i="1"/>
  <c r="BF30" i="1"/>
  <c r="BF10" i="1"/>
  <c r="BF25" i="1"/>
  <c r="BF20" i="1"/>
  <c r="BF19" i="1"/>
  <c r="BF26" i="1"/>
  <c r="BF13" i="1"/>
  <c r="BF31" i="1"/>
  <c r="BF8" i="1"/>
  <c r="BF33" i="1"/>
  <c r="BF12" i="1"/>
  <c r="BF17" i="1"/>
  <c r="BF22" i="1"/>
  <c r="BF11" i="1"/>
  <c r="BF16" i="1"/>
  <c r="BF7" i="1"/>
  <c r="BE4" i="1"/>
  <c r="BD4" i="1"/>
  <c r="AJ5" i="1"/>
  <c r="AJ15" i="1"/>
  <c r="AJ35" i="1"/>
  <c r="AJ23" i="1"/>
  <c r="AJ27" i="1"/>
  <c r="AJ6" i="1"/>
  <c r="AJ18" i="1"/>
  <c r="AJ24" i="1"/>
  <c r="AJ29" i="1"/>
  <c r="AJ9" i="1"/>
  <c r="AJ21" i="1"/>
  <c r="AJ32" i="1"/>
  <c r="AJ34" i="1"/>
  <c r="AJ28" i="1"/>
  <c r="AJ14" i="1"/>
  <c r="AJ30" i="1"/>
  <c r="AJ10" i="1"/>
  <c r="AJ25" i="1"/>
  <c r="AJ20" i="1"/>
  <c r="AJ19" i="1"/>
  <c r="AJ26" i="1"/>
  <c r="AJ13" i="1"/>
  <c r="AJ31" i="1"/>
  <c r="AJ8" i="1"/>
  <c r="AJ33" i="1"/>
  <c r="AJ12" i="1"/>
  <c r="AJ17" i="1"/>
  <c r="AJ22" i="1"/>
  <c r="AJ11" i="1"/>
  <c r="AJ16" i="1"/>
  <c r="AJ7" i="1"/>
  <c r="AC31" i="15" l="1"/>
  <c r="AE30" i="15"/>
  <c r="BF42" i="1"/>
  <c r="BF41" i="1"/>
  <c r="BF40" i="1"/>
  <c r="BX5" i="1"/>
  <c r="BX29" i="1"/>
  <c r="BX8" i="1"/>
  <c r="BX24" i="1"/>
  <c r="BX31" i="1"/>
  <c r="BX14" i="1"/>
  <c r="BX18" i="1"/>
  <c r="BX16" i="1"/>
  <c r="BX6" i="1"/>
  <c r="BX10" i="1"/>
  <c r="BX30" i="1"/>
  <c r="BX13" i="1"/>
  <c r="BX28" i="1"/>
  <c r="BX11" i="1"/>
  <c r="BX26" i="1"/>
  <c r="BX34" i="1"/>
  <c r="BX27" i="1"/>
  <c r="BX22" i="1"/>
  <c r="BX19" i="1"/>
  <c r="BX32" i="1"/>
  <c r="BX33" i="1"/>
  <c r="BX17" i="1"/>
  <c r="BX20" i="1"/>
  <c r="BX21" i="1"/>
  <c r="BX35" i="1"/>
  <c r="BX12" i="1"/>
  <c r="BX25" i="1"/>
  <c r="BX9" i="1"/>
  <c r="BX15" i="1"/>
  <c r="AK24" i="1"/>
  <c r="BB24" i="1" s="1"/>
  <c r="AK18" i="1"/>
  <c r="BB18" i="1" s="1"/>
  <c r="AK6" i="1"/>
  <c r="BB6" i="1" s="1"/>
  <c r="AK27" i="1"/>
  <c r="BB27" i="1" s="1"/>
  <c r="AK31" i="1"/>
  <c r="BB31" i="1" s="1"/>
  <c r="AK13" i="1"/>
  <c r="BB13" i="1" s="1"/>
  <c r="AK26" i="1"/>
  <c r="BB26" i="1" s="1"/>
  <c r="AK8" i="1"/>
  <c r="BB8" i="1" s="1"/>
  <c r="AK34" i="1"/>
  <c r="BB34" i="1" s="1"/>
  <c r="AK21" i="1"/>
  <c r="BB21" i="1" s="1"/>
  <c r="AK16" i="1"/>
  <c r="BB16" i="1" s="1"/>
  <c r="AK30" i="1"/>
  <c r="BB30" i="1" s="1"/>
  <c r="BX23" i="1"/>
  <c r="BX7" i="1"/>
  <c r="AK7" i="1"/>
  <c r="BB7" i="1" s="1"/>
  <c r="AK11" i="1"/>
  <c r="BB11" i="1" s="1"/>
  <c r="AK14" i="1"/>
  <c r="BB14" i="1" s="1"/>
  <c r="AK35" i="1"/>
  <c r="BB35" i="1" s="1"/>
  <c r="AK20" i="1"/>
  <c r="BB20" i="1" s="1"/>
  <c r="AK17" i="1"/>
  <c r="BB17" i="1" s="1"/>
  <c r="AK28" i="1"/>
  <c r="BB28" i="1" s="1"/>
  <c r="AK22" i="1"/>
  <c r="BB22" i="1" s="1"/>
  <c r="AK19" i="1"/>
  <c r="BB19" i="1" s="1"/>
  <c r="AK32" i="1"/>
  <c r="AL32" i="1" s="1"/>
  <c r="AK23" i="1"/>
  <c r="AL23" i="1" s="1"/>
  <c r="AK12" i="1"/>
  <c r="AL12" i="1" s="1"/>
  <c r="AK25" i="1"/>
  <c r="AL25" i="1" s="1"/>
  <c r="AK9" i="1"/>
  <c r="BB9" i="1" s="1"/>
  <c r="AK15" i="1"/>
  <c r="BB15" i="1" s="1"/>
  <c r="AK33" i="1"/>
  <c r="BB33" i="1" s="1"/>
  <c r="AK10" i="1"/>
  <c r="BB10" i="1" s="1"/>
  <c r="AK29" i="1"/>
  <c r="AL29" i="1" s="1"/>
  <c r="AK5" i="1"/>
  <c r="AL5" i="1" s="1"/>
  <c r="AC32" i="15" l="1"/>
  <c r="AE32" i="15" s="1"/>
  <c r="AE31" i="15"/>
  <c r="AL26" i="1"/>
  <c r="AT26" i="1" s="1"/>
  <c r="AL13" i="1"/>
  <c r="AT13" i="1" s="1"/>
  <c r="BX41" i="1"/>
  <c r="AL8" i="1"/>
  <c r="AT8" i="1" s="1"/>
  <c r="AL30" i="1"/>
  <c r="AT30" i="1" s="1"/>
  <c r="AL22" i="1"/>
  <c r="BX40" i="1"/>
  <c r="AL10" i="1"/>
  <c r="AT10" i="1" s="1"/>
  <c r="AL33" i="1"/>
  <c r="AT33" i="1" s="1"/>
  <c r="AL28" i="1"/>
  <c r="AT28" i="1" s="1"/>
  <c r="AL16" i="1"/>
  <c r="AT16" i="1" s="1"/>
  <c r="AL35" i="1"/>
  <c r="AT35" i="1" s="1"/>
  <c r="AL20" i="1"/>
  <c r="AT20" i="1" s="1"/>
  <c r="AL19" i="1"/>
  <c r="AT19" i="1" s="1"/>
  <c r="AT12" i="1"/>
  <c r="AT23" i="1"/>
  <c r="AT25" i="1"/>
  <c r="AL31" i="1"/>
  <c r="AL15" i="1"/>
  <c r="AT29" i="1"/>
  <c r="AT32" i="1"/>
  <c r="AT22" i="1"/>
  <c r="AL27" i="1"/>
  <c r="AL18" i="1"/>
  <c r="AL9" i="1"/>
  <c r="AT5" i="1"/>
  <c r="BX36" i="1"/>
  <c r="AL11" i="1"/>
  <c r="AL7" i="1"/>
  <c r="AL14" i="1"/>
  <c r="AL21" i="1"/>
  <c r="AL34" i="1"/>
  <c r="AL6" i="1"/>
  <c r="AL24" i="1"/>
  <c r="AL17" i="1"/>
  <c r="BB25" i="1"/>
  <c r="BB12" i="1"/>
  <c r="BB23" i="1"/>
  <c r="BB5" i="1"/>
  <c r="BB40" i="1" s="1"/>
  <c r="BB29" i="1"/>
  <c r="BB32" i="1"/>
  <c r="AT5" i="2"/>
  <c r="AT15" i="2"/>
  <c r="AT35" i="2"/>
  <c r="AT23" i="2"/>
  <c r="AT27" i="2"/>
  <c r="AT6" i="2"/>
  <c r="AT18" i="2"/>
  <c r="AT24" i="2"/>
  <c r="AT29" i="2"/>
  <c r="AT9" i="2"/>
  <c r="AT21" i="2"/>
  <c r="AT32" i="2"/>
  <c r="AT34" i="2"/>
  <c r="AT28" i="2"/>
  <c r="AT14" i="2"/>
  <c r="AT30" i="2"/>
  <c r="AT10" i="2"/>
  <c r="AT25" i="2"/>
  <c r="AT20" i="2"/>
  <c r="AT19" i="2"/>
  <c r="AT26" i="2"/>
  <c r="AT13" i="2"/>
  <c r="AT31" i="2"/>
  <c r="AT8" i="2"/>
  <c r="AT33" i="2"/>
  <c r="AT12" i="2"/>
  <c r="AT17" i="2"/>
  <c r="AT22" i="2"/>
  <c r="AT11" i="2"/>
  <c r="AT16" i="2"/>
  <c r="AT7" i="2"/>
  <c r="AS5" i="2"/>
  <c r="AS15" i="2"/>
  <c r="AS35" i="2"/>
  <c r="AS23" i="2"/>
  <c r="AS27" i="2"/>
  <c r="AS6" i="2"/>
  <c r="AS18" i="2"/>
  <c r="AS24" i="2"/>
  <c r="AS29" i="2"/>
  <c r="AS9" i="2"/>
  <c r="AS21" i="2"/>
  <c r="AS32" i="2"/>
  <c r="AS34" i="2"/>
  <c r="AS28" i="2"/>
  <c r="AS14" i="2"/>
  <c r="AS30" i="2"/>
  <c r="AS10" i="2"/>
  <c r="AS25" i="2"/>
  <c r="AS20" i="2"/>
  <c r="AS19" i="2"/>
  <c r="AS26" i="2"/>
  <c r="AS13" i="2"/>
  <c r="AS31" i="2"/>
  <c r="AS8" i="2"/>
  <c r="AS33" i="2"/>
  <c r="AS12" i="2"/>
  <c r="AS17" i="2"/>
  <c r="AS22" i="2"/>
  <c r="AS11" i="2"/>
  <c r="AS16" i="2"/>
  <c r="AS7" i="2"/>
  <c r="AR5" i="2"/>
  <c r="AR15" i="2"/>
  <c r="AR35" i="2"/>
  <c r="AR23" i="2"/>
  <c r="AR27" i="2"/>
  <c r="AR6" i="2"/>
  <c r="AR18" i="2"/>
  <c r="AR24" i="2"/>
  <c r="AR29" i="2"/>
  <c r="AR9" i="2"/>
  <c r="AR21" i="2"/>
  <c r="AR32" i="2"/>
  <c r="AR34" i="2"/>
  <c r="AR28" i="2"/>
  <c r="AR14" i="2"/>
  <c r="AR30" i="2"/>
  <c r="AR10" i="2"/>
  <c r="AR25" i="2"/>
  <c r="AR20" i="2"/>
  <c r="AR19" i="2"/>
  <c r="AR26" i="2"/>
  <c r="AR13" i="2"/>
  <c r="AR31" i="2"/>
  <c r="AR8" i="2"/>
  <c r="AR33" i="2"/>
  <c r="AR12" i="2"/>
  <c r="AR17" i="2"/>
  <c r="AR22" i="2"/>
  <c r="AR11" i="2"/>
  <c r="AR16" i="2"/>
  <c r="AR7" i="2"/>
  <c r="AR4" i="2"/>
  <c r="AQ5" i="2"/>
  <c r="AQ15" i="2"/>
  <c r="AQ35" i="2"/>
  <c r="AQ23" i="2"/>
  <c r="AQ27" i="2"/>
  <c r="AQ6" i="2"/>
  <c r="AQ18" i="2"/>
  <c r="AQ24" i="2"/>
  <c r="AQ29" i="2"/>
  <c r="AQ9" i="2"/>
  <c r="AQ21" i="2"/>
  <c r="AQ32" i="2"/>
  <c r="AQ34" i="2"/>
  <c r="AQ28" i="2"/>
  <c r="AQ14" i="2"/>
  <c r="AQ30" i="2"/>
  <c r="AQ10" i="2"/>
  <c r="AQ25" i="2"/>
  <c r="AQ20" i="2"/>
  <c r="AQ19" i="2"/>
  <c r="AQ26" i="2"/>
  <c r="AQ13" i="2"/>
  <c r="AQ31" i="2"/>
  <c r="AQ8" i="2"/>
  <c r="AQ33" i="2"/>
  <c r="AQ12" i="2"/>
  <c r="AQ17" i="2"/>
  <c r="AQ22" i="2"/>
  <c r="AQ11" i="2"/>
  <c r="AQ16" i="2"/>
  <c r="AQ4" i="2"/>
  <c r="AP5" i="2"/>
  <c r="AP15" i="2"/>
  <c r="AP35" i="2"/>
  <c r="AP23" i="2"/>
  <c r="AP27" i="2"/>
  <c r="AP6" i="2"/>
  <c r="AP18" i="2"/>
  <c r="AP24" i="2"/>
  <c r="AP29" i="2"/>
  <c r="AP9" i="2"/>
  <c r="AP21" i="2"/>
  <c r="AP32" i="2"/>
  <c r="AP34" i="2"/>
  <c r="AP28" i="2"/>
  <c r="AP14" i="2"/>
  <c r="AP30" i="2"/>
  <c r="AP10" i="2"/>
  <c r="AP25" i="2"/>
  <c r="AP20" i="2"/>
  <c r="AP19" i="2"/>
  <c r="AP26" i="2"/>
  <c r="AP13" i="2"/>
  <c r="AP31" i="2"/>
  <c r="AP8" i="2"/>
  <c r="AP33" i="2"/>
  <c r="AP12" i="2"/>
  <c r="AP17" i="2"/>
  <c r="AP22" i="2"/>
  <c r="AP11" i="2"/>
  <c r="AP16" i="2"/>
  <c r="AP7" i="2"/>
  <c r="AO5" i="2"/>
  <c r="AO15" i="2"/>
  <c r="AO35" i="2"/>
  <c r="AO23" i="2"/>
  <c r="AO27" i="2"/>
  <c r="AO6" i="2"/>
  <c r="AO18" i="2"/>
  <c r="AO24" i="2"/>
  <c r="AO29" i="2"/>
  <c r="AO9" i="2"/>
  <c r="AO21" i="2"/>
  <c r="AO32" i="2"/>
  <c r="AO34" i="2"/>
  <c r="AO28" i="2"/>
  <c r="AO14" i="2"/>
  <c r="AO30" i="2"/>
  <c r="AO10" i="2"/>
  <c r="AO25" i="2"/>
  <c r="AO20" i="2"/>
  <c r="AO19" i="2"/>
  <c r="AO26" i="2"/>
  <c r="AO13" i="2"/>
  <c r="AO31" i="2"/>
  <c r="AO8" i="2"/>
  <c r="AO33" i="2"/>
  <c r="AO12" i="2"/>
  <c r="AO17" i="2"/>
  <c r="AO22" i="2"/>
  <c r="AO11" i="2"/>
  <c r="AO16" i="2"/>
  <c r="AO7" i="2"/>
  <c r="AN5" i="2"/>
  <c r="AN15" i="2"/>
  <c r="AN35" i="2"/>
  <c r="AN23" i="2"/>
  <c r="AN27" i="2"/>
  <c r="AN6" i="2"/>
  <c r="AN18" i="2"/>
  <c r="AN24" i="2"/>
  <c r="AN29" i="2"/>
  <c r="AN9" i="2"/>
  <c r="AN21" i="2"/>
  <c r="AN32" i="2"/>
  <c r="AN34" i="2"/>
  <c r="AN28" i="2"/>
  <c r="AN14" i="2"/>
  <c r="AN30" i="2"/>
  <c r="AN10" i="2"/>
  <c r="AN25" i="2"/>
  <c r="AN20" i="2"/>
  <c r="AN19" i="2"/>
  <c r="AN26" i="2"/>
  <c r="AN13" i="2"/>
  <c r="AN31" i="2"/>
  <c r="AN8" i="2"/>
  <c r="AN33" i="2"/>
  <c r="AN12" i="2"/>
  <c r="AN17" i="2"/>
  <c r="AN22" i="2"/>
  <c r="AN11" i="2"/>
  <c r="AN16" i="2"/>
  <c r="AN7" i="2"/>
  <c r="AS5" i="1"/>
  <c r="AS15" i="1"/>
  <c r="AS35" i="1"/>
  <c r="AS23" i="1"/>
  <c r="AS27" i="1"/>
  <c r="AS6" i="1"/>
  <c r="AS18" i="1"/>
  <c r="AS24" i="1"/>
  <c r="AS29" i="1"/>
  <c r="AS9" i="1"/>
  <c r="AS21" i="1"/>
  <c r="AS32" i="1"/>
  <c r="AS34" i="1"/>
  <c r="AS28" i="1"/>
  <c r="AS14" i="1"/>
  <c r="AS30" i="1"/>
  <c r="AS10" i="1"/>
  <c r="AS25" i="1"/>
  <c r="AS20" i="1"/>
  <c r="AS19" i="1"/>
  <c r="AS26" i="1"/>
  <c r="AS13" i="1"/>
  <c r="AS31" i="1"/>
  <c r="AS8" i="1"/>
  <c r="AS33" i="1"/>
  <c r="AS12" i="1"/>
  <c r="AS17" i="1"/>
  <c r="AS22" i="1"/>
  <c r="AS11" i="1"/>
  <c r="AS16" i="1"/>
  <c r="AS7" i="1"/>
  <c r="AR5" i="1"/>
  <c r="AR15" i="1"/>
  <c r="AR35" i="1"/>
  <c r="AR23" i="1"/>
  <c r="AR27" i="1"/>
  <c r="AR6" i="1"/>
  <c r="AR18" i="1"/>
  <c r="AR24" i="1"/>
  <c r="AR29" i="1"/>
  <c r="AR9" i="1"/>
  <c r="AR21" i="1"/>
  <c r="AR32" i="1"/>
  <c r="AR34" i="1"/>
  <c r="AR28" i="1"/>
  <c r="AR14" i="1"/>
  <c r="AR30" i="1"/>
  <c r="AR10" i="1"/>
  <c r="AR25" i="1"/>
  <c r="AR20" i="1"/>
  <c r="AR19" i="1"/>
  <c r="AR26" i="1"/>
  <c r="AR13" i="1"/>
  <c r="AR31" i="1"/>
  <c r="AR8" i="1"/>
  <c r="AR33" i="1"/>
  <c r="AR12" i="1"/>
  <c r="AR17" i="1"/>
  <c r="AR22" i="1"/>
  <c r="AR11" i="1"/>
  <c r="AR16" i="1"/>
  <c r="AR7" i="1"/>
  <c r="AP4" i="1"/>
  <c r="AQ4" i="1"/>
  <c r="BB41" i="1" l="1"/>
  <c r="BB42" i="1"/>
  <c r="AT6" i="1"/>
  <c r="AT34" i="1"/>
  <c r="AT21" i="1"/>
  <c r="AT18" i="1"/>
  <c r="AT14" i="1"/>
  <c r="AT15" i="1"/>
  <c r="AT31" i="1"/>
  <c r="AT17" i="1"/>
  <c r="AT7" i="1"/>
  <c r="AT11" i="1"/>
  <c r="AT9" i="1"/>
  <c r="AT27" i="1"/>
  <c r="AT24" i="1"/>
  <c r="AV13" i="2"/>
  <c r="AV21" i="2"/>
  <c r="AU21" i="2"/>
  <c r="AU26" i="2"/>
  <c r="AV26" i="2"/>
  <c r="AU29" i="2"/>
  <c r="AV29" i="2"/>
  <c r="AU20" i="2"/>
  <c r="AV20" i="2"/>
  <c r="AU18" i="2"/>
  <c r="AV18" i="2"/>
  <c r="AV25" i="2"/>
  <c r="AU25" i="2"/>
  <c r="AU6" i="2"/>
  <c r="AV6" i="2"/>
  <c r="AU27" i="2"/>
  <c r="AV27" i="2"/>
  <c r="AV22" i="2"/>
  <c r="AU22" i="2"/>
  <c r="AV23" i="2"/>
  <c r="AU23" i="2"/>
  <c r="AU17" i="2"/>
  <c r="AV17" i="2"/>
  <c r="AV35" i="2"/>
  <c r="AU35" i="2"/>
  <c r="AU15" i="2"/>
  <c r="AV15" i="2"/>
  <c r="AV9" i="2"/>
  <c r="AU9" i="2"/>
  <c r="AU19" i="2"/>
  <c r="AV19" i="2"/>
  <c r="AV10" i="2"/>
  <c r="AU10" i="2"/>
  <c r="AU31" i="2"/>
  <c r="AV31" i="2"/>
  <c r="AV24" i="2"/>
  <c r="AU24" i="2"/>
  <c r="AU7" i="2"/>
  <c r="AV7" i="2"/>
  <c r="AU16" i="2"/>
  <c r="AV16" i="2"/>
  <c r="AV11" i="2"/>
  <c r="AU11" i="2"/>
  <c r="AU30" i="2"/>
  <c r="AV30" i="2"/>
  <c r="AU14" i="2"/>
  <c r="AV14" i="2"/>
  <c r="AV12" i="2"/>
  <c r="AU12" i="2"/>
  <c r="AU28" i="2"/>
  <c r="AV28" i="2"/>
  <c r="AV33" i="2"/>
  <c r="AU33" i="2"/>
  <c r="AV34" i="2"/>
  <c r="AU34" i="2"/>
  <c r="AV5" i="2"/>
  <c r="AU5" i="2"/>
  <c r="AU8" i="2"/>
  <c r="AV8" i="2"/>
  <c r="AU32" i="2"/>
  <c r="AV32" i="2"/>
  <c r="AJ13" i="2"/>
  <c r="AI13" i="2"/>
  <c r="BL11" i="2"/>
  <c r="AI11" i="2"/>
  <c r="AJ11" i="2"/>
  <c r="BL28" i="2"/>
  <c r="AI28" i="2"/>
  <c r="AJ28" i="2"/>
  <c r="BL19" i="2"/>
  <c r="AI19" i="2"/>
  <c r="AJ19" i="2"/>
  <c r="BL6" i="2"/>
  <c r="AI6" i="2"/>
  <c r="AJ6" i="2"/>
  <c r="BL34" i="2"/>
  <c r="AI34" i="2"/>
  <c r="AJ34" i="2"/>
  <c r="BL35" i="2"/>
  <c r="AJ35" i="2"/>
  <c r="AI35" i="2"/>
  <c r="BL26" i="2"/>
  <c r="AI26" i="2"/>
  <c r="AJ26" i="2"/>
  <c r="BL32" i="2"/>
  <c r="AI32" i="2"/>
  <c r="AJ32" i="2"/>
  <c r="BL9" i="2"/>
  <c r="AI9" i="2"/>
  <c r="AJ9" i="2"/>
  <c r="BL16" i="2"/>
  <c r="AJ16" i="2"/>
  <c r="AI16" i="2"/>
  <c r="BL23" i="2"/>
  <c r="AI23" i="2"/>
  <c r="AJ23" i="2"/>
  <c r="BL17" i="2"/>
  <c r="AI17" i="2"/>
  <c r="AJ17" i="2"/>
  <c r="BL33" i="2"/>
  <c r="AI33" i="2"/>
  <c r="AJ33" i="2"/>
  <c r="BL10" i="2"/>
  <c r="AJ10" i="2"/>
  <c r="AI10" i="2"/>
  <c r="BL29" i="2"/>
  <c r="AI29" i="2"/>
  <c r="AJ29" i="2"/>
  <c r="BL5" i="2"/>
  <c r="AI5" i="2"/>
  <c r="AJ5" i="2"/>
  <c r="BL20" i="2"/>
  <c r="AJ20" i="2"/>
  <c r="AI20" i="2"/>
  <c r="BL25" i="2"/>
  <c r="AI25" i="2"/>
  <c r="AJ25" i="2"/>
  <c r="BL15" i="2"/>
  <c r="AI15" i="2"/>
  <c r="AJ15" i="2"/>
  <c r="AI8" i="2"/>
  <c r="AJ8" i="2"/>
  <c r="BL30" i="2"/>
  <c r="AI30" i="2"/>
  <c r="AJ30" i="2"/>
  <c r="BL24" i="2"/>
  <c r="AJ24" i="2"/>
  <c r="AI24" i="2"/>
  <c r="BL27" i="2"/>
  <c r="AI27" i="2"/>
  <c r="AJ27" i="2"/>
  <c r="BL22" i="2"/>
  <c r="AI22" i="2"/>
  <c r="AJ22" i="2"/>
  <c r="BL21" i="2"/>
  <c r="AJ21" i="2"/>
  <c r="AI21" i="2"/>
  <c r="BL12" i="2"/>
  <c r="AI12" i="2"/>
  <c r="AJ12" i="2"/>
  <c r="BL7" i="2"/>
  <c r="AI7" i="2"/>
  <c r="AJ7" i="2"/>
  <c r="AI31" i="2"/>
  <c r="AJ31" i="2"/>
  <c r="BL14" i="2"/>
  <c r="AI14" i="2"/>
  <c r="AJ14" i="2"/>
  <c r="AI18" i="2"/>
  <c r="AJ18" i="2"/>
  <c r="BC11" i="2"/>
  <c r="BC26" i="2"/>
  <c r="BC34" i="2"/>
  <c r="BC27" i="2"/>
  <c r="BC22" i="2"/>
  <c r="BC19" i="2"/>
  <c r="BC32" i="2"/>
  <c r="BC23" i="2"/>
  <c r="BC31" i="2"/>
  <c r="BC18" i="2"/>
  <c r="BC17" i="2"/>
  <c r="BC20" i="2"/>
  <c r="BC21" i="2"/>
  <c r="BC35" i="2"/>
  <c r="BC25" i="2"/>
  <c r="BC30" i="2"/>
  <c r="BC12" i="2"/>
  <c r="BC9" i="2"/>
  <c r="BC15" i="2"/>
  <c r="BC33" i="2"/>
  <c r="BC10" i="2"/>
  <c r="BC29" i="2"/>
  <c r="BC5" i="2"/>
  <c r="BC8" i="2"/>
  <c r="BC14" i="2"/>
  <c r="BC16" i="2"/>
  <c r="BC28" i="2"/>
  <c r="BC6" i="2"/>
  <c r="AQ5" i="1"/>
  <c r="AQ15" i="1"/>
  <c r="AQ35" i="1"/>
  <c r="AQ23" i="1"/>
  <c r="AQ27" i="1"/>
  <c r="AQ6" i="1"/>
  <c r="AQ18" i="1"/>
  <c r="AQ24" i="1"/>
  <c r="AQ29" i="1"/>
  <c r="AQ9" i="1"/>
  <c r="AQ21" i="1"/>
  <c r="AQ32" i="1"/>
  <c r="AQ34" i="1"/>
  <c r="AQ28" i="1"/>
  <c r="AQ14" i="1"/>
  <c r="AQ30" i="1"/>
  <c r="AQ10" i="1"/>
  <c r="AQ25" i="1"/>
  <c r="AQ20" i="1"/>
  <c r="AQ19" i="1"/>
  <c r="AQ26" i="1"/>
  <c r="AQ13" i="1"/>
  <c r="AQ31" i="1"/>
  <c r="AQ8" i="1"/>
  <c r="AQ33" i="1"/>
  <c r="AQ12" i="1"/>
  <c r="AQ17" i="1"/>
  <c r="AQ22" i="1"/>
  <c r="AQ11" i="1"/>
  <c r="AQ16" i="1"/>
  <c r="AQ7" i="1"/>
  <c r="AP5" i="1"/>
  <c r="AP15" i="1"/>
  <c r="AP35" i="1"/>
  <c r="AP23" i="1"/>
  <c r="AP27" i="1"/>
  <c r="AP6" i="1"/>
  <c r="AP18" i="1"/>
  <c r="AP24" i="1"/>
  <c r="AP29" i="1"/>
  <c r="AP9" i="1"/>
  <c r="AP21" i="1"/>
  <c r="AP32" i="1"/>
  <c r="AP34" i="1"/>
  <c r="AP28" i="1"/>
  <c r="AP14" i="1"/>
  <c r="AP30" i="1"/>
  <c r="AP10" i="1"/>
  <c r="AP25" i="1"/>
  <c r="AP20" i="1"/>
  <c r="AP19" i="1"/>
  <c r="AP26" i="1"/>
  <c r="AP13" i="1"/>
  <c r="AP31" i="1"/>
  <c r="AP8" i="1"/>
  <c r="AP33" i="1"/>
  <c r="AP12" i="1"/>
  <c r="AP17" i="1"/>
  <c r="AP22" i="1"/>
  <c r="AP11" i="1"/>
  <c r="AP16" i="1"/>
  <c r="AP7" i="1"/>
  <c r="AO5" i="1"/>
  <c r="AO15" i="1"/>
  <c r="AO35" i="1"/>
  <c r="AO23" i="1"/>
  <c r="AO27" i="1"/>
  <c r="AO6" i="1"/>
  <c r="AO18" i="1"/>
  <c r="AO24" i="1"/>
  <c r="AO29" i="1"/>
  <c r="AO9" i="1"/>
  <c r="AO21" i="1"/>
  <c r="AO32" i="1"/>
  <c r="AO34" i="1"/>
  <c r="AO28" i="1"/>
  <c r="AO14" i="1"/>
  <c r="AO30" i="1"/>
  <c r="AO10" i="1"/>
  <c r="AO25" i="1"/>
  <c r="AO20" i="1"/>
  <c r="AO19" i="1"/>
  <c r="AO26" i="1"/>
  <c r="AO13" i="1"/>
  <c r="AO31" i="1"/>
  <c r="AO8" i="1"/>
  <c r="AO33" i="1"/>
  <c r="AO12" i="1"/>
  <c r="AO17" i="1"/>
  <c r="AO22" i="1"/>
  <c r="AO11" i="1"/>
  <c r="AO16" i="1"/>
  <c r="AO7" i="1"/>
  <c r="AN5" i="1"/>
  <c r="AN15" i="1"/>
  <c r="AN35" i="1"/>
  <c r="AN23" i="1"/>
  <c r="AN27" i="1"/>
  <c r="AN6" i="1"/>
  <c r="AN18" i="1"/>
  <c r="AN24" i="1"/>
  <c r="AN29" i="1"/>
  <c r="AN9" i="1"/>
  <c r="AN21" i="1"/>
  <c r="AN32" i="1"/>
  <c r="AN34" i="1"/>
  <c r="AN28" i="1"/>
  <c r="AN14" i="1"/>
  <c r="AN30" i="1"/>
  <c r="AN10" i="1"/>
  <c r="AN25" i="1"/>
  <c r="AN20" i="1"/>
  <c r="AN19" i="1"/>
  <c r="AN26" i="1"/>
  <c r="AN13" i="1"/>
  <c r="AN31" i="1"/>
  <c r="AN8" i="1"/>
  <c r="AN33" i="1"/>
  <c r="AN12" i="1"/>
  <c r="AN17" i="1"/>
  <c r="AN22" i="1"/>
  <c r="AN11" i="1"/>
  <c r="AN16" i="1"/>
  <c r="AN7" i="1"/>
  <c r="AT42" i="1" l="1"/>
  <c r="AI14" i="1"/>
  <c r="AH17" i="1"/>
  <c r="AU27" i="1"/>
  <c r="AT41" i="1"/>
  <c r="AT40" i="1"/>
  <c r="AI31" i="1"/>
  <c r="AH21" i="1"/>
  <c r="AU34" i="1"/>
  <c r="AH9" i="1"/>
  <c r="AI27" i="1"/>
  <c r="AI24" i="1"/>
  <c r="AI18" i="1"/>
  <c r="AI6" i="1"/>
  <c r="AH34" i="1"/>
  <c r="AI11" i="1"/>
  <c r="AU21" i="1"/>
  <c r="AI7" i="1"/>
  <c r="AI15" i="1"/>
  <c r="AI8" i="1"/>
  <c r="AH8" i="1"/>
  <c r="AU8" i="1"/>
  <c r="AI32" i="1"/>
  <c r="AH32" i="1"/>
  <c r="AU32" i="1"/>
  <c r="AU7" i="1"/>
  <c r="AU15" i="1"/>
  <c r="AU13" i="1"/>
  <c r="AH13" i="1"/>
  <c r="AI13" i="1"/>
  <c r="AH27" i="1"/>
  <c r="AH7" i="1"/>
  <c r="AH15" i="1"/>
  <c r="AI21" i="1"/>
  <c r="AI26" i="1"/>
  <c r="AH26" i="1"/>
  <c r="AU26" i="1"/>
  <c r="AU29" i="1"/>
  <c r="AH29" i="1"/>
  <c r="AI29" i="1"/>
  <c r="AI19" i="1"/>
  <c r="AH19" i="1"/>
  <c r="AU19" i="1"/>
  <c r="AU9" i="1"/>
  <c r="AU17" i="1"/>
  <c r="AU14" i="1"/>
  <c r="AH20" i="1"/>
  <c r="AI20" i="1"/>
  <c r="AU20" i="1"/>
  <c r="AI16" i="1"/>
  <c r="AU16" i="1"/>
  <c r="AH16" i="1"/>
  <c r="AI25" i="1"/>
  <c r="AU25" i="1"/>
  <c r="AH25" i="1"/>
  <c r="AI9" i="1"/>
  <c r="AI17" i="1"/>
  <c r="AH14" i="1"/>
  <c r="AI34" i="1"/>
  <c r="AU10" i="1"/>
  <c r="AI10" i="1"/>
  <c r="AH10" i="1"/>
  <c r="AU22" i="1"/>
  <c r="AI22" i="1"/>
  <c r="AH22" i="1"/>
  <c r="AU30" i="1"/>
  <c r="AH30" i="1"/>
  <c r="AI30" i="1"/>
  <c r="AI23" i="1"/>
  <c r="AH23" i="1"/>
  <c r="AU23" i="1"/>
  <c r="AU24" i="1"/>
  <c r="AU11" i="1"/>
  <c r="AU31" i="1"/>
  <c r="AU18" i="1"/>
  <c r="AU6" i="1"/>
  <c r="AU35" i="1"/>
  <c r="AI35" i="1"/>
  <c r="AH35" i="1"/>
  <c r="AI12" i="1"/>
  <c r="AH12" i="1"/>
  <c r="AU12" i="1"/>
  <c r="AU28" i="1"/>
  <c r="AI28" i="1"/>
  <c r="AH28" i="1"/>
  <c r="AH24" i="1"/>
  <c r="AH11" i="1"/>
  <c r="AH31" i="1"/>
  <c r="AH18" i="1"/>
  <c r="AH6" i="1"/>
  <c r="AH33" i="1"/>
  <c r="AI33" i="1"/>
  <c r="AU33" i="1"/>
  <c r="AU5" i="1"/>
  <c r="AI5" i="1"/>
  <c r="AH5" i="1"/>
  <c r="BC42" i="2"/>
  <c r="BL42" i="2"/>
  <c r="BL41" i="2"/>
  <c r="BC41" i="2"/>
  <c r="BL40" i="2"/>
  <c r="BC40" i="2"/>
  <c r="BK11" i="1"/>
  <c r="BK22" i="1"/>
  <c r="BK20" i="1"/>
  <c r="BK9" i="1"/>
  <c r="BK26" i="1"/>
  <c r="BK21" i="1"/>
  <c r="BK25" i="1"/>
  <c r="BK34" i="1"/>
  <c r="BK32" i="1"/>
  <c r="BK17" i="1"/>
  <c r="BK33" i="1"/>
  <c r="BK24" i="1"/>
  <c r="BK23" i="1"/>
  <c r="BK35" i="1"/>
  <c r="BK15" i="1"/>
  <c r="BK10" i="1"/>
  <c r="BK5" i="1"/>
  <c r="BK8" i="1"/>
  <c r="BK14" i="1"/>
  <c r="BK27" i="1"/>
  <c r="BK19" i="1"/>
  <c r="BK12" i="1"/>
  <c r="BK29" i="1"/>
  <c r="BK30" i="1"/>
  <c r="BK7" i="1"/>
  <c r="BK31" i="1"/>
  <c r="BK18" i="1"/>
  <c r="BK16" i="1"/>
  <c r="BK13" i="1"/>
  <c r="BK28" i="1"/>
  <c r="BK6" i="1"/>
  <c r="BE4" i="2"/>
  <c r="BF4" i="2"/>
  <c r="BW4" i="2"/>
  <c r="BX4" i="2"/>
  <c r="BE7" i="2"/>
  <c r="BF7" i="2"/>
  <c r="BW7" i="2"/>
  <c r="CC7" i="2" s="1"/>
  <c r="BX7" i="2"/>
  <c r="AU42" i="1" l="1"/>
  <c r="BK42" i="1"/>
  <c r="AU41" i="1"/>
  <c r="BK41" i="1"/>
  <c r="AU40" i="1"/>
  <c r="BK40" i="1"/>
  <c r="BZ4" i="2"/>
  <c r="CB4" i="2" s="1"/>
  <c r="CD4" i="2"/>
  <c r="CF4" i="2" s="1"/>
  <c r="CH4" i="2" s="1"/>
  <c r="BY4" i="2"/>
  <c r="CA4" i="2" s="1"/>
  <c r="CC4" i="2"/>
  <c r="CG4" i="2" s="1"/>
  <c r="BZ7" i="2"/>
  <c r="CB7" i="2" s="1"/>
  <c r="CD7" i="2"/>
  <c r="CF7" i="2" s="1"/>
  <c r="CH7" i="2" s="1"/>
  <c r="CE7" i="2"/>
  <c r="CG7" i="2"/>
  <c r="BY7" i="2"/>
  <c r="CE4" i="2" l="1"/>
  <c r="BF5" i="2" l="1"/>
  <c r="BF15" i="2"/>
  <c r="BF35" i="2"/>
  <c r="BF23" i="2"/>
  <c r="BF27" i="2"/>
  <c r="BF6" i="2"/>
  <c r="BF29" i="2"/>
  <c r="BF9" i="2"/>
  <c r="BF21" i="2"/>
  <c r="BF32" i="2"/>
  <c r="BF34" i="2"/>
  <c r="BF28" i="2"/>
  <c r="BF14" i="2"/>
  <c r="BF30" i="2"/>
  <c r="BF10" i="2"/>
  <c r="BF25" i="2"/>
  <c r="BF20" i="2"/>
  <c r="BF19" i="2"/>
  <c r="BF26" i="2"/>
  <c r="BF31" i="2"/>
  <c r="BF33" i="2"/>
  <c r="BF12" i="2"/>
  <c r="BF17" i="2"/>
  <c r="BF22" i="2"/>
  <c r="BF11" i="2"/>
  <c r="BF16" i="2"/>
  <c r="BE5" i="2"/>
  <c r="BE15" i="2"/>
  <c r="BE35" i="2"/>
  <c r="BE23" i="2"/>
  <c r="BE27" i="2"/>
  <c r="BE6" i="2"/>
  <c r="BE29" i="2"/>
  <c r="BE9" i="2"/>
  <c r="BE21" i="2"/>
  <c r="BE32" i="2"/>
  <c r="BE34" i="2"/>
  <c r="BE28" i="2"/>
  <c r="BE30" i="2"/>
  <c r="BE10" i="2"/>
  <c r="BE25" i="2"/>
  <c r="BE20" i="2"/>
  <c r="BE19" i="2"/>
  <c r="BE26" i="2"/>
  <c r="BE31" i="2"/>
  <c r="BE17" i="2"/>
  <c r="BE22" i="2"/>
  <c r="BE11" i="2"/>
  <c r="BE16" i="2"/>
  <c r="BF42" i="2" l="1"/>
  <c r="BE42" i="2"/>
  <c r="BE41" i="2"/>
  <c r="BF41" i="2"/>
  <c r="BF40" i="2"/>
  <c r="BE40" i="2"/>
  <c r="BE7" i="1"/>
  <c r="BE5" i="1"/>
  <c r="BE15" i="1"/>
  <c r="BE35" i="1"/>
  <c r="BE23" i="1"/>
  <c r="BE27" i="1"/>
  <c r="BE6" i="1"/>
  <c r="BE18" i="1"/>
  <c r="BE24" i="1"/>
  <c r="BE29" i="1"/>
  <c r="BE9" i="1"/>
  <c r="BE21" i="1"/>
  <c r="BE32" i="1"/>
  <c r="BE34" i="1"/>
  <c r="BE28" i="1"/>
  <c r="BE14" i="1"/>
  <c r="BE30" i="1"/>
  <c r="BE10" i="1"/>
  <c r="BE25" i="1"/>
  <c r="BE20" i="1"/>
  <c r="BE19" i="1"/>
  <c r="BE26" i="1"/>
  <c r="BE13" i="1"/>
  <c r="BE31" i="1"/>
  <c r="BE8" i="1"/>
  <c r="BE33" i="1"/>
  <c r="BE12" i="1"/>
  <c r="BE17" i="1"/>
  <c r="BE22" i="1"/>
  <c r="BE11" i="1"/>
  <c r="BE16" i="1"/>
  <c r="BD7" i="1"/>
  <c r="BD5" i="1"/>
  <c r="BD15" i="1"/>
  <c r="BD35" i="1"/>
  <c r="BD23" i="1"/>
  <c r="BD27" i="1"/>
  <c r="BD6" i="1"/>
  <c r="BD18" i="1"/>
  <c r="BD24" i="1"/>
  <c r="BD29" i="1"/>
  <c r="BD9" i="1"/>
  <c r="BD21" i="1"/>
  <c r="BD32" i="1"/>
  <c r="BD34" i="1"/>
  <c r="BD28" i="1"/>
  <c r="BD14" i="1"/>
  <c r="BD30" i="1"/>
  <c r="BD10" i="1"/>
  <c r="BD25" i="1"/>
  <c r="BD20" i="1"/>
  <c r="BD19" i="1"/>
  <c r="BD26" i="1"/>
  <c r="BD13" i="1"/>
  <c r="BD31" i="1"/>
  <c r="BD8" i="1"/>
  <c r="BD33" i="1"/>
  <c r="BD12" i="1"/>
  <c r="BD17" i="1"/>
  <c r="BD22" i="1"/>
  <c r="BD11" i="1"/>
  <c r="BD16" i="1"/>
  <c r="BW5" i="2"/>
  <c r="CC5" i="2" s="1"/>
  <c r="BW15" i="2"/>
  <c r="CC15" i="2" s="1"/>
  <c r="BW35" i="2"/>
  <c r="CC35" i="2" s="1"/>
  <c r="BW23" i="2"/>
  <c r="CC23" i="2" s="1"/>
  <c r="BW27" i="2"/>
  <c r="CC27" i="2" s="1"/>
  <c r="BW6" i="2"/>
  <c r="CC6" i="2" s="1"/>
  <c r="BW18" i="2"/>
  <c r="BW24" i="2"/>
  <c r="CC24" i="2" s="1"/>
  <c r="BW29" i="2"/>
  <c r="CC29" i="2" s="1"/>
  <c r="BW9" i="2"/>
  <c r="BW21" i="2"/>
  <c r="CC21" i="2" s="1"/>
  <c r="BW32" i="2"/>
  <c r="CC32" i="2" s="1"/>
  <c r="BW34" i="2"/>
  <c r="CC34" i="2" s="1"/>
  <c r="BW28" i="2"/>
  <c r="BW14" i="2"/>
  <c r="BW30" i="2"/>
  <c r="CC30" i="2" s="1"/>
  <c r="BW10" i="2"/>
  <c r="CC10" i="2" s="1"/>
  <c r="BW25" i="2"/>
  <c r="BW20" i="2"/>
  <c r="CC20" i="2" s="1"/>
  <c r="BW19" i="2"/>
  <c r="CC19" i="2" s="1"/>
  <c r="BW26" i="2"/>
  <c r="CC26" i="2" s="1"/>
  <c r="BW13" i="2"/>
  <c r="BW31" i="2"/>
  <c r="BW8" i="2"/>
  <c r="CC8" i="2" s="1"/>
  <c r="BW33" i="2"/>
  <c r="BW12" i="2"/>
  <c r="CC12" i="2" s="1"/>
  <c r="BW17" i="2"/>
  <c r="CC17" i="2" s="1"/>
  <c r="BW22" i="2"/>
  <c r="CC22" i="2" s="1"/>
  <c r="BW11" i="2"/>
  <c r="CC11" i="2" s="1"/>
  <c r="BW16" i="2"/>
  <c r="BX5" i="2"/>
  <c r="CD5" i="2" s="1"/>
  <c r="CF5" i="2" s="1"/>
  <c r="CH5" i="2" s="1"/>
  <c r="BX15" i="2"/>
  <c r="CD15" i="2" s="1"/>
  <c r="CF15" i="2" s="1"/>
  <c r="CH15" i="2" s="1"/>
  <c r="BX35" i="2"/>
  <c r="CD35" i="2" s="1"/>
  <c r="CF35" i="2" s="1"/>
  <c r="CH35" i="2" s="1"/>
  <c r="BX23" i="2"/>
  <c r="CD23" i="2" s="1"/>
  <c r="CF23" i="2" s="1"/>
  <c r="CH23" i="2" s="1"/>
  <c r="BX27" i="2"/>
  <c r="CD27" i="2" s="1"/>
  <c r="CF27" i="2" s="1"/>
  <c r="CH27" i="2" s="1"/>
  <c r="BX6" i="2"/>
  <c r="CD6" i="2" s="1"/>
  <c r="CF6" i="2" s="1"/>
  <c r="CH6" i="2" s="1"/>
  <c r="BX18" i="2"/>
  <c r="BX24" i="2"/>
  <c r="CD24" i="2" s="1"/>
  <c r="CF24" i="2" s="1"/>
  <c r="CH24" i="2" s="1"/>
  <c r="BX29" i="2"/>
  <c r="CD29" i="2" s="1"/>
  <c r="CF29" i="2" s="1"/>
  <c r="CH29" i="2" s="1"/>
  <c r="BX9" i="2"/>
  <c r="BX21" i="2"/>
  <c r="CD21" i="2" s="1"/>
  <c r="CF21" i="2" s="1"/>
  <c r="CH21" i="2" s="1"/>
  <c r="BX32" i="2"/>
  <c r="CD32" i="2" s="1"/>
  <c r="CF32" i="2" s="1"/>
  <c r="CH32" i="2" s="1"/>
  <c r="BX34" i="2"/>
  <c r="BX28" i="2"/>
  <c r="BX14" i="2"/>
  <c r="BX30" i="2"/>
  <c r="CD30" i="2" s="1"/>
  <c r="CF30" i="2" s="1"/>
  <c r="CH30" i="2" s="1"/>
  <c r="BX10" i="2"/>
  <c r="CD10" i="2" s="1"/>
  <c r="CF10" i="2" s="1"/>
  <c r="CH10" i="2" s="1"/>
  <c r="BX25" i="2"/>
  <c r="BX20" i="2"/>
  <c r="BX19" i="2"/>
  <c r="CD19" i="2" s="1"/>
  <c r="CF19" i="2" s="1"/>
  <c r="CH19" i="2" s="1"/>
  <c r="BX26" i="2"/>
  <c r="BX13" i="2"/>
  <c r="BX31" i="2"/>
  <c r="BX8" i="2"/>
  <c r="CD8" i="2" s="1"/>
  <c r="CF8" i="2" s="1"/>
  <c r="CH8" i="2" s="1"/>
  <c r="BX33" i="2"/>
  <c r="BX12" i="2"/>
  <c r="CD12" i="2" s="1"/>
  <c r="CF12" i="2" s="1"/>
  <c r="CH12" i="2" s="1"/>
  <c r="BX17" i="2"/>
  <c r="CD17" i="2" s="1"/>
  <c r="CF17" i="2" s="1"/>
  <c r="CH17" i="2" s="1"/>
  <c r="BX22" i="2"/>
  <c r="CD22" i="2" s="1"/>
  <c r="CF22" i="2" s="1"/>
  <c r="CH22" i="2" s="1"/>
  <c r="BX11" i="2"/>
  <c r="BX16" i="2"/>
  <c r="BE42" i="1" l="1"/>
  <c r="BD42" i="1"/>
  <c r="BE41" i="1"/>
  <c r="BD41" i="1"/>
  <c r="BE40" i="1"/>
  <c r="BD40" i="1"/>
  <c r="CE15" i="2"/>
  <c r="CG15" i="2"/>
  <c r="BY13" i="2"/>
  <c r="CC13" i="2"/>
  <c r="BY9" i="2"/>
  <c r="CC9" i="2"/>
  <c r="BZ14" i="2"/>
  <c r="CD14" i="2"/>
  <c r="CF14" i="2" s="1"/>
  <c r="CH14" i="2" s="1"/>
  <c r="CG29" i="2"/>
  <c r="CE29" i="2"/>
  <c r="CE24" i="2"/>
  <c r="CG24" i="2"/>
  <c r="CE20" i="2"/>
  <c r="CG20" i="2"/>
  <c r="BY18" i="2"/>
  <c r="CC18" i="2"/>
  <c r="BY16" i="2"/>
  <c r="CC16" i="2"/>
  <c r="BY25" i="2"/>
  <c r="CC25" i="2"/>
  <c r="CG11" i="2"/>
  <c r="CE11" i="2"/>
  <c r="CG27" i="2"/>
  <c r="CE27" i="2"/>
  <c r="BZ9" i="2"/>
  <c r="CD9" i="2"/>
  <c r="CF9" i="2" s="1"/>
  <c r="CH9" i="2" s="1"/>
  <c r="CG22" i="2"/>
  <c r="CE22" i="2"/>
  <c r="CE23" i="2"/>
  <c r="CG23" i="2"/>
  <c r="BZ26" i="2"/>
  <c r="CD26" i="2"/>
  <c r="CF26" i="2" s="1"/>
  <c r="CH26" i="2" s="1"/>
  <c r="CG35" i="2"/>
  <c r="CE35" i="2"/>
  <c r="CE12" i="2"/>
  <c r="CG12" i="2"/>
  <c r="BY28" i="2"/>
  <c r="CC28" i="2"/>
  <c r="BZ20" i="2"/>
  <c r="CD20" i="2"/>
  <c r="CF20" i="2" s="1"/>
  <c r="CH20" i="2" s="1"/>
  <c r="BZ18" i="2"/>
  <c r="CD18" i="2"/>
  <c r="CF18" i="2" s="1"/>
  <c r="CH18" i="2" s="1"/>
  <c r="BY33" i="2"/>
  <c r="CC33" i="2"/>
  <c r="CE5" i="2"/>
  <c r="CG5" i="2"/>
  <c r="BZ25" i="2"/>
  <c r="CD25" i="2"/>
  <c r="CF25" i="2" s="1"/>
  <c r="CH25" i="2" s="1"/>
  <c r="CE32" i="2"/>
  <c r="CG32" i="2"/>
  <c r="CE26" i="2"/>
  <c r="CG26" i="2"/>
  <c r="BZ28" i="2"/>
  <c r="CD28" i="2"/>
  <c r="CF28" i="2" s="1"/>
  <c r="CH28" i="2" s="1"/>
  <c r="CG19" i="2"/>
  <c r="CE19" i="2"/>
  <c r="BZ33" i="2"/>
  <c r="CD33" i="2"/>
  <c r="CF33" i="2" s="1"/>
  <c r="CH33" i="2" s="1"/>
  <c r="BZ34" i="2"/>
  <c r="CD34" i="2"/>
  <c r="CF34" i="2" s="1"/>
  <c r="CH34" i="2" s="1"/>
  <c r="CG6" i="2"/>
  <c r="CE6" i="2"/>
  <c r="BZ31" i="2"/>
  <c r="CD31" i="2"/>
  <c r="CF31" i="2" s="1"/>
  <c r="CH31" i="2" s="1"/>
  <c r="CE10" i="2"/>
  <c r="CG10" i="2"/>
  <c r="BZ13" i="2"/>
  <c r="CD13" i="2"/>
  <c r="CF13" i="2" s="1"/>
  <c r="CH13" i="2" s="1"/>
  <c r="CG30" i="2"/>
  <c r="CE30" i="2"/>
  <c r="CG17" i="2"/>
  <c r="CE17" i="2"/>
  <c r="BY14" i="2"/>
  <c r="CC14" i="2"/>
  <c r="CE34" i="2"/>
  <c r="CG34" i="2"/>
  <c r="BZ16" i="2"/>
  <c r="CD16" i="2"/>
  <c r="CF16" i="2" s="1"/>
  <c r="CH16" i="2" s="1"/>
  <c r="CE8" i="2"/>
  <c r="CG8" i="2"/>
  <c r="BZ11" i="2"/>
  <c r="CD11" i="2"/>
  <c r="CF11" i="2" s="1"/>
  <c r="CH11" i="2" s="1"/>
  <c r="BY31" i="2"/>
  <c r="CC31" i="2"/>
  <c r="CG21" i="2"/>
  <c r="CE21" i="2"/>
  <c r="BZ27" i="2"/>
  <c r="CB27" i="2" s="1"/>
  <c r="BY26" i="2"/>
  <c r="BZ22" i="2"/>
  <c r="CB22" i="2" s="1"/>
  <c r="BZ32" i="2"/>
  <c r="CB32" i="2" s="1"/>
  <c r="BZ23" i="2"/>
  <c r="CB23" i="2" s="1"/>
  <c r="BY22" i="2"/>
  <c r="CA22" i="2" s="1"/>
  <c r="BY23" i="2"/>
  <c r="CA23" i="2" s="1"/>
  <c r="BZ21" i="2"/>
  <c r="CB21" i="2" s="1"/>
  <c r="BZ35" i="2"/>
  <c r="CB35" i="2" s="1"/>
  <c r="BY17" i="2"/>
  <c r="CA17" i="2" s="1"/>
  <c r="BY21" i="2"/>
  <c r="BZ12" i="2"/>
  <c r="CB12" i="2" s="1"/>
  <c r="BZ15" i="2"/>
  <c r="CB15" i="2" s="1"/>
  <c r="BY12" i="2"/>
  <c r="CA12" i="2" s="1"/>
  <c r="BY15" i="2"/>
  <c r="CA15" i="2" s="1"/>
  <c r="BZ19" i="2"/>
  <c r="CB19" i="2" s="1"/>
  <c r="BY19" i="2"/>
  <c r="CA19" i="2" s="1"/>
  <c r="BZ17" i="2"/>
  <c r="CB17" i="2" s="1"/>
  <c r="BZ10" i="2"/>
  <c r="CB10" i="2" s="1"/>
  <c r="BZ29" i="2"/>
  <c r="CB29" i="2" s="1"/>
  <c r="BY10" i="2"/>
  <c r="BZ6" i="2"/>
  <c r="CB6" i="2" s="1"/>
  <c r="BY6" i="2"/>
  <c r="BY29" i="2"/>
  <c r="BY34" i="2"/>
  <c r="BY27" i="2"/>
  <c r="BY5" i="2"/>
  <c r="BZ5" i="2"/>
  <c r="CB5" i="2" s="1"/>
  <c r="BY11" i="2"/>
  <c r="BZ8" i="2"/>
  <c r="BZ30" i="2"/>
  <c r="CB30" i="2" s="1"/>
  <c r="BZ24" i="2"/>
  <c r="CB24" i="2" s="1"/>
  <c r="BY8" i="2"/>
  <c r="BY30" i="2"/>
  <c r="BY24" i="2"/>
  <c r="BY32" i="2"/>
  <c r="BY20" i="2"/>
  <c r="BY35" i="2"/>
  <c r="CG33" i="2" l="1"/>
  <c r="CE33" i="2"/>
  <c r="CE31" i="2"/>
  <c r="CG31" i="2"/>
  <c r="CG25" i="2"/>
  <c r="CE25" i="2"/>
  <c r="CE16" i="2"/>
  <c r="CG16" i="2"/>
  <c r="CE18" i="2"/>
  <c r="CG18" i="2"/>
  <c r="CG13" i="2"/>
  <c r="CE13" i="2"/>
  <c r="CG9" i="2"/>
  <c r="CE9" i="2"/>
  <c r="CG14" i="2"/>
  <c r="CE14" i="2"/>
  <c r="CE28" i="2"/>
  <c r="CG28" i="2"/>
  <c r="CA26" i="2"/>
  <c r="CA30" i="2"/>
  <c r="CA6" i="2"/>
  <c r="CA10" i="2"/>
  <c r="CA27" i="2"/>
  <c r="CA5" i="2"/>
  <c r="CA24" i="2"/>
  <c r="CA29" i="2"/>
  <c r="CA35" i="2"/>
  <c r="CA21" i="2"/>
  <c r="CA11" i="2"/>
  <c r="CA32" i="2"/>
  <c r="BY7" i="1" l="1"/>
  <c r="BZ7" i="1"/>
  <c r="BY5" i="1"/>
  <c r="CE5" i="1" s="1"/>
  <c r="BZ5" i="1"/>
  <c r="BY15" i="1"/>
  <c r="BZ15" i="1"/>
  <c r="BY35" i="1"/>
  <c r="BZ35" i="1"/>
  <c r="BY23" i="1"/>
  <c r="BZ23" i="1"/>
  <c r="BY27" i="1"/>
  <c r="BZ27" i="1"/>
  <c r="BY6" i="1"/>
  <c r="BZ6" i="1"/>
  <c r="BY18" i="1"/>
  <c r="BZ18" i="1"/>
  <c r="BY24" i="1"/>
  <c r="BZ24" i="1"/>
  <c r="BY29" i="1"/>
  <c r="BZ29" i="1"/>
  <c r="BY9" i="1"/>
  <c r="BZ9" i="1"/>
  <c r="BY21" i="1"/>
  <c r="BZ21" i="1"/>
  <c r="BY32" i="1"/>
  <c r="BZ32" i="1"/>
  <c r="BY34" i="1"/>
  <c r="BZ34" i="1"/>
  <c r="BY28" i="1"/>
  <c r="BZ28" i="1"/>
  <c r="BY14" i="1"/>
  <c r="BZ14" i="1"/>
  <c r="BY30" i="1"/>
  <c r="BZ30" i="1"/>
  <c r="BY10" i="1"/>
  <c r="BZ10" i="1"/>
  <c r="BY25" i="1"/>
  <c r="BZ25" i="1"/>
  <c r="BY20" i="1"/>
  <c r="BZ20" i="1"/>
  <c r="BY19" i="1"/>
  <c r="BZ19" i="1"/>
  <c r="BY26" i="1"/>
  <c r="BZ26" i="1"/>
  <c r="BY13" i="1"/>
  <c r="BZ13" i="1"/>
  <c r="BY31" i="1"/>
  <c r="BZ31" i="1"/>
  <c r="BY8" i="1"/>
  <c r="BZ8" i="1"/>
  <c r="BY33" i="1"/>
  <c r="BZ33" i="1"/>
  <c r="BY12" i="1"/>
  <c r="BZ12" i="1"/>
  <c r="BY17" i="1"/>
  <c r="BZ17" i="1"/>
  <c r="BY22" i="1"/>
  <c r="BZ22" i="1"/>
  <c r="BY11" i="1"/>
  <c r="BZ11" i="1"/>
  <c r="BY16" i="1"/>
  <c r="BZ16" i="1"/>
  <c r="BZ4" i="1"/>
  <c r="BY4" i="1"/>
  <c r="CE4" i="1" s="1"/>
  <c r="CA26" i="1" l="1"/>
  <c r="CC26" i="1" s="1"/>
  <c r="CA34" i="1"/>
  <c r="CC34" i="1" s="1"/>
  <c r="CA27" i="1"/>
  <c r="CC27" i="1" s="1"/>
  <c r="CA17" i="1"/>
  <c r="CC17" i="1" s="1"/>
  <c r="CA20" i="1"/>
  <c r="CC20" i="1" s="1"/>
  <c r="CA21" i="1"/>
  <c r="CC21" i="1" s="1"/>
  <c r="CA35" i="1"/>
  <c r="CC35" i="1" s="1"/>
  <c r="CF16" i="1"/>
  <c r="CH16" i="1" s="1"/>
  <c r="CJ16" i="1" s="1"/>
  <c r="CB16" i="1"/>
  <c r="CD16" i="1" s="1"/>
  <c r="CF13" i="1"/>
  <c r="CH13" i="1" s="1"/>
  <c r="CJ13" i="1" s="1"/>
  <c r="CB13" i="1"/>
  <c r="CD13" i="1" s="1"/>
  <c r="CF28" i="1"/>
  <c r="CH28" i="1" s="1"/>
  <c r="CJ28" i="1" s="1"/>
  <c r="CB28" i="1"/>
  <c r="CD28" i="1" s="1"/>
  <c r="CF15" i="1"/>
  <c r="CH15" i="1" s="1"/>
  <c r="CJ15" i="1" s="1"/>
  <c r="CB15" i="1"/>
  <c r="CD15" i="1" s="1"/>
  <c r="CA16" i="1"/>
  <c r="CC16" i="1" s="1"/>
  <c r="CA12" i="1"/>
  <c r="CC12" i="1" s="1"/>
  <c r="CA13" i="1"/>
  <c r="CC13" i="1" s="1"/>
  <c r="CA25" i="1"/>
  <c r="CC25" i="1" s="1"/>
  <c r="CA28" i="1"/>
  <c r="CC28" i="1" s="1"/>
  <c r="CA9" i="1"/>
  <c r="CC9" i="1" s="1"/>
  <c r="CA6" i="1"/>
  <c r="CC6" i="1" s="1"/>
  <c r="CA15" i="1"/>
  <c r="CC15" i="1" s="1"/>
  <c r="CA33" i="1"/>
  <c r="CC33" i="1" s="1"/>
  <c r="CA10" i="1"/>
  <c r="CC10" i="1" s="1"/>
  <c r="CA29" i="1"/>
  <c r="CC29" i="1" s="1"/>
  <c r="CF4" i="1"/>
  <c r="CH4" i="1" s="1"/>
  <c r="CJ4" i="1" s="1"/>
  <c r="CB4" i="1"/>
  <c r="CD4" i="1" s="1"/>
  <c r="CA31" i="1"/>
  <c r="CC31" i="1" s="1"/>
  <c r="CA14" i="1"/>
  <c r="CC14" i="1" s="1"/>
  <c r="CA18" i="1"/>
  <c r="CC18" i="1" s="1"/>
  <c r="CF12" i="1"/>
  <c r="CH12" i="1" s="1"/>
  <c r="CJ12" i="1" s="1"/>
  <c r="CB12" i="1"/>
  <c r="CD12" i="1" s="1"/>
  <c r="CF25" i="1"/>
  <c r="CH25" i="1" s="1"/>
  <c r="CJ25" i="1" s="1"/>
  <c r="CB25" i="1"/>
  <c r="CD25" i="1" s="1"/>
  <c r="CF9" i="1"/>
  <c r="CH9" i="1" s="1"/>
  <c r="CJ9" i="1" s="1"/>
  <c r="CB9" i="1"/>
  <c r="CD9" i="1" s="1"/>
  <c r="CF6" i="1"/>
  <c r="CH6" i="1" s="1"/>
  <c r="CJ6" i="1" s="1"/>
  <c r="CB6" i="1"/>
  <c r="CD6" i="1" s="1"/>
  <c r="CF11" i="1"/>
  <c r="CH11" i="1" s="1"/>
  <c r="CJ11" i="1" s="1"/>
  <c r="CB11" i="1"/>
  <c r="CD11" i="1" s="1"/>
  <c r="CF33" i="1"/>
  <c r="CH33" i="1" s="1"/>
  <c r="CJ33" i="1" s="1"/>
  <c r="CB33" i="1"/>
  <c r="CD33" i="1" s="1"/>
  <c r="CB26" i="1"/>
  <c r="CD26" i="1" s="1"/>
  <c r="CF26" i="1"/>
  <c r="CH26" i="1" s="1"/>
  <c r="CJ26" i="1" s="1"/>
  <c r="CF10" i="1"/>
  <c r="CH10" i="1" s="1"/>
  <c r="CJ10" i="1" s="1"/>
  <c r="CB10" i="1"/>
  <c r="CD10" i="1" s="1"/>
  <c r="CF34" i="1"/>
  <c r="CH34" i="1" s="1"/>
  <c r="CJ34" i="1" s="1"/>
  <c r="CB34" i="1"/>
  <c r="CD34" i="1" s="1"/>
  <c r="CF29" i="1"/>
  <c r="CH29" i="1" s="1"/>
  <c r="CJ29" i="1" s="1"/>
  <c r="CB29" i="1"/>
  <c r="CD29" i="1" s="1"/>
  <c r="CB27" i="1"/>
  <c r="CD27" i="1" s="1"/>
  <c r="CF27" i="1"/>
  <c r="CH27" i="1" s="1"/>
  <c r="CJ27" i="1" s="1"/>
  <c r="CF5" i="1"/>
  <c r="CH5" i="1" s="1"/>
  <c r="CJ5" i="1" s="1"/>
  <c r="CB5" i="1"/>
  <c r="CD5" i="1" s="1"/>
  <c r="CA11" i="1"/>
  <c r="CC11" i="1" s="1"/>
  <c r="CA5" i="1"/>
  <c r="CC5" i="1" s="1"/>
  <c r="CF22" i="1"/>
  <c r="CH22" i="1" s="1"/>
  <c r="CJ22" i="1" s="1"/>
  <c r="CB22" i="1"/>
  <c r="CD22" i="1" s="1"/>
  <c r="CF8" i="1"/>
  <c r="CH8" i="1" s="1"/>
  <c r="CJ8" i="1" s="1"/>
  <c r="CB8" i="1"/>
  <c r="CD8" i="1" s="1"/>
  <c r="CF19" i="1"/>
  <c r="CH19" i="1" s="1"/>
  <c r="CJ19" i="1" s="1"/>
  <c r="CB19" i="1"/>
  <c r="CD19" i="1" s="1"/>
  <c r="CF30" i="1"/>
  <c r="CH30" i="1" s="1"/>
  <c r="CJ30" i="1" s="1"/>
  <c r="CB30" i="1"/>
  <c r="CD30" i="1" s="1"/>
  <c r="CF32" i="1"/>
  <c r="CH32" i="1" s="1"/>
  <c r="CJ32" i="1" s="1"/>
  <c r="CB32" i="1"/>
  <c r="CD32" i="1" s="1"/>
  <c r="CF24" i="1"/>
  <c r="CH24" i="1" s="1"/>
  <c r="CJ24" i="1" s="1"/>
  <c r="CB24" i="1"/>
  <c r="CD24" i="1" s="1"/>
  <c r="CF23" i="1"/>
  <c r="CH23" i="1" s="1"/>
  <c r="CJ23" i="1" s="1"/>
  <c r="CB23" i="1"/>
  <c r="CD23" i="1" s="1"/>
  <c r="CF7" i="1"/>
  <c r="CH7" i="1" s="1"/>
  <c r="CJ7" i="1" s="1"/>
  <c r="CB7" i="1"/>
  <c r="CD7" i="1" s="1"/>
  <c r="CA22" i="1"/>
  <c r="CC22" i="1" s="1"/>
  <c r="CA8" i="1"/>
  <c r="CC8" i="1" s="1"/>
  <c r="CA19" i="1"/>
  <c r="CC19" i="1" s="1"/>
  <c r="CA30" i="1"/>
  <c r="CC30" i="1" s="1"/>
  <c r="CA32" i="1"/>
  <c r="CC32" i="1" s="1"/>
  <c r="CA24" i="1"/>
  <c r="CC24" i="1" s="1"/>
  <c r="CA23" i="1"/>
  <c r="CC23" i="1" s="1"/>
  <c r="CA7" i="1"/>
  <c r="CC7" i="1" s="1"/>
  <c r="CA4" i="1"/>
  <c r="CC4" i="1" s="1"/>
  <c r="CF17" i="1"/>
  <c r="CH17" i="1" s="1"/>
  <c r="CJ17" i="1" s="1"/>
  <c r="CB17" i="1"/>
  <c r="CD17" i="1" s="1"/>
  <c r="CF31" i="1"/>
  <c r="CH31" i="1" s="1"/>
  <c r="CJ31" i="1" s="1"/>
  <c r="CB31" i="1"/>
  <c r="CD31" i="1" s="1"/>
  <c r="CF20" i="1"/>
  <c r="CH20" i="1" s="1"/>
  <c r="CJ20" i="1" s="1"/>
  <c r="CB20" i="1"/>
  <c r="CD20" i="1" s="1"/>
  <c r="CF14" i="1"/>
  <c r="CH14" i="1" s="1"/>
  <c r="CJ14" i="1" s="1"/>
  <c r="CB14" i="1"/>
  <c r="CD14" i="1" s="1"/>
  <c r="CF21" i="1"/>
  <c r="CH21" i="1" s="1"/>
  <c r="CJ21" i="1" s="1"/>
  <c r="CB21" i="1"/>
  <c r="CD21" i="1" s="1"/>
  <c r="CF18" i="1"/>
  <c r="CH18" i="1" s="1"/>
  <c r="CJ18" i="1" s="1"/>
  <c r="CB18" i="1"/>
  <c r="CD18" i="1" s="1"/>
  <c r="CF35" i="1"/>
  <c r="CH35" i="1" s="1"/>
  <c r="CJ35" i="1" s="1"/>
  <c r="CB35" i="1"/>
  <c r="CD35" i="1" s="1"/>
  <c r="CE32" i="1"/>
  <c r="CG32" i="1" s="1"/>
  <c r="CI32" i="1" s="1"/>
  <c r="CG4" i="1"/>
  <c r="CI4" i="1" s="1"/>
  <c r="CE22" i="1"/>
  <c r="CG22" i="1" s="1"/>
  <c r="CI22" i="1" s="1"/>
  <c r="CE23" i="1"/>
  <c r="CG23" i="1" s="1"/>
  <c r="CI23" i="1" s="1"/>
  <c r="CE17" i="1"/>
  <c r="CG17" i="1" s="1"/>
  <c r="CI17" i="1" s="1"/>
  <c r="CE31" i="1"/>
  <c r="CG31" i="1" s="1"/>
  <c r="CI31" i="1" s="1"/>
  <c r="CE20" i="1"/>
  <c r="CG20" i="1" s="1"/>
  <c r="CI20" i="1" s="1"/>
  <c r="CE14" i="1"/>
  <c r="CG14" i="1" s="1"/>
  <c r="CI14" i="1" s="1"/>
  <c r="CE21" i="1"/>
  <c r="CG21" i="1" s="1"/>
  <c r="CI21" i="1" s="1"/>
  <c r="CE18" i="1"/>
  <c r="CG18" i="1" s="1"/>
  <c r="CI18" i="1" s="1"/>
  <c r="CE35" i="1"/>
  <c r="CG35" i="1" s="1"/>
  <c r="CI35" i="1" s="1"/>
  <c r="CE19" i="1"/>
  <c r="CG19" i="1" s="1"/>
  <c r="CI19" i="1" s="1"/>
  <c r="CE24" i="1"/>
  <c r="CG24" i="1" s="1"/>
  <c r="CI24" i="1" s="1"/>
  <c r="CE16" i="1"/>
  <c r="CG16" i="1" s="1"/>
  <c r="CI16" i="1" s="1"/>
  <c r="CE12" i="1"/>
  <c r="CG12" i="1" s="1"/>
  <c r="CI12" i="1" s="1"/>
  <c r="CE13" i="1"/>
  <c r="CG13" i="1" s="1"/>
  <c r="CI13" i="1" s="1"/>
  <c r="CE25" i="1"/>
  <c r="CG25" i="1" s="1"/>
  <c r="CI25" i="1" s="1"/>
  <c r="CE28" i="1"/>
  <c r="CG28" i="1" s="1"/>
  <c r="CI28" i="1" s="1"/>
  <c r="CE9" i="1"/>
  <c r="CG9" i="1" s="1"/>
  <c r="CI9" i="1" s="1"/>
  <c r="CE6" i="1"/>
  <c r="CG6" i="1" s="1"/>
  <c r="CI6" i="1" s="1"/>
  <c r="CE15" i="1"/>
  <c r="CG15" i="1" s="1"/>
  <c r="CI15" i="1" s="1"/>
  <c r="CE30" i="1"/>
  <c r="CG30" i="1" s="1"/>
  <c r="CI30" i="1" s="1"/>
  <c r="CE8" i="1"/>
  <c r="CG8" i="1" s="1"/>
  <c r="CI8" i="1" s="1"/>
  <c r="CE7" i="1"/>
  <c r="CG7" i="1" s="1"/>
  <c r="CI7" i="1" s="1"/>
  <c r="CE11" i="1"/>
  <c r="CG11" i="1" s="1"/>
  <c r="CI11" i="1" s="1"/>
  <c r="CE33" i="1"/>
  <c r="CG33" i="1" s="1"/>
  <c r="CI33" i="1" s="1"/>
  <c r="CE26" i="1"/>
  <c r="CG26" i="1" s="1"/>
  <c r="CI26" i="1" s="1"/>
  <c r="CE10" i="1"/>
  <c r="CG10" i="1" s="1"/>
  <c r="CI10" i="1" s="1"/>
  <c r="CE34" i="1"/>
  <c r="CG34" i="1" s="1"/>
  <c r="CI34" i="1" s="1"/>
  <c r="CE29" i="1"/>
  <c r="CG29" i="1" s="1"/>
  <c r="CI29" i="1" s="1"/>
  <c r="CE27" i="1"/>
  <c r="CG27" i="1" s="1"/>
  <c r="CI27" i="1" s="1"/>
  <c r="CG5" i="1"/>
  <c r="CI5" i="1" s="1"/>
  <c r="D4" i="2" l="1"/>
  <c r="E4" i="2"/>
  <c r="F4" i="2"/>
  <c r="G4" i="2"/>
  <c r="AP4" i="2" s="1"/>
  <c r="H4" i="2"/>
  <c r="AO4" i="2" s="1"/>
  <c r="I4" i="2"/>
  <c r="AT4" i="2" s="1"/>
  <c r="J4" i="2"/>
  <c r="AS4" i="2" s="1"/>
  <c r="AD7" i="1"/>
  <c r="AD5" i="1"/>
  <c r="AD15" i="1"/>
  <c r="AD35" i="1"/>
  <c r="AD23" i="1"/>
  <c r="AD27" i="1"/>
  <c r="AD6" i="1"/>
  <c r="AD18" i="1"/>
  <c r="AD24" i="1"/>
  <c r="AD29" i="1"/>
  <c r="AD9" i="1"/>
  <c r="AD21" i="1"/>
  <c r="AD32" i="1"/>
  <c r="AD34" i="1"/>
  <c r="AD28" i="1"/>
  <c r="AD14" i="1"/>
  <c r="AD30" i="1"/>
  <c r="AD10" i="1"/>
  <c r="AD25" i="1"/>
  <c r="AD20" i="1"/>
  <c r="AD19" i="1"/>
  <c r="AD26" i="1"/>
  <c r="AD13" i="1"/>
  <c r="AD31" i="1"/>
  <c r="AD8" i="1"/>
  <c r="AD33" i="1"/>
  <c r="AD12" i="1"/>
  <c r="AD17" i="1"/>
  <c r="AD22" i="1"/>
  <c r="AD11" i="1"/>
  <c r="AD16" i="1"/>
  <c r="AD4" i="1"/>
  <c r="AA7" i="1"/>
  <c r="AA5" i="1"/>
  <c r="AA15" i="1"/>
  <c r="AA35" i="1"/>
  <c r="AA23" i="1"/>
  <c r="AA27" i="1"/>
  <c r="AA6" i="1"/>
  <c r="AA18" i="1"/>
  <c r="AA24" i="1"/>
  <c r="AA29" i="1"/>
  <c r="AA9" i="1"/>
  <c r="AA21" i="1"/>
  <c r="AA32" i="1"/>
  <c r="AA34" i="1"/>
  <c r="AA28" i="1"/>
  <c r="AA14" i="1"/>
  <c r="AA30" i="1"/>
  <c r="AA10" i="1"/>
  <c r="AA25" i="1"/>
  <c r="AA20" i="1"/>
  <c r="AA19" i="1"/>
  <c r="AA26" i="1"/>
  <c r="AA13" i="1"/>
  <c r="AA31" i="1"/>
  <c r="AA8" i="1"/>
  <c r="AA33" i="1"/>
  <c r="AA12" i="1"/>
  <c r="AA17" i="1"/>
  <c r="AA22" i="1"/>
  <c r="AA11" i="1"/>
  <c r="AA16" i="1"/>
  <c r="AA4" i="1"/>
  <c r="S7" i="1"/>
  <c r="S5" i="1"/>
  <c r="S15" i="1"/>
  <c r="S35" i="1"/>
  <c r="S23" i="1"/>
  <c r="S27" i="1"/>
  <c r="S6" i="1"/>
  <c r="S18" i="1"/>
  <c r="S24" i="1"/>
  <c r="S29" i="1"/>
  <c r="S9" i="1"/>
  <c r="S21" i="1"/>
  <c r="S32" i="1"/>
  <c r="S34" i="1"/>
  <c r="S28" i="1"/>
  <c r="S14" i="1"/>
  <c r="S30" i="1"/>
  <c r="S10" i="1"/>
  <c r="S25" i="1"/>
  <c r="S20" i="1"/>
  <c r="S19" i="1"/>
  <c r="S26" i="1"/>
  <c r="S13" i="1"/>
  <c r="S31" i="1"/>
  <c r="S8" i="1"/>
  <c r="S33" i="1"/>
  <c r="S12" i="1"/>
  <c r="S17" i="1"/>
  <c r="S22" i="1"/>
  <c r="S11" i="1"/>
  <c r="S16" i="1"/>
  <c r="S4" i="1"/>
  <c r="AN4" i="2" l="1"/>
  <c r="AV4" i="2" l="1"/>
  <c r="AU4" i="2"/>
  <c r="AJ4" i="2"/>
  <c r="AI4" i="2"/>
  <c r="BL4" i="2"/>
  <c r="BG7" i="2"/>
  <c r="BG33" i="2"/>
  <c r="BG28" i="2"/>
  <c r="BG20" i="2"/>
  <c r="BG34" i="2"/>
  <c r="BG21" i="2"/>
  <c r="BG31" i="2"/>
  <c r="BG22" i="2"/>
  <c r="BG25" i="2"/>
  <c r="BG23" i="2"/>
  <c r="BG10" i="2"/>
  <c r="BG30" i="2"/>
  <c r="BG6" i="2"/>
  <c r="BG27" i="2"/>
  <c r="BG17" i="2"/>
  <c r="BG5" i="2"/>
  <c r="BG14" i="2"/>
  <c r="BG19" i="2"/>
  <c r="BG9" i="2"/>
  <c r="BG16" i="2"/>
  <c r="BG29" i="2"/>
  <c r="BG24" i="2"/>
  <c r="BG18" i="2"/>
  <c r="BG11" i="2"/>
  <c r="BG35" i="2"/>
  <c r="BG15" i="2"/>
  <c r="BG12" i="2"/>
  <c r="BG8" i="2"/>
  <c r="BG26" i="2"/>
  <c r="BG32" i="2"/>
  <c r="E4" i="1"/>
  <c r="F4" i="1"/>
  <c r="AK4" i="1" s="1"/>
  <c r="AL4" i="1" s="1"/>
  <c r="G4" i="1"/>
  <c r="AO4" i="1" s="1"/>
  <c r="H4" i="1"/>
  <c r="AN4" i="1" s="1"/>
  <c r="I4" i="1"/>
  <c r="AS4" i="1" s="1"/>
  <c r="J4" i="1"/>
  <c r="AR4" i="1" s="1"/>
  <c r="D4" i="1"/>
  <c r="K7" i="2"/>
  <c r="K5" i="2"/>
  <c r="K15" i="2"/>
  <c r="K35" i="2"/>
  <c r="K23" i="2"/>
  <c r="K27" i="2"/>
  <c r="K6" i="2"/>
  <c r="K18" i="2"/>
  <c r="K24" i="2"/>
  <c r="K29" i="2"/>
  <c r="K9" i="2"/>
  <c r="K21" i="2"/>
  <c r="K32" i="2"/>
  <c r="K34" i="2"/>
  <c r="K28" i="2"/>
  <c r="K14" i="2"/>
  <c r="K30" i="2"/>
  <c r="K10" i="2"/>
  <c r="K25" i="2"/>
  <c r="K20" i="2"/>
  <c r="K19" i="2"/>
  <c r="K26" i="2"/>
  <c r="K13" i="2"/>
  <c r="K31" i="2"/>
  <c r="K8" i="2"/>
  <c r="K33" i="2"/>
  <c r="K12" i="2"/>
  <c r="K17" i="2"/>
  <c r="K22" i="2"/>
  <c r="K11" i="2"/>
  <c r="K16" i="2"/>
  <c r="K5" i="1"/>
  <c r="K15" i="1"/>
  <c r="K35" i="1"/>
  <c r="K23" i="1"/>
  <c r="K27" i="1"/>
  <c r="K6" i="1"/>
  <c r="K18" i="1"/>
  <c r="K24" i="1"/>
  <c r="K29" i="1"/>
  <c r="K9" i="1"/>
  <c r="K21" i="1"/>
  <c r="K32" i="1"/>
  <c r="K34" i="1"/>
  <c r="K28" i="1"/>
  <c r="K14" i="1"/>
  <c r="K30" i="1"/>
  <c r="K10" i="1"/>
  <c r="K25" i="1"/>
  <c r="K20" i="1"/>
  <c r="K19" i="1"/>
  <c r="K26" i="1"/>
  <c r="K13" i="1"/>
  <c r="K31" i="1"/>
  <c r="K8" i="1"/>
  <c r="K33" i="1"/>
  <c r="K12" i="1"/>
  <c r="K17" i="1"/>
  <c r="K22" i="1"/>
  <c r="K11" i="1"/>
  <c r="K16" i="1"/>
  <c r="K7" i="1"/>
  <c r="AM4" i="1" l="1"/>
  <c r="AT4" i="1" s="1"/>
  <c r="BG42" i="2"/>
  <c r="BG41" i="2"/>
  <c r="BG40" i="2"/>
  <c r="BB4" i="1"/>
  <c r="BF4" i="1"/>
  <c r="K4" i="1"/>
  <c r="X39" i="1" s="1"/>
  <c r="K4" i="2"/>
  <c r="AU4" i="1" l="1"/>
  <c r="AH4" i="1"/>
  <c r="AI4" i="1"/>
  <c r="BK4" i="1"/>
  <c r="BC4" i="2" l="1"/>
  <c r="BG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tc={73D734DF-6798-4E31-A557-25D618A89955}</author>
  </authors>
  <commentList>
    <comment ref="H14" authorId="0" shapeId="0" xr:uid="{73D734DF-6798-4E31-A557-25D618A89955}">
      <text>
        <t>[Threaded comment]
Your version of Excel allows you to read this threaded comment; however, any edits to it will get removed if the file is opened in a newer version of Excel. Learn more: https://go.microsoft.com/fwlink/?linkid=870924
Comment:
    118 to 121 milking days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Wanjugu Ndung'u</author>
  </authors>
  <commentList>
    <comment ref="AB2" authorId="0" shapeId="0" xr:uid="{2D6795BC-D49A-40F8-B0FA-A626953869AF}">
      <text>
        <r>
          <rPr>
            <b/>
            <sz val="9"/>
            <color indexed="81"/>
            <rFont val="Tahoma"/>
            <family val="2"/>
          </rPr>
          <t>Wanjugu Ndung'u:</t>
        </r>
        <r>
          <rPr>
            <sz val="9"/>
            <color indexed="81"/>
            <rFont val="Tahoma"/>
            <family val="2"/>
          </rPr>
          <t xml:space="preserve">
This information is from 2019/20 National Sample Census of Agriculture report</t>
        </r>
      </text>
    </comment>
  </commentList>
</comments>
</file>

<file path=xl/sharedStrings.xml><?xml version="1.0" encoding="utf-8"?>
<sst xmlns="http://schemas.openxmlformats.org/spreadsheetml/2006/main" count="3806" uniqueCount="598">
  <si>
    <t>B1OM</t>
  </si>
  <si>
    <t>B1LG local</t>
  </si>
  <si>
    <t>B1LG cross</t>
  </si>
  <si>
    <t>Parameter</t>
  </si>
  <si>
    <t>Unit</t>
  </si>
  <si>
    <t>B1OM Baseline</t>
  </si>
  <si>
    <t>B1OM WOP</t>
  </si>
  <si>
    <t>B1OM WP</t>
  </si>
  <si>
    <t>B1LG local Baseline</t>
  </si>
  <si>
    <t>B1LG local WOP</t>
  </si>
  <si>
    <t>B1LG local WP</t>
  </si>
  <si>
    <t>B1LG cross Baseline</t>
  </si>
  <si>
    <t>B1LG cross WOP</t>
  </si>
  <si>
    <t>B1LG cross WP</t>
  </si>
  <si>
    <t>Age at the first parturition</t>
  </si>
  <si>
    <t>months</t>
  </si>
  <si>
    <t>Death rate of adult animals</t>
  </si>
  <si>
    <t>%</t>
  </si>
  <si>
    <t>Death rate of young females</t>
  </si>
  <si>
    <t>Death rate of young males</t>
  </si>
  <si>
    <t>Fertility rate (adult female)</t>
  </si>
  <si>
    <t>Live weight (Adult Females)</t>
  </si>
  <si>
    <t>kg</t>
  </si>
  <si>
    <t>Live weight (Adult Males)</t>
  </si>
  <si>
    <t>Live weight of animal at slaughter (Meat Females)</t>
  </si>
  <si>
    <t>Live weight of animal at slaughter (Meat Males)</t>
  </si>
  <si>
    <t>Milk fat content</t>
  </si>
  <si>
    <t>Milk protein content</t>
  </si>
  <si>
    <t>Milk Yield</t>
  </si>
  <si>
    <t>Number of animals (Adult Females)</t>
  </si>
  <si>
    <t>#</t>
  </si>
  <si>
    <t>Number of animals (Adult Males)</t>
  </si>
  <si>
    <t>Replacement rate of adult females</t>
  </si>
  <si>
    <t>Weight at birth</t>
  </si>
  <si>
    <t>Feed Module</t>
  </si>
  <si>
    <t>By-products from cottonseed</t>
  </si>
  <si>
    <t>By-products from rape (canola)</t>
  </si>
  <si>
    <t>By-products from soy</t>
  </si>
  <si>
    <t>By-products from sugar beet</t>
  </si>
  <si>
    <t>Crop residues from maize</t>
  </si>
  <si>
    <t>Crop residues from millet</t>
  </si>
  <si>
    <t>Crop residues from other grains</t>
  </si>
  <si>
    <t>Crop residues from rice</t>
  </si>
  <si>
    <t>Crop residues from sorghum</t>
  </si>
  <si>
    <t>Crop residues from sugarcane</t>
  </si>
  <si>
    <t>Crop residues from wheat</t>
  </si>
  <si>
    <t>Dry by-product from grain industries</t>
  </si>
  <si>
    <t>Fodder beet</t>
  </si>
  <si>
    <t>Fresh grass</t>
  </si>
  <si>
    <t>Fresh mixture of grass and legumes</t>
  </si>
  <si>
    <t>Grains</t>
  </si>
  <si>
    <t>Hay from adjacent areas</t>
  </si>
  <si>
    <t>Hay or silage from alfalfa</t>
  </si>
  <si>
    <t>Hay or silage from cultivated grass</t>
  </si>
  <si>
    <t>Hay or silage from grass and legumes</t>
  </si>
  <si>
    <t>Leaves from natural vegetation</t>
  </si>
  <si>
    <t>Maize</t>
  </si>
  <si>
    <t>Maize gluten feed</t>
  </si>
  <si>
    <t>Maize gluten meal</t>
  </si>
  <si>
    <t>Molasses</t>
  </si>
  <si>
    <t>Oil palm kernel expeller</t>
  </si>
  <si>
    <t>Silage from whole grain plants.</t>
  </si>
  <si>
    <t>Silage from whole maize plant</t>
  </si>
  <si>
    <t>Wet by-product from grain industries</t>
  </si>
  <si>
    <t>Manure Module</t>
  </si>
  <si>
    <t>Anaerobic digester</t>
  </si>
  <si>
    <t>Burned for fuel</t>
  </si>
  <si>
    <t>Composting</t>
  </si>
  <si>
    <t>Daily spread</t>
  </si>
  <si>
    <t>Dry lot</t>
  </si>
  <si>
    <t>Liquid/Slurry</t>
  </si>
  <si>
    <t>Pasture/Range/Paddock</t>
  </si>
  <si>
    <t>Solid storage</t>
  </si>
  <si>
    <t>Uncovered anaerobic lagoon</t>
  </si>
  <si>
    <t>New data set based on Review meeting in January 2024</t>
  </si>
  <si>
    <t>Herd Module</t>
  </si>
  <si>
    <t>Indigenous</t>
  </si>
  <si>
    <t>Improved</t>
  </si>
  <si>
    <t>Highlands</t>
  </si>
  <si>
    <t>Humid &amp; Subhumid</t>
  </si>
  <si>
    <t>Semi-Arid</t>
  </si>
  <si>
    <t>Highlands - mixed system</t>
  </si>
  <si>
    <t>DaIMA</t>
  </si>
  <si>
    <t>Humid &amp; Subhumid - mixed</t>
  </si>
  <si>
    <t>Humid &amp; Subhumid - mixed system</t>
  </si>
  <si>
    <t>ITEM</t>
  </si>
  <si>
    <t>DESCRIPTION</t>
  </si>
  <si>
    <t>UNIT</t>
  </si>
  <si>
    <t>SOURCE/COMMENTS</t>
  </si>
  <si>
    <t>We don't need this as we skip the herd module</t>
  </si>
  <si>
    <t>AFM</t>
  </si>
  <si>
    <t>Number of milking cow</t>
  </si>
  <si>
    <t>head</t>
  </si>
  <si>
    <t>from the Tanzania National Sample Census of Agriculture 2019/20 Milked cows  (average value calculated from the season values (dry and wet)</t>
  </si>
  <si>
    <t>AFD</t>
  </si>
  <si>
    <t>Number of dry cow</t>
  </si>
  <si>
    <t>Cows ((live+died)-milked cows)</t>
  </si>
  <si>
    <t>AM</t>
  </si>
  <si>
    <t>Number adult male</t>
  </si>
  <si>
    <t>Males (Adult male+ oxen+live+died)</t>
  </si>
  <si>
    <t>RF</t>
  </si>
  <si>
    <t>Number replacement female</t>
  </si>
  <si>
    <t>Heifers (live+died)</t>
  </si>
  <si>
    <t>RM</t>
  </si>
  <si>
    <t>Number replacement male</t>
  </si>
  <si>
    <t>Growing males (live+died)</t>
  </si>
  <si>
    <t>MF</t>
  </si>
  <si>
    <t>Number surplus/meat female</t>
  </si>
  <si>
    <t>Sold (Cow+heifers+female calves)</t>
  </si>
  <si>
    <t>MM</t>
  </si>
  <si>
    <t>Number surplus/meat male</t>
  </si>
  <si>
    <t>Sold (Adult males+oxen+growing males+male calves)</t>
  </si>
  <si>
    <t>CF</t>
  </si>
  <si>
    <t>Number female calves</t>
  </si>
  <si>
    <t>Calves females (live+died)</t>
  </si>
  <si>
    <t>CM</t>
  </si>
  <si>
    <t>Number male calves</t>
  </si>
  <si>
    <t>Calves males (live+died)</t>
  </si>
  <si>
    <t>TDC</t>
  </si>
  <si>
    <t xml:space="preserve">Total dairy herd </t>
  </si>
  <si>
    <t>AFD+AFM+AM+RF+RM+MF+MM</t>
  </si>
  <si>
    <t>TDCwc</t>
  </si>
  <si>
    <t>Total dairy herd with calves</t>
  </si>
  <si>
    <t>AFD+AFM+AM+RF+RM+MF+MM+CF+CM</t>
  </si>
  <si>
    <t>BCR</t>
  </si>
  <si>
    <t>Bull to cow ratio</t>
  </si>
  <si>
    <t>fraction</t>
  </si>
  <si>
    <t>calculated</t>
  </si>
  <si>
    <t>x</t>
  </si>
  <si>
    <t>DCR</t>
  </si>
  <si>
    <t>Dairy to cow ratio (dairy cow to herd ratio)</t>
  </si>
  <si>
    <t>AFKG</t>
  </si>
  <si>
    <t>average live weight of adult female animals</t>
  </si>
  <si>
    <t>kg/head</t>
  </si>
  <si>
    <t>from CCAC Tanzania data</t>
  </si>
  <si>
    <t>AMKG</t>
  </si>
  <si>
    <t>average live weight of adult male animals</t>
  </si>
  <si>
    <t>CKG</t>
  </si>
  <si>
    <t>Live weight at birth</t>
  </si>
  <si>
    <t>MFSKG</t>
  </si>
  <si>
    <t>average slaughter weight of meat female animals</t>
  </si>
  <si>
    <t>MMSKG</t>
  </si>
  <si>
    <t>average slaughter weight of meat male animals</t>
  </si>
  <si>
    <t>AFC</t>
  </si>
  <si>
    <t>age at first calving</t>
  </si>
  <si>
    <t>years</t>
  </si>
  <si>
    <t>RRF</t>
  </si>
  <si>
    <t xml:space="preserve">replacement rate adult females </t>
  </si>
  <si>
    <t>calculated, values less than 0.05 have been set to 0.05</t>
  </si>
  <si>
    <t>FR</t>
  </si>
  <si>
    <t>fertility rate</t>
  </si>
  <si>
    <t>DR1</t>
  </si>
  <si>
    <t>death rate female calves</t>
  </si>
  <si>
    <t>DR1M</t>
  </si>
  <si>
    <t>death rate male calves</t>
  </si>
  <si>
    <t>DR2</t>
  </si>
  <si>
    <t>death rate adults</t>
  </si>
  <si>
    <t>MLK_PROTEIN</t>
  </si>
  <si>
    <t>average fraction of protein in milk</t>
  </si>
  <si>
    <t>from the FAO Livestock Activity Data Guidance</t>
  </si>
  <si>
    <t>MET_PROTEIN</t>
  </si>
  <si>
    <t>average fraction of protein in meat</t>
  </si>
  <si>
    <t>from GLEAM</t>
  </si>
  <si>
    <t>MLK_FAT</t>
  </si>
  <si>
    <t>fat content of milk</t>
  </si>
  <si>
    <t>HOUR</t>
  </si>
  <si>
    <t xml:space="preserve">number of hours of work per day </t>
  </si>
  <si>
    <t>hours/head/day</t>
  </si>
  <si>
    <t>OxProp</t>
  </si>
  <si>
    <t>Oxen proportion</t>
  </si>
  <si>
    <t>from the Tanzania National Sample Census of Agriculture 2019/20</t>
  </si>
  <si>
    <t>FRRF</t>
  </si>
  <si>
    <t>rate of fertile replacement females</t>
  </si>
  <si>
    <t>LCIDE</t>
  </si>
  <si>
    <t>average digestibility of ration for feeding DE %</t>
  </si>
  <si>
    <t>from CCAC Tanzania data, for dry and wet season</t>
  </si>
  <si>
    <t>LCIN</t>
  </si>
  <si>
    <t>average nitrogen content of ration  kg N/kg DM diet</t>
  </si>
  <si>
    <t>LCIGE</t>
  </si>
  <si>
    <t>average gross energy content of ration MJ/kgDM</t>
  </si>
  <si>
    <t>MMSburned</t>
  </si>
  <si>
    <t>Manure management system</t>
  </si>
  <si>
    <t>MMSsolid</t>
  </si>
  <si>
    <t>MMSdrylot</t>
  </si>
  <si>
    <t>MMSpasture</t>
  </si>
  <si>
    <t>MLK_YIELD</t>
  </si>
  <si>
    <t>daily milk production</t>
  </si>
  <si>
    <t>kg milk/cow/day</t>
  </si>
  <si>
    <t>from the Tanzania National Sample Census of Agriculture 2019/20 (average value calculated from the season values (dry and wet)</t>
  </si>
  <si>
    <t>LACT</t>
  </si>
  <si>
    <t>lactation period</t>
  </si>
  <si>
    <t>days</t>
  </si>
  <si>
    <t>LW_AF</t>
  </si>
  <si>
    <t>average live weight of adult female</t>
  </si>
  <si>
    <t>LW_AM</t>
  </si>
  <si>
    <t>average live weight of the adult male</t>
  </si>
  <si>
    <t>LW_RF</t>
  </si>
  <si>
    <t>average live weight of the replacement female</t>
  </si>
  <si>
    <t>Calculated (FAO Livestock Activity Data Guidance)</t>
  </si>
  <si>
    <t>LW_RM</t>
  </si>
  <si>
    <t>average live weight of the replacement male</t>
  </si>
  <si>
    <t>LW_MF</t>
  </si>
  <si>
    <t>average live weight of the surplus/meat female</t>
  </si>
  <si>
    <t>LW_MM</t>
  </si>
  <si>
    <t>average live weight of the surplus/meat male</t>
  </si>
  <si>
    <t>DWG_AF</t>
  </si>
  <si>
    <t>average daily growth rate for adult females</t>
  </si>
  <si>
    <t>kg/head/day</t>
  </si>
  <si>
    <t>Calculated by dividing the difference between the live weight of adult females and the live weight of calves by the product of the age at first calving and 365.</t>
  </si>
  <si>
    <t>DWG_AM</t>
  </si>
  <si>
    <t>average daily growth rate adult males</t>
  </si>
  <si>
    <t>Calculated by dividing the difference between the live weight of adult males and the live weight of calves by the product of the age at first calving and 365.</t>
  </si>
  <si>
    <t>DWG_RF</t>
  </si>
  <si>
    <t>average daily growth rate for replacement females</t>
  </si>
  <si>
    <t>DWG_RM</t>
  </si>
  <si>
    <t>average daily growth rate for replacement males</t>
  </si>
  <si>
    <t>DWG_MF</t>
  </si>
  <si>
    <t>average daily growth rate for meat females</t>
  </si>
  <si>
    <t>DWG_MM</t>
  </si>
  <si>
    <t>average daily growth rate for meat males</t>
  </si>
  <si>
    <t>Milked cows</t>
  </si>
  <si>
    <t>from Census</t>
  </si>
  <si>
    <t>from the Tanzania National Sample Census of Agriculture 2019/21</t>
  </si>
  <si>
    <t>Calculated</t>
  </si>
  <si>
    <t>RegionID</t>
  </si>
  <si>
    <t>Region</t>
  </si>
  <si>
    <t xml:space="preserve"> Geographical characteristics</t>
  </si>
  <si>
    <t>Live</t>
  </si>
  <si>
    <t>Sold</t>
  </si>
  <si>
    <t>Died</t>
  </si>
  <si>
    <t>Born</t>
  </si>
  <si>
    <t>Milk production</t>
  </si>
  <si>
    <t>TDC with calves</t>
  </si>
  <si>
    <t>Number adult female</t>
  </si>
  <si>
    <t>Dairy to cow ratio</t>
  </si>
  <si>
    <t>average digestibility of ration for feeding</t>
  </si>
  <si>
    <t xml:space="preserve">average nitrogen content of ration </t>
  </si>
  <si>
    <t>average gross energy content of ration</t>
  </si>
  <si>
    <t>lactaction period</t>
  </si>
  <si>
    <t>milk prod</t>
  </si>
  <si>
    <t>AEZ</t>
  </si>
  <si>
    <t>Oxen</t>
  </si>
  <si>
    <t>Adult males</t>
  </si>
  <si>
    <t>Cows</t>
  </si>
  <si>
    <t>Growing males</t>
  </si>
  <si>
    <t>Heifers</t>
  </si>
  <si>
    <t>Male Calves</t>
  </si>
  <si>
    <t>Female Calves</t>
  </si>
  <si>
    <t>Total</t>
  </si>
  <si>
    <t>Milked cow</t>
  </si>
  <si>
    <t>milk yield</t>
  </si>
  <si>
    <t>AF</t>
  </si>
  <si>
    <t>LCIDE (Dry season)</t>
  </si>
  <si>
    <t>LCIDE (Wet season)</t>
  </si>
  <si>
    <t>LCIN (Dry season)</t>
  </si>
  <si>
    <t>LCIN (Wet season)</t>
  </si>
  <si>
    <t>lact</t>
  </si>
  <si>
    <t>National</t>
  </si>
  <si>
    <t>Arusha</t>
  </si>
  <si>
    <t>Dar es salaam</t>
  </si>
  <si>
    <t>Dodoma</t>
  </si>
  <si>
    <t>Geita</t>
  </si>
  <si>
    <t>Iringa</t>
  </si>
  <si>
    <t>Kagera</t>
  </si>
  <si>
    <t>Kaskazini Pemba</t>
  </si>
  <si>
    <t>Kaskazini Unguja</t>
  </si>
  <si>
    <t>Katavi</t>
  </si>
  <si>
    <t>Kigoma</t>
  </si>
  <si>
    <t>Kilimanjaro</t>
  </si>
  <si>
    <t>Kusini Pemba</t>
  </si>
  <si>
    <t>Kusini Unguja</t>
  </si>
  <si>
    <t>Lindi</t>
  </si>
  <si>
    <t>Manyara</t>
  </si>
  <si>
    <t>Mara</t>
  </si>
  <si>
    <t>Mbeya</t>
  </si>
  <si>
    <t>Mjini Magharibi</t>
  </si>
  <si>
    <t>Morogoro</t>
  </si>
  <si>
    <t>Mtwara</t>
  </si>
  <si>
    <t>Mwanza</t>
  </si>
  <si>
    <t>Njombe</t>
  </si>
  <si>
    <t>Pwani</t>
  </si>
  <si>
    <t>Rukwa</t>
  </si>
  <si>
    <t>Ruvuma</t>
  </si>
  <si>
    <t>Shinyanga</t>
  </si>
  <si>
    <t>Simiyu</t>
  </si>
  <si>
    <t>Singida</t>
  </si>
  <si>
    <t>Songwe</t>
  </si>
  <si>
    <t>Tabora</t>
  </si>
  <si>
    <t>Tanga</t>
  </si>
  <si>
    <t>From the Tanzania National Sample Census of Agriculture 2019/20 the avg number of Milked cows (between dry and wet) is higher that the total improved herd. So the assumption was made by considering that the number of milked cows equals 45% of the total cow herd (see FAO Livestock Guidance, page 87). Considering 365 as the lactation period.</t>
  </si>
  <si>
    <t>Cows (live+died)</t>
  </si>
  <si>
    <t>Calculated.</t>
  </si>
  <si>
    <t>calculated, values less than 0.1 have been set to 0.1</t>
  </si>
  <si>
    <t>calculated, mean value between dry/wet season from census</t>
  </si>
  <si>
    <t>assumption</t>
  </si>
  <si>
    <t xml:space="preserve"> the assumption was made by considering that the number of milked cows equals 45% of the total cow herd (see FAO Livestock Guidance, page 87). Considering 365 as the lactation period.</t>
  </si>
  <si>
    <t>mean value between dry/wet season from census</t>
  </si>
  <si>
    <t>Milking+dry</t>
  </si>
  <si>
    <t>Cows*0.45</t>
  </si>
  <si>
    <t>Calculated. We don't need this as we skip the herd module</t>
  </si>
  <si>
    <t>Region_ID</t>
  </si>
  <si>
    <t>Lactation period</t>
  </si>
  <si>
    <t>Number of total cows</t>
  </si>
  <si>
    <t>replacement rate adult females</t>
  </si>
  <si>
    <t>average digestibility of ration for feeding (DE%)</t>
  </si>
  <si>
    <t>Milked cattle</t>
  </si>
  <si>
    <t>National (average)</t>
  </si>
  <si>
    <t>Indigenous dairy</t>
  </si>
  <si>
    <t>Improved dairy</t>
  </si>
  <si>
    <t>Cow</t>
  </si>
  <si>
    <t>Dry</t>
  </si>
  <si>
    <t>Milk yield (kg*cow*day)</t>
  </si>
  <si>
    <t>Lactaction days</t>
  </si>
  <si>
    <t>Total milk produced</t>
  </si>
  <si>
    <t>fid</t>
  </si>
  <si>
    <t>FAO_CODE</t>
  </si>
  <si>
    <t>COUNTRY</t>
  </si>
  <si>
    <t>ISO3</t>
  </si>
  <si>
    <t>GAUL_CODE</t>
  </si>
  <si>
    <t>CONTINENT</t>
  </si>
  <si>
    <t>REGION</t>
  </si>
  <si>
    <t>REG_ANNEX5</t>
  </si>
  <si>
    <t>CTRY_LEV1</t>
  </si>
  <si>
    <t>NOTE</t>
  </si>
  <si>
    <t>DRESS_AF</t>
  </si>
  <si>
    <t>DRESS_AM</t>
  </si>
  <si>
    <t>DRESS_MF</t>
  </si>
  <si>
    <t>DRESS_MM</t>
  </si>
  <si>
    <t>DRESS_RF</t>
  </si>
  <si>
    <t>DRESS_RM</t>
  </si>
  <si>
    <t>United Republic of Tanzania</t>
  </si>
  <si>
    <t>TZA</t>
  </si>
  <si>
    <t>Africa</t>
  </si>
  <si>
    <t>Eastern Africa</t>
  </si>
  <si>
    <t>Sub-Saharan Africa</t>
  </si>
  <si>
    <t>MIX_arid</t>
  </si>
  <si>
    <t>MIX_temp</t>
  </si>
  <si>
    <t>MIX_humid</t>
  </si>
  <si>
    <t>GRASS_arid</t>
  </si>
  <si>
    <t>GRASS_temp</t>
  </si>
  <si>
    <t>GRASS_humid</t>
  </si>
  <si>
    <t>total</t>
  </si>
  <si>
    <t>Population engaged in dairy production</t>
  </si>
  <si>
    <t>Total milk production</t>
  </si>
  <si>
    <t>Animal Numbers -Indigenous</t>
  </si>
  <si>
    <t>Animal Numbers -Improved</t>
  </si>
  <si>
    <t>Total Cattle population</t>
  </si>
  <si>
    <t xml:space="preserve">HH keeping livestock </t>
  </si>
  <si>
    <t>Proposed Number of HH for DaIMA Project</t>
  </si>
  <si>
    <t>Cattle onership per household</t>
  </si>
  <si>
    <t>Number of cattle - DaIMA</t>
  </si>
  <si>
    <t>HH keeping Indigenous Cattle</t>
  </si>
  <si>
    <t>HH keeping Improved cattle</t>
  </si>
  <si>
    <t>Production systems</t>
  </si>
  <si>
    <t>Cattle</t>
  </si>
  <si>
    <t>Households</t>
  </si>
  <si>
    <t>Cattle in smallholder livestock farms</t>
  </si>
  <si>
    <t>HH targeted by DaIMA</t>
  </si>
  <si>
    <t>Cattle in large scale farms</t>
  </si>
  <si>
    <t>Pemba North</t>
  </si>
  <si>
    <t>Cattle population trends</t>
  </si>
  <si>
    <t>Pemba South</t>
  </si>
  <si>
    <t>Unguja North</t>
  </si>
  <si>
    <t>Unguja South</t>
  </si>
  <si>
    <t>Total Cattle</t>
  </si>
  <si>
    <t>Total HH Number</t>
  </si>
  <si>
    <t>Milk Increase by 2018/2019</t>
  </si>
  <si>
    <t>75% of the total HH number calculated</t>
  </si>
  <si>
    <t>Adult Females</t>
  </si>
  <si>
    <t>Adult Males</t>
  </si>
  <si>
    <t>Number of Livestock keeping HHs</t>
  </si>
  <si>
    <t>parameter</t>
  </si>
  <si>
    <t>unit</t>
  </si>
  <si>
    <t>Number of animals (Non feedlot meat females)</t>
  </si>
  <si>
    <t>Number of animals (Non feedlot meat males)</t>
  </si>
  <si>
    <t>Number of animals (Replacement Females)</t>
  </si>
  <si>
    <t>Number of animals (Replacement Males)</t>
  </si>
  <si>
    <t>Number of heads</t>
  </si>
  <si>
    <t>Number of new female calves</t>
  </si>
  <si>
    <t>Number of new male calves</t>
  </si>
  <si>
    <t>Total cohort feed intake (Non feedlot meat females)</t>
  </si>
  <si>
    <t>kg/year</t>
  </si>
  <si>
    <t>Total cohort feed intake (Non feedlot meat males)</t>
  </si>
  <si>
    <t>Total feed intake</t>
  </si>
  <si>
    <t>kgDM/year</t>
  </si>
  <si>
    <t>Rapport poids AF/Sub adulte femelle</t>
  </si>
  <si>
    <t>Dry by product from grain industries</t>
  </si>
  <si>
    <t>Dry by product grain industries sub adulte femelle</t>
  </si>
  <si>
    <t>kg/day</t>
  </si>
  <si>
    <t>Dry by product grain industries sub adulte male</t>
  </si>
  <si>
    <t>Dry by product grain indistries sub-adult Total</t>
  </si>
  <si>
    <t>Dry by product grain indistries sub-adult per animal</t>
  </si>
  <si>
    <t>kgDM/day/animal</t>
  </si>
  <si>
    <t>kg/day/animal</t>
  </si>
  <si>
    <t>Total cohort feed intake (Non feedlot meat females)/animal</t>
  </si>
  <si>
    <t>kg/year/animal</t>
  </si>
  <si>
    <t>Total cohort feed intake (Non feedlot meat males)/animal</t>
  </si>
  <si>
    <t>Feed intake AF</t>
  </si>
  <si>
    <t>kgDM/animal/year</t>
  </si>
  <si>
    <t>kgDM/animal/day</t>
  </si>
  <si>
    <t>Dry by product grain industries AF par animal</t>
  </si>
  <si>
    <t>Dry by product grain industries AF Total</t>
  </si>
  <si>
    <t>kgDM/day</t>
  </si>
  <si>
    <t>LW herd</t>
  </si>
  <si>
    <t xml:space="preserve">Average Feed intake % per LW </t>
  </si>
  <si>
    <t>Pasture and Rangelands</t>
  </si>
  <si>
    <t>% of diet</t>
  </si>
  <si>
    <t>Improved legume forage in diet AF and SA</t>
  </si>
  <si>
    <t>DM in AF diet</t>
  </si>
  <si>
    <t>tDM/cohort/year</t>
  </si>
  <si>
    <t>DM in SA diet</t>
  </si>
  <si>
    <t>Total DM required from improved rangeland and pasture</t>
  </si>
  <si>
    <t>tDM/year</t>
  </si>
  <si>
    <t>Natural pasture (Mwangi, 2015)</t>
  </si>
  <si>
    <t xml:space="preserve">tDM/ha </t>
  </si>
  <si>
    <t>Improved pasture (grazing management, irrigation, legumes reseeding, fertilization) (Macharia et al., 2010)</t>
  </si>
  <si>
    <t>Area required for rehabilitation</t>
  </si>
  <si>
    <t xml:space="preserve">Ha </t>
  </si>
  <si>
    <t>Area required for rehabilitation in WP Tanzania</t>
  </si>
  <si>
    <t>Ha</t>
  </si>
  <si>
    <t>head/HH</t>
  </si>
  <si>
    <t>Animal number</t>
  </si>
  <si>
    <t>Small-scale commercial system -cross breed (B1OM)</t>
  </si>
  <si>
    <t>Traditional system - local breed (B1LG local)</t>
  </si>
  <si>
    <t>Traditional system - cross breed (B1LG cross)</t>
  </si>
  <si>
    <t>LSIPT models</t>
  </si>
  <si>
    <t>Annual growth</t>
  </si>
  <si>
    <t>Baeseline 2024</t>
  </si>
  <si>
    <t>WOP</t>
  </si>
  <si>
    <t>WP</t>
  </si>
  <si>
    <t>Specie</t>
  </si>
  <si>
    <t>module</t>
  </si>
  <si>
    <t>system</t>
  </si>
  <si>
    <t>orientation</t>
  </si>
  <si>
    <t>feedgroup</t>
  </si>
  <si>
    <t>IndigenousHighlandsWOP</t>
  </si>
  <si>
    <t>IndigenousHighlandsDaIMA</t>
  </si>
  <si>
    <t>delta</t>
  </si>
  <si>
    <t>IndigenousHSHumidWOP</t>
  </si>
  <si>
    <t>IndigenousHSHumidDaIMA</t>
  </si>
  <si>
    <t>ImprovedHighlandsWOP</t>
  </si>
  <si>
    <t>ImprovedHighlandsDaIMA</t>
  </si>
  <si>
    <t>ImprovedHSHumidWOP</t>
  </si>
  <si>
    <t>ImprovedHSHumidDaIMA</t>
  </si>
  <si>
    <t>All</t>
  </si>
  <si>
    <t>CH4: enteric fermentation</t>
  </si>
  <si>
    <t>kgCH4/year</t>
  </si>
  <si>
    <t>CH4: Manure - CH4 from manure management</t>
  </si>
  <si>
    <t>Emissions by head</t>
  </si>
  <si>
    <t>kgCO2-eq</t>
  </si>
  <si>
    <t>Energy - CO2 direct energy use</t>
  </si>
  <si>
    <t>kgCO2/year</t>
  </si>
  <si>
    <t>Energy - CO2 indirect energy use</t>
  </si>
  <si>
    <t>Feed: CO2 feed production</t>
  </si>
  <si>
    <t>Feed: CO2 LUC palm kernel cake</t>
  </si>
  <si>
    <t>Feed: CO2 LUC soy</t>
  </si>
  <si>
    <t>FEED: N2O from fertilizer and  crop residues</t>
  </si>
  <si>
    <t>kgN2O/year</t>
  </si>
  <si>
    <t>Feed: N2O from manure applied and deposited</t>
  </si>
  <si>
    <t>Meat emission intensity</t>
  </si>
  <si>
    <t>kgCO2-eq/kgProt</t>
  </si>
  <si>
    <t>N2O from feed production</t>
  </si>
  <si>
    <t>N2O from manure management</t>
  </si>
  <si>
    <t>Total CH4</t>
  </si>
  <si>
    <t>Total CO2</t>
  </si>
  <si>
    <t>Total GHG emissions</t>
  </si>
  <si>
    <t>kgCO2-eq/year</t>
  </si>
  <si>
    <t>Total N2O</t>
  </si>
  <si>
    <t>Mixed</t>
  </si>
  <si>
    <t>Dairy</t>
  </si>
  <si>
    <t>Emissions linked to direct energy use</t>
  </si>
  <si>
    <t>Feedlot total GHG emissions</t>
  </si>
  <si>
    <t>GHG emissions linked to meat production</t>
  </si>
  <si>
    <t>GHG emissions linked to milk production</t>
  </si>
  <si>
    <t>Meat production in carcass weight for a given cohort (Meat females feedlot)</t>
  </si>
  <si>
    <t>Meat production in carcass weight for a given cohort (Meat males feedlot)</t>
  </si>
  <si>
    <t>Meat production in carcass weight for a given cohort (Non feedlot meat females)</t>
  </si>
  <si>
    <t>Meat production in carcass weight for a given cohort (Non feedlot meat males)</t>
  </si>
  <si>
    <t>Milk emission intensity</t>
  </si>
  <si>
    <t>Milk production (Adult Females)</t>
  </si>
  <si>
    <t>Number of animals (Meat females feedlot)</t>
  </si>
  <si>
    <t>Number of animals (Meat males feedlot)</t>
  </si>
  <si>
    <t>System meat production in carcass weight</t>
  </si>
  <si>
    <t>Total cohort feed intake (Meat females feedlot)</t>
  </si>
  <si>
    <t>Total cohort feed intake (Meat males feedlot)</t>
  </si>
  <si>
    <t>Total GHG emissions (Adult Females)</t>
  </si>
  <si>
    <t>Total GHG emissions (Adult Males)</t>
  </si>
  <si>
    <t>Total GHG emissions (Meat females feedlot)</t>
  </si>
  <si>
    <t>Total GHG emissions (Meat males feedlot)</t>
  </si>
  <si>
    <t>Total GHG emissions (Non feedlot meat females)</t>
  </si>
  <si>
    <t>Total GHG emissions (Non feedlot meat males)</t>
  </si>
  <si>
    <t>Total GHG emissions (Replacement Females)</t>
  </si>
  <si>
    <t>Total GHG emissions (Replacement Males)</t>
  </si>
  <si>
    <t>Selection</t>
  </si>
  <si>
    <t>Feedlot</t>
  </si>
  <si>
    <t>Meat production in kg protein</t>
  </si>
  <si>
    <t>Indigenous Highlands</t>
  </si>
  <si>
    <t>Indigenous Humid-SubHumid</t>
  </si>
  <si>
    <t>Improved Highlands</t>
  </si>
  <si>
    <t>Improved Humid-SubHumid</t>
  </si>
  <si>
    <t>All Tanzania</t>
  </si>
  <si>
    <t>With DaIMA</t>
  </si>
  <si>
    <t>Total emissions (t CO2eq/year)</t>
  </si>
  <si>
    <t>Total emissions (Tons CO2-eq)</t>
  </si>
  <si>
    <t>tCO2eq/year</t>
  </si>
  <si>
    <t>% change</t>
  </si>
  <si>
    <t>Year 0 (baseline</t>
  </si>
  <si>
    <t>Year 25 WP</t>
  </si>
  <si>
    <t>Year 25 WOP</t>
  </si>
  <si>
    <t>Cumulative difference WP-WOP (20 year)</t>
  </si>
  <si>
    <t>Diference WP-WOP per year</t>
  </si>
  <si>
    <t>Total production in protein</t>
  </si>
  <si>
    <t>t protein/year</t>
  </si>
  <si>
    <t>Emissions intensity meat</t>
  </si>
  <si>
    <t>kg CO2eq/kg protein</t>
  </si>
  <si>
    <t>Emissions intensity milk</t>
  </si>
  <si>
    <t>Feed intake</t>
  </si>
  <si>
    <t>t DM/year</t>
  </si>
  <si>
    <t>Herd size</t>
  </si>
  <si>
    <t>heads</t>
  </si>
  <si>
    <t>kg CO2eq/kg milk</t>
  </si>
  <si>
    <t>Enteric Methane EF</t>
  </si>
  <si>
    <t>kg CH4/head/year</t>
  </si>
  <si>
    <t>Breakdown of emissions (GWP 27 for CH4 and 273 for N2O)</t>
  </si>
  <si>
    <t>Emissions intensity milk (kg CO2eq/kg milk)</t>
  </si>
  <si>
    <t xml:space="preserve">tCO2 equivalance </t>
  </si>
  <si>
    <t>Total milk production (t milk/year)</t>
  </si>
  <si>
    <t>CH4 from enteric fermentation</t>
  </si>
  <si>
    <t>CH4 from manure management</t>
  </si>
  <si>
    <t>CO2 from energy use</t>
  </si>
  <si>
    <t xml:space="preserve">CO2 and nitrous oxide from feed </t>
  </si>
  <si>
    <t>Total feed intake (t DM/year)</t>
  </si>
  <si>
    <t>B1OMBaseline</t>
  </si>
  <si>
    <t>B1OMWOP</t>
  </si>
  <si>
    <t>B1OMWP</t>
  </si>
  <si>
    <t>B1LGlocalBaseline</t>
  </si>
  <si>
    <t>B1LGlocalWoP</t>
  </si>
  <si>
    <t>B1LGlocalWP</t>
  </si>
  <si>
    <t>B1LGcrossBaseline</t>
  </si>
  <si>
    <t>B1LGcrossWoP</t>
  </si>
  <si>
    <t>B1LGcrossWP</t>
  </si>
  <si>
    <t>IndigenousHighlandsBaseline</t>
  </si>
  <si>
    <t>IndigenousHSHumidBaseline</t>
  </si>
  <si>
    <t>ImprovedHighlandsBaseline</t>
  </si>
  <si>
    <t>ImprovedHSHumidBaseline</t>
  </si>
  <si>
    <t>Dry matter intake per day</t>
  </si>
  <si>
    <t>Total feed intake - Grass</t>
  </si>
  <si>
    <t>Biomass Yield in Rangelands</t>
  </si>
  <si>
    <t>t DM/Ha</t>
  </si>
  <si>
    <t>Proposed rangeland area of rehabilitation</t>
  </si>
  <si>
    <t>TanzaniaBASE</t>
  </si>
  <si>
    <t>TanzaniaWOP</t>
  </si>
  <si>
    <t>TanzaniaDaIMA</t>
  </si>
  <si>
    <t>B1LG_local</t>
  </si>
  <si>
    <t>B1LG_cross</t>
  </si>
  <si>
    <t>Delta</t>
  </si>
  <si>
    <t>Baseline</t>
  </si>
  <si>
    <t>WithDaIMA_20</t>
  </si>
  <si>
    <t>Year 20 WP</t>
  </si>
  <si>
    <t>Year 20 WOP</t>
  </si>
  <si>
    <t>Year 0</t>
  </si>
  <si>
    <t>Year 1</t>
  </si>
  <si>
    <t>Year 2</t>
  </si>
  <si>
    <t>Total Protein EI</t>
  </si>
  <si>
    <t>Year 3</t>
  </si>
  <si>
    <t>Milk EI</t>
  </si>
  <si>
    <t>Year 4</t>
  </si>
  <si>
    <t>Year 5</t>
  </si>
  <si>
    <t>Year 6</t>
  </si>
  <si>
    <t>Year 7</t>
  </si>
  <si>
    <t>Year 8</t>
  </si>
  <si>
    <t>Year 9</t>
  </si>
  <si>
    <t>Year 10</t>
  </si>
  <si>
    <t>Year 11</t>
  </si>
  <si>
    <t>Year 12</t>
  </si>
  <si>
    <t>Year 13</t>
  </si>
  <si>
    <t>Year 14</t>
  </si>
  <si>
    <t>Year 15</t>
  </si>
  <si>
    <t>Year 16</t>
  </si>
  <si>
    <t>Year 17</t>
  </si>
  <si>
    <t>Year 18</t>
  </si>
  <si>
    <t>Year 19</t>
  </si>
  <si>
    <t>Year 20</t>
  </si>
  <si>
    <t>Milk yield</t>
  </si>
  <si>
    <t>CO2 from feed production</t>
  </si>
  <si>
    <t>Tanzania</t>
  </si>
  <si>
    <t>Livestock models</t>
  </si>
  <si>
    <t>Small-scale commercial system</t>
  </si>
  <si>
    <t>HHs</t>
  </si>
  <si>
    <t>Unit biogas</t>
  </si>
  <si>
    <t>Traditional system</t>
  </si>
  <si>
    <t>Traditional system local breed</t>
  </si>
  <si>
    <t>Traditional system cross breed</t>
  </si>
  <si>
    <t>TOTAL number fof HHs targeted by DAIMA</t>
  </si>
  <si>
    <t>T</t>
  </si>
  <si>
    <t xml:space="preserve">Small-scale commercial - crossbreed </t>
  </si>
  <si>
    <t>Traditional local breed</t>
  </si>
  <si>
    <t>Traditional cross breed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</si>
</sst>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_(* \(#,##0.00\);_(* &quot;-&quot;??_);_(@_)"/>
    <numFmt numFmtId="164" formatCode="_-* #,##0.00_-;\-* #,##0.00_-;_-* &quot;-&quot;??_-;_-@_-"/>
    <numFmt numFmtId="165" formatCode="_(* #,##0_);_(* \(#,##0\);_(* &quot;-&quot;??_);_(@_)"/>
    <numFmt numFmtId="166" formatCode="0.0"/>
    <numFmt numFmtId="167" formatCode="_(* #,##0.000_);_(* \(#,##0.000\);_(* &quot;-&quot;??_);_(@_)"/>
    <numFmt numFmtId="168" formatCode="0.000"/>
    <numFmt numFmtId="169" formatCode="#,##0.000"/>
    <numFmt numFmtId="170" formatCode="0.0000"/>
    <numFmt numFmtId="171" formatCode="#,##0.0"/>
    <numFmt numFmtId="172" formatCode="0.0%"/>
    <numFmt numFmtId="173" formatCode="_-* #,##0.000_-;\-* #,##0.000_-;_-* &quot;-&quot;??_-;_-@_-"/>
    <numFmt numFmtId="174" formatCode="_(* #,##0.0_);_(* \(#,##0.0\);_(* &quot;-&quot;??_);_(@_)"/>
    <numFmt numFmtId="175" formatCode="_-* #,##0_-;\-* #,##0_-;_-* &quot;-&quot;??_-;_-@_-"/>
    <numFmt numFmtId="176" formatCode="0.0000%"/>
    <numFmt numFmtId="177" formatCode="0.000%"/>
  </numFmts>
  <fonts count="2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16"/>
      <color theme="1"/>
      <name val="Calibri"/>
      <family val="2"/>
      <scheme val="minor"/>
    </font>
    <font>
      <sz val="11"/>
      <color theme="4"/>
      <name val="Calibri"/>
      <family val="2"/>
      <scheme val="minor"/>
    </font>
    <font>
      <sz val="11"/>
      <color theme="8"/>
      <name val="Calibri"/>
      <family val="2"/>
      <scheme val="minor"/>
    </font>
    <font>
      <b/>
      <sz val="9"/>
      <color rgb="FFFF0000"/>
      <name val="Calibri"/>
      <family val="2"/>
      <scheme val="minor"/>
    </font>
    <font>
      <sz val="11"/>
      <color rgb="FFFF0000"/>
      <name val="Calibri"/>
      <family val="2"/>
      <scheme val="minor"/>
    </font>
    <font>
      <sz val="12"/>
      <color theme="1"/>
      <name val="Calibri"/>
      <family val="2"/>
      <scheme val="minor"/>
    </font>
    <font>
      <b/>
      <sz val="9"/>
      <name val="Calibri"/>
      <family val="2"/>
      <scheme val="minor"/>
    </font>
    <font>
      <b/>
      <sz val="9"/>
      <color theme="1"/>
      <name val="Calibri"/>
      <family val="2"/>
      <scheme val="minor"/>
    </font>
    <font>
      <sz val="11"/>
      <name val="Calibri"/>
      <family val="2"/>
      <scheme val="minor"/>
    </font>
    <font>
      <b/>
      <sz val="20"/>
      <color rgb="FFFF0000"/>
      <name val="Calibri"/>
      <family val="2"/>
      <scheme val="minor"/>
    </font>
    <font>
      <b/>
      <sz val="11"/>
      <name val="Calibri"/>
      <family val="2"/>
      <scheme val="minor"/>
    </font>
    <font>
      <sz val="9"/>
      <color indexed="81"/>
      <name val="Tahoma"/>
      <family val="2"/>
    </font>
    <font>
      <b/>
      <sz val="9"/>
      <color indexed="81"/>
      <name val="Tahoma"/>
      <family val="2"/>
    </font>
    <font>
      <b/>
      <sz val="11"/>
      <color rgb="FFFF0000"/>
      <name val="Calibri"/>
      <family val="2"/>
      <scheme val="minor"/>
    </font>
    <font>
      <sz val="11"/>
      <color rgb="FF000000"/>
      <name val="Times New Roman"/>
      <family val="1"/>
    </font>
    <font>
      <u/>
      <sz val="11"/>
      <color theme="10"/>
      <name val="Calibri"/>
      <family val="2"/>
      <scheme val="minor"/>
    </font>
    <font>
      <sz val="8"/>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C000"/>
        <bgColor indexed="64"/>
      </patternFill>
    </fill>
    <fill>
      <patternFill patternType="solid">
        <fgColor theme="5" tint="0.59999389629810485"/>
        <bgColor indexed="64"/>
      </patternFill>
    </fill>
    <fill>
      <patternFill patternType="solid">
        <fgColor theme="7"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s>
  <cellStyleXfs count="5">
    <xf numFmtId="0" fontId="0" fillId="0" borderId="0"/>
    <xf numFmtId="43" fontId="1" fillId="0" borderId="0" applyFont="0" applyFill="0" applyBorder="0" applyAlignment="0" applyProtection="0"/>
    <xf numFmtId="0" fontId="9" fillId="0" borderId="0"/>
    <xf numFmtId="9" fontId="1" fillId="0" borderId="0" applyFont="0" applyFill="0" applyBorder="0" applyAlignment="0" applyProtection="0"/>
    <xf numFmtId="0" fontId="19" fillId="0" borderId="0" applyNumberFormat="0" applyFill="0" applyBorder="0" applyAlignment="0" applyProtection="0"/>
  </cellStyleXfs>
  <cellXfs count="269">
    <xf numFmtId="0" fontId="0" fillId="0" borderId="0" xfId="0"/>
    <xf numFmtId="0" fontId="0" fillId="0" borderId="0" xfId="0" applyAlignment="1">
      <alignment horizontal="center"/>
    </xf>
    <xf numFmtId="3" fontId="0" fillId="0" borderId="0" xfId="0" applyNumberFormat="1"/>
    <xf numFmtId="0" fontId="0" fillId="0" borderId="1" xfId="0" applyBorder="1"/>
    <xf numFmtId="0" fontId="2" fillId="0" borderId="0" xfId="0" applyFont="1"/>
    <xf numFmtId="0" fontId="0" fillId="0" borderId="0" xfId="0" applyAlignment="1">
      <alignment horizontal="left"/>
    </xf>
    <xf numFmtId="3" fontId="0" fillId="0" borderId="0" xfId="0" applyNumberFormat="1" applyAlignment="1">
      <alignment horizontal="center"/>
    </xf>
    <xf numFmtId="0" fontId="2" fillId="0" borderId="0" xfId="0" applyFont="1" applyAlignment="1">
      <alignment vertical="center"/>
    </xf>
    <xf numFmtId="165" fontId="1" fillId="0" borderId="1" xfId="1" applyNumberFormat="1" applyFont="1" applyBorder="1" applyAlignment="1">
      <alignment horizontal="center"/>
    </xf>
    <xf numFmtId="0" fontId="2" fillId="0" borderId="0" xfId="0" applyFont="1" applyAlignment="1">
      <alignment horizontal="left"/>
    </xf>
    <xf numFmtId="0" fontId="5" fillId="0" borderId="0" xfId="0" applyFont="1"/>
    <xf numFmtId="0" fontId="2" fillId="0" borderId="1" xfId="0" applyFont="1" applyBorder="1" applyAlignment="1">
      <alignment vertical="center"/>
    </xf>
    <xf numFmtId="0" fontId="6" fillId="0" borderId="0" xfId="0" applyFont="1"/>
    <xf numFmtId="0" fontId="6" fillId="0" borderId="0" xfId="0" applyFont="1" applyAlignment="1">
      <alignment horizontal="center"/>
    </xf>
    <xf numFmtId="0" fontId="7" fillId="0" borderId="2" xfId="0" applyFont="1" applyBorder="1" applyAlignment="1">
      <alignment horizontal="center" vertical="center" wrapText="1"/>
    </xf>
    <xf numFmtId="0" fontId="0" fillId="0" borderId="4" xfId="0" applyBorder="1" applyAlignment="1">
      <alignment vertical="center" wrapText="1"/>
    </xf>
    <xf numFmtId="0" fontId="4" fillId="0" borderId="0" xfId="2" applyFont="1" applyAlignment="1">
      <alignment vertical="center"/>
    </xf>
    <xf numFmtId="165" fontId="1" fillId="0" borderId="1" xfId="1" applyNumberFormat="1" applyFont="1" applyBorder="1" applyAlignment="1">
      <alignment horizontal="center" vertical="center"/>
    </xf>
    <xf numFmtId="3" fontId="0" fillId="0" borderId="1" xfId="0" applyNumberFormat="1" applyBorder="1" applyAlignment="1">
      <alignment horizontal="center"/>
    </xf>
    <xf numFmtId="0" fontId="0" fillId="0" borderId="1" xfId="0" applyBorder="1" applyAlignment="1">
      <alignment horizontal="center"/>
    </xf>
    <xf numFmtId="0" fontId="0" fillId="0" borderId="0" xfId="0" applyAlignment="1">
      <alignment horizontal="center" vertical="center"/>
    </xf>
    <xf numFmtId="167" fontId="0" fillId="0" borderId="1" xfId="0" applyNumberFormat="1" applyBorder="1" applyAlignment="1">
      <alignment horizontal="right" vertical="center"/>
    </xf>
    <xf numFmtId="43" fontId="0" fillId="0" borderId="1" xfId="0" applyNumberFormat="1" applyBorder="1" applyAlignment="1">
      <alignment horizontal="right" vertical="center"/>
    </xf>
    <xf numFmtId="0" fontId="0" fillId="0" borderId="1" xfId="0" applyBorder="1" applyAlignment="1">
      <alignment horizontal="right" vertical="center"/>
    </xf>
    <xf numFmtId="166" fontId="0" fillId="0" borderId="1" xfId="0" applyNumberFormat="1" applyBorder="1" applyAlignment="1">
      <alignment horizontal="right" vertical="center"/>
    </xf>
    <xf numFmtId="1" fontId="0" fillId="0" borderId="1" xfId="0" quotePrefix="1" applyNumberFormat="1" applyBorder="1" applyAlignment="1">
      <alignment horizontal="right" vertical="center"/>
    </xf>
    <xf numFmtId="2" fontId="0" fillId="0" borderId="1" xfId="0" applyNumberFormat="1" applyBorder="1" applyAlignment="1">
      <alignment horizontal="right" vertical="center"/>
    </xf>
    <xf numFmtId="168" fontId="2" fillId="0" borderId="1" xfId="0" applyNumberFormat="1" applyFont="1" applyBorder="1" applyAlignment="1">
      <alignment horizontal="right" vertical="center"/>
    </xf>
    <xf numFmtId="168" fontId="0" fillId="0" borderId="1" xfId="0" applyNumberFormat="1" applyBorder="1" applyAlignment="1">
      <alignment horizontal="right" vertical="center"/>
    </xf>
    <xf numFmtId="0" fontId="8" fillId="0" borderId="0" xfId="0" applyFont="1"/>
    <xf numFmtId="0" fontId="2" fillId="0" borderId="0" xfId="0" applyFont="1" applyAlignment="1">
      <alignment horizontal="center" vertical="center"/>
    </xf>
    <xf numFmtId="3" fontId="1" fillId="0" borderId="1" xfId="1" applyNumberFormat="1" applyFont="1" applyBorder="1" applyAlignment="1">
      <alignment horizontal="center"/>
    </xf>
    <xf numFmtId="0" fontId="0" fillId="0" borderId="3" xfId="0" applyBorder="1" applyAlignment="1">
      <alignment horizontal="left"/>
    </xf>
    <xf numFmtId="0" fontId="7" fillId="0" borderId="3" xfId="0" applyFont="1" applyBorder="1" applyAlignment="1">
      <alignment horizontal="center" vertical="center" wrapText="1"/>
    </xf>
    <xf numFmtId="0" fontId="2" fillId="0" borderId="1" xfId="0" applyFont="1" applyBorder="1" applyAlignment="1">
      <alignment vertical="center" wrapText="1"/>
    </xf>
    <xf numFmtId="167" fontId="12" fillId="0" borderId="1" xfId="1" applyNumberFormat="1" applyFont="1" applyBorder="1"/>
    <xf numFmtId="0" fontId="3" fillId="0" borderId="0" xfId="2" applyFont="1" applyAlignment="1">
      <alignment vertical="center"/>
    </xf>
    <xf numFmtId="0" fontId="8" fillId="0" borderId="0" xfId="0" applyFont="1" applyAlignment="1">
      <alignment vertical="center"/>
    </xf>
    <xf numFmtId="0" fontId="2" fillId="0" borderId="1" xfId="0" applyFont="1" applyBorder="1" applyAlignment="1">
      <alignment horizontal="left" vertical="center"/>
    </xf>
    <xf numFmtId="0" fontId="14" fillId="0" borderId="1" xfId="0" applyFont="1" applyBorder="1" applyAlignment="1">
      <alignment horizontal="center" vertical="center" wrapText="1"/>
    </xf>
    <xf numFmtId="165" fontId="2" fillId="0" borderId="1" xfId="0" applyNumberFormat="1" applyFont="1" applyBorder="1" applyAlignment="1">
      <alignment horizontal="center" vertical="center"/>
    </xf>
    <xf numFmtId="165" fontId="2" fillId="0" borderId="1" xfId="1" applyNumberFormat="1" applyFont="1" applyBorder="1" applyAlignment="1">
      <alignment horizontal="center" vertical="center"/>
    </xf>
    <xf numFmtId="3" fontId="2" fillId="0" borderId="1" xfId="0" applyNumberFormat="1" applyFont="1" applyBorder="1" applyAlignment="1">
      <alignment horizontal="center" vertical="center"/>
    </xf>
    <xf numFmtId="3" fontId="2" fillId="0" borderId="1" xfId="0" applyNumberFormat="1" applyFont="1" applyBorder="1" applyAlignment="1">
      <alignment horizontal="center"/>
    </xf>
    <xf numFmtId="3" fontId="2" fillId="0" borderId="1" xfId="1" applyNumberFormat="1" applyFont="1" applyBorder="1" applyAlignment="1">
      <alignment horizontal="center"/>
    </xf>
    <xf numFmtId="165" fontId="2" fillId="0" borderId="1" xfId="1" applyNumberFormat="1" applyFont="1" applyBorder="1" applyAlignment="1">
      <alignment horizontal="center"/>
    </xf>
    <xf numFmtId="2" fontId="2" fillId="0" borderId="1" xfId="0" applyNumberFormat="1" applyFont="1" applyBorder="1" applyAlignment="1">
      <alignment horizontal="right" vertical="center"/>
    </xf>
    <xf numFmtId="0" fontId="2" fillId="0" borderId="1" xfId="0" applyFont="1" applyBorder="1" applyAlignment="1">
      <alignment horizontal="right" vertical="center"/>
    </xf>
    <xf numFmtId="167" fontId="2" fillId="0" borderId="1" xfId="0" applyNumberFormat="1" applyFont="1" applyBorder="1" applyAlignment="1">
      <alignment horizontal="right" vertical="center"/>
    </xf>
    <xf numFmtId="43" fontId="2" fillId="0" borderId="1" xfId="0" applyNumberFormat="1" applyFont="1" applyBorder="1" applyAlignment="1">
      <alignment horizontal="right" vertical="center"/>
    </xf>
    <xf numFmtId="166" fontId="2" fillId="0" borderId="1" xfId="0" applyNumberFormat="1" applyFont="1" applyBorder="1" applyAlignment="1">
      <alignment horizontal="right" vertical="center"/>
    </xf>
    <xf numFmtId="166" fontId="2" fillId="0" borderId="1" xfId="0" quotePrefix="1" applyNumberFormat="1" applyFont="1" applyBorder="1" applyAlignment="1">
      <alignment horizontal="right" vertical="center"/>
    </xf>
    <xf numFmtId="1" fontId="2" fillId="0" borderId="1" xfId="0" quotePrefix="1" applyNumberFormat="1" applyFont="1" applyBorder="1" applyAlignment="1">
      <alignment horizontal="right" vertical="center"/>
    </xf>
    <xf numFmtId="3" fontId="0" fillId="0" borderId="1" xfId="0" applyNumberFormat="1" applyBorder="1" applyAlignment="1">
      <alignment horizontal="center" vertical="center"/>
    </xf>
    <xf numFmtId="3" fontId="1" fillId="0" borderId="1" xfId="1" applyNumberFormat="1" applyFont="1" applyBorder="1" applyAlignment="1">
      <alignment horizontal="right"/>
    </xf>
    <xf numFmtId="3" fontId="2" fillId="0" borderId="1" xfId="1" applyNumberFormat="1" applyFont="1" applyBorder="1" applyAlignment="1">
      <alignment horizontal="right"/>
    </xf>
    <xf numFmtId="3" fontId="2" fillId="0" borderId="1" xfId="1" applyNumberFormat="1" applyFont="1" applyBorder="1" applyAlignment="1">
      <alignment horizontal="right" vertical="center"/>
    </xf>
    <xf numFmtId="3" fontId="1" fillId="0" borderId="1" xfId="1" applyNumberFormat="1" applyFont="1" applyBorder="1" applyAlignment="1">
      <alignment horizontal="right" vertical="center"/>
    </xf>
    <xf numFmtId="4" fontId="1" fillId="0" borderId="1" xfId="1" applyNumberFormat="1" applyFont="1" applyBorder="1" applyAlignment="1">
      <alignment horizontal="right"/>
    </xf>
    <xf numFmtId="169" fontId="1" fillId="0" borderId="1" xfId="1" applyNumberFormat="1" applyFont="1" applyBorder="1" applyAlignment="1">
      <alignment horizontal="right"/>
    </xf>
    <xf numFmtId="4" fontId="0" fillId="0" borderId="1" xfId="0" applyNumberFormat="1" applyBorder="1" applyAlignment="1">
      <alignment horizontal="right" vertical="center"/>
    </xf>
    <xf numFmtId="4" fontId="12" fillId="0" borderId="1" xfId="1" applyNumberFormat="1" applyFont="1" applyBorder="1" applyAlignment="1">
      <alignment horizontal="right"/>
    </xf>
    <xf numFmtId="0" fontId="14"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4" fontId="2" fillId="0" borderId="1" xfId="1" applyNumberFormat="1" applyFont="1" applyBorder="1" applyAlignment="1">
      <alignment horizontal="right"/>
    </xf>
    <xf numFmtId="169" fontId="2" fillId="0" borderId="1" xfId="1" applyNumberFormat="1" applyFont="1" applyBorder="1" applyAlignment="1">
      <alignment horizontal="right"/>
    </xf>
    <xf numFmtId="169" fontId="2" fillId="0" borderId="1" xfId="0" applyNumberFormat="1" applyFont="1" applyBorder="1" applyAlignment="1">
      <alignment horizontal="right"/>
    </xf>
    <xf numFmtId="4" fontId="2" fillId="0" borderId="1" xfId="0" applyNumberFormat="1" applyFont="1" applyBorder="1" applyAlignment="1">
      <alignment horizontal="right" vertical="center"/>
    </xf>
    <xf numFmtId="165" fontId="2" fillId="0" borderId="1" xfId="1" applyNumberFormat="1" applyFont="1" applyBorder="1" applyAlignment="1">
      <alignment horizontal="right" vertical="center"/>
    </xf>
    <xf numFmtId="165" fontId="1" fillId="0" borderId="1" xfId="1" applyNumberFormat="1" applyFont="1" applyBorder="1" applyAlignment="1">
      <alignment horizontal="right" vertical="center"/>
    </xf>
    <xf numFmtId="170" fontId="0" fillId="0" borderId="0" xfId="0" applyNumberFormat="1" applyAlignment="1">
      <alignment horizontal="center"/>
    </xf>
    <xf numFmtId="4" fontId="14" fillId="0" borderId="1" xfId="1" applyNumberFormat="1" applyFont="1" applyBorder="1" applyAlignment="1">
      <alignment horizontal="right"/>
    </xf>
    <xf numFmtId="0" fontId="11" fillId="0" borderId="1" xfId="0" applyFont="1" applyBorder="1" applyAlignment="1">
      <alignment horizontal="center" vertical="center"/>
    </xf>
    <xf numFmtId="0" fontId="11" fillId="0" borderId="0" xfId="0" applyFont="1" applyAlignment="1">
      <alignment horizontal="center" vertical="center"/>
    </xf>
    <xf numFmtId="0" fontId="11" fillId="0" borderId="1" xfId="0" applyFont="1" applyBorder="1" applyAlignment="1">
      <alignment horizontal="left" vertical="center"/>
    </xf>
    <xf numFmtId="0" fontId="11" fillId="0" borderId="1" xfId="0" applyFont="1" applyBorder="1" applyAlignment="1">
      <alignment vertical="center"/>
    </xf>
    <xf numFmtId="0" fontId="11" fillId="0" borderId="1" xfId="0" applyFont="1" applyBorder="1" applyAlignment="1">
      <alignment vertical="center" wrapText="1"/>
    </xf>
    <xf numFmtId="0" fontId="11" fillId="0" borderId="0" xfId="0" applyFont="1"/>
    <xf numFmtId="0" fontId="7" fillId="0" borderId="1" xfId="0" applyFont="1" applyBorder="1" applyAlignment="1">
      <alignment horizontal="center" vertical="center" wrapText="1"/>
    </xf>
    <xf numFmtId="0" fontId="10" fillId="0" borderId="1" xfId="0" applyFont="1" applyBorder="1" applyAlignment="1">
      <alignment horizontal="center" vertical="center"/>
    </xf>
    <xf numFmtId="3" fontId="14" fillId="0" borderId="1" xfId="1" applyNumberFormat="1" applyFont="1" applyBorder="1" applyAlignment="1">
      <alignment horizontal="right" vertical="center"/>
    </xf>
    <xf numFmtId="3" fontId="12" fillId="0" borderId="1" xfId="1" applyNumberFormat="1" applyFont="1" applyBorder="1" applyAlignment="1">
      <alignment horizontal="right" vertical="center"/>
    </xf>
    <xf numFmtId="0" fontId="14" fillId="0" borderId="5" xfId="0" applyFont="1" applyBorder="1" applyAlignment="1">
      <alignment horizontal="center" vertical="center" wrapText="1"/>
    </xf>
    <xf numFmtId="0" fontId="14" fillId="0" borderId="1" xfId="0" applyFont="1" applyBorder="1" applyAlignment="1">
      <alignment vertical="center" wrapText="1"/>
    </xf>
    <xf numFmtId="169" fontId="0" fillId="0" borderId="1" xfId="0" applyNumberFormat="1" applyBorder="1" applyAlignment="1">
      <alignment horizontal="right"/>
    </xf>
    <xf numFmtId="165" fontId="0" fillId="0" borderId="0" xfId="0" applyNumberFormat="1" applyAlignment="1">
      <alignment horizontal="center"/>
    </xf>
    <xf numFmtId="3" fontId="0" fillId="0" borderId="1" xfId="0" applyNumberFormat="1" applyBorder="1"/>
    <xf numFmtId="171" fontId="0" fillId="0" borderId="1" xfId="0" applyNumberFormat="1" applyBorder="1"/>
    <xf numFmtId="169" fontId="0" fillId="0" borderId="0" xfId="0" applyNumberFormat="1" applyAlignment="1">
      <alignment horizontal="center"/>
    </xf>
    <xf numFmtId="4" fontId="8" fillId="0" borderId="0" xfId="0" applyNumberFormat="1" applyFont="1"/>
    <xf numFmtId="168" fontId="0" fillId="0" borderId="0" xfId="0" applyNumberFormat="1"/>
    <xf numFmtId="2" fontId="0" fillId="0" borderId="0" xfId="0" applyNumberFormat="1"/>
    <xf numFmtId="0" fontId="0" fillId="0" borderId="0" xfId="0" applyAlignment="1">
      <alignment wrapText="1"/>
    </xf>
    <xf numFmtId="0" fontId="0" fillId="0" borderId="1" xfId="0" applyBorder="1" applyAlignment="1">
      <alignment wrapText="1"/>
    </xf>
    <xf numFmtId="43" fontId="0" fillId="0" borderId="0" xfId="1" applyFont="1"/>
    <xf numFmtId="43" fontId="0" fillId="0" borderId="0" xfId="0" applyNumberFormat="1"/>
    <xf numFmtId="9" fontId="0" fillId="0" borderId="0" xfId="3" applyFont="1"/>
    <xf numFmtId="164" fontId="0" fillId="0" borderId="0" xfId="0" applyNumberFormat="1"/>
    <xf numFmtId="10" fontId="0" fillId="0" borderId="0" xfId="3" applyNumberFormat="1" applyFont="1"/>
    <xf numFmtId="0" fontId="0" fillId="2" borderId="0" xfId="0" applyFill="1"/>
    <xf numFmtId="43" fontId="0" fillId="2" borderId="0" xfId="1" applyFont="1" applyFill="1"/>
    <xf numFmtId="164" fontId="0" fillId="2" borderId="0" xfId="0" applyNumberFormat="1" applyFill="1"/>
    <xf numFmtId="43" fontId="0" fillId="2" borderId="0" xfId="0" applyNumberFormat="1" applyFill="1"/>
    <xf numFmtId="0" fontId="2" fillId="2" borderId="0" xfId="0" applyFont="1" applyFill="1" applyAlignment="1">
      <alignment wrapText="1"/>
    </xf>
    <xf numFmtId="0" fontId="2" fillId="2" borderId="0" xfId="0" applyFont="1" applyFill="1"/>
    <xf numFmtId="0" fontId="2" fillId="0" borderId="0" xfId="0" applyFont="1" applyAlignment="1">
      <alignment wrapText="1"/>
    </xf>
    <xf numFmtId="0" fontId="2" fillId="0" borderId="1" xfId="0" applyFont="1" applyBorder="1" applyAlignment="1">
      <alignment wrapText="1"/>
    </xf>
    <xf numFmtId="0" fontId="17" fillId="0" borderId="0" xfId="0" applyFont="1"/>
    <xf numFmtId="164" fontId="17" fillId="0" borderId="0" xfId="0" applyNumberFormat="1" applyFont="1"/>
    <xf numFmtId="0" fontId="0" fillId="0" borderId="0" xfId="0" applyAlignment="1">
      <alignment horizontal="right"/>
    </xf>
    <xf numFmtId="172" fontId="0" fillId="0" borderId="0" xfId="3" applyNumberFormat="1" applyFont="1"/>
    <xf numFmtId="9" fontId="0" fillId="0" borderId="0" xfId="0" applyNumberFormat="1"/>
    <xf numFmtId="9" fontId="17" fillId="0" borderId="0" xfId="3" applyFont="1"/>
    <xf numFmtId="9" fontId="17" fillId="0" borderId="0" xfId="0" applyNumberFormat="1" applyFont="1"/>
    <xf numFmtId="164" fontId="2" fillId="0" borderId="0" xfId="0" applyNumberFormat="1" applyFont="1"/>
    <xf numFmtId="173" fontId="0" fillId="0" borderId="0" xfId="0" applyNumberFormat="1"/>
    <xf numFmtId="174" fontId="0" fillId="0" borderId="0" xfId="1" applyNumberFormat="1" applyFont="1"/>
    <xf numFmtId="165" fontId="0" fillId="0" borderId="0" xfId="1" applyNumberFormat="1" applyFont="1"/>
    <xf numFmtId="0" fontId="2" fillId="0" borderId="0" xfId="0" applyFont="1" applyAlignment="1">
      <alignment horizontal="right"/>
    </xf>
    <xf numFmtId="166" fontId="0" fillId="0" borderId="0" xfId="0" applyNumberFormat="1"/>
    <xf numFmtId="174" fontId="0" fillId="0" borderId="0" xfId="0" applyNumberFormat="1"/>
    <xf numFmtId="4" fontId="0" fillId="0" borderId="0" xfId="0" applyNumberFormat="1"/>
    <xf numFmtId="10" fontId="0" fillId="0" borderId="0" xfId="0" applyNumberFormat="1"/>
    <xf numFmtId="0" fontId="12" fillId="0" borderId="0" xfId="0" applyFont="1"/>
    <xf numFmtId="165" fontId="0" fillId="0" borderId="0" xfId="0" applyNumberFormat="1"/>
    <xf numFmtId="0" fontId="12" fillId="0" borderId="0" xfId="0" applyFont="1" applyAlignment="1">
      <alignment vertical="center"/>
    </xf>
    <xf numFmtId="175" fontId="0" fillId="0" borderId="0" xfId="0" applyNumberFormat="1"/>
    <xf numFmtId="3" fontId="12" fillId="0" borderId="0" xfId="0" applyNumberFormat="1" applyFont="1" applyAlignment="1">
      <alignment vertical="center"/>
    </xf>
    <xf numFmtId="165" fontId="18" fillId="0" borderId="0" xfId="1" applyNumberFormat="1" applyFont="1"/>
    <xf numFmtId="175" fontId="17" fillId="2" borderId="0" xfId="0" applyNumberFormat="1" applyFont="1" applyFill="1"/>
    <xf numFmtId="176" fontId="0" fillId="0" borderId="0" xfId="3" applyNumberFormat="1" applyFont="1"/>
    <xf numFmtId="0" fontId="2" fillId="3" borderId="0" xfId="0" applyFont="1" applyFill="1"/>
    <xf numFmtId="0" fontId="0" fillId="3" borderId="0" xfId="0" applyFill="1"/>
    <xf numFmtId="0" fontId="19" fillId="0" borderId="0" xfId="4"/>
    <xf numFmtId="177" fontId="0" fillId="0" borderId="0" xfId="3" applyNumberFormat="1" applyFont="1"/>
    <xf numFmtId="0" fontId="2" fillId="4" borderId="0" xfId="0" applyFont="1" applyFill="1" applyAlignment="1">
      <alignment wrapText="1"/>
    </xf>
    <xf numFmtId="0" fontId="2" fillId="4" borderId="0" xfId="0" applyFont="1" applyFill="1"/>
    <xf numFmtId="0" fontId="2" fillId="5" borderId="0" xfId="0" applyFont="1" applyFill="1" applyAlignment="1">
      <alignment wrapText="1"/>
    </xf>
    <xf numFmtId="0" fontId="2" fillId="5" borderId="0" xfId="0" applyFont="1" applyFill="1"/>
    <xf numFmtId="0" fontId="2" fillId="6" borderId="0" xfId="0" applyFont="1" applyFill="1" applyAlignment="1">
      <alignment wrapText="1"/>
    </xf>
    <xf numFmtId="0" fontId="2" fillId="6" borderId="0" xfId="0" applyFont="1" applyFill="1"/>
    <xf numFmtId="0" fontId="2" fillId="7" borderId="0" xfId="0" applyFont="1" applyFill="1" applyAlignment="1">
      <alignment wrapText="1"/>
    </xf>
    <xf numFmtId="0" fontId="2" fillId="7" borderId="0" xfId="0" applyFont="1" applyFill="1"/>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0" fillId="8" borderId="0" xfId="0" applyFill="1"/>
    <xf numFmtId="0" fontId="0" fillId="0" borderId="13" xfId="0" applyBorder="1"/>
    <xf numFmtId="0" fontId="0" fillId="0" borderId="14" xfId="0" applyBorder="1"/>
    <xf numFmtId="0" fontId="8" fillId="0" borderId="14" xfId="0" applyFont="1" applyBorder="1"/>
    <xf numFmtId="0" fontId="0" fillId="0" borderId="10" xfId="0" applyBorder="1"/>
    <xf numFmtId="0" fontId="0" fillId="0" borderId="11" xfId="0" applyBorder="1"/>
    <xf numFmtId="0" fontId="0" fillId="0" borderId="12" xfId="0" applyBorder="1"/>
    <xf numFmtId="3" fontId="8" fillId="0" borderId="0" xfId="0" applyNumberFormat="1" applyFont="1"/>
    <xf numFmtId="10" fontId="0" fillId="0" borderId="1" xfId="0" applyNumberFormat="1" applyBorder="1"/>
    <xf numFmtId="165" fontId="0" fillId="0" borderId="1" xfId="1" applyNumberFormat="1" applyFont="1" applyBorder="1"/>
    <xf numFmtId="165" fontId="2" fillId="0" borderId="0" xfId="1" applyNumberFormat="1" applyFont="1"/>
    <xf numFmtId="165" fontId="2" fillId="0" borderId="1" xfId="1" applyNumberFormat="1" applyFont="1" applyBorder="1"/>
    <xf numFmtId="0" fontId="2" fillId="0" borderId="1" xfId="0" applyFont="1" applyBorder="1"/>
    <xf numFmtId="0" fontId="0" fillId="0" borderId="1" xfId="0" applyBorder="1" applyAlignment="1">
      <alignment horizontal="right"/>
    </xf>
    <xf numFmtId="9" fontId="0" fillId="0" borderId="1" xfId="0" applyNumberFormat="1" applyBorder="1"/>
    <xf numFmtId="0" fontId="8" fillId="2" borderId="0" xfId="0" applyFont="1" applyFill="1"/>
    <xf numFmtId="174" fontId="8" fillId="0" borderId="0" xfId="1" applyNumberFormat="1" applyFont="1"/>
    <xf numFmtId="174" fontId="8" fillId="0" borderId="0" xfId="0" applyNumberFormat="1" applyFont="1"/>
    <xf numFmtId="166" fontId="8" fillId="0" borderId="0" xfId="0" applyNumberFormat="1" applyFont="1"/>
    <xf numFmtId="43" fontId="8" fillId="0" borderId="0" xfId="1" applyFont="1"/>
    <xf numFmtId="43" fontId="8" fillId="2" borderId="0" xfId="1" applyFont="1" applyFill="1"/>
    <xf numFmtId="9" fontId="8" fillId="0" borderId="0" xfId="0" applyNumberFormat="1" applyFont="1"/>
    <xf numFmtId="0" fontId="0" fillId="0" borderId="7" xfId="0" applyBorder="1"/>
    <xf numFmtId="0" fontId="0" fillId="0" borderId="8" xfId="0" applyBorder="1"/>
    <xf numFmtId="0" fontId="0" fillId="0" borderId="9" xfId="0" applyBorder="1"/>
    <xf numFmtId="1" fontId="0" fillId="0" borderId="14" xfId="0" applyNumberFormat="1" applyBorder="1"/>
    <xf numFmtId="1" fontId="0" fillId="0" borderId="13" xfId="0" applyNumberFormat="1" applyBorder="1"/>
    <xf numFmtId="43" fontId="0" fillId="0" borderId="14" xfId="0" applyNumberFormat="1" applyBorder="1"/>
    <xf numFmtId="43" fontId="0" fillId="0" borderId="13" xfId="0" applyNumberFormat="1" applyBorder="1"/>
    <xf numFmtId="9" fontId="0" fillId="0" borderId="13" xfId="0" applyNumberFormat="1" applyBorder="1"/>
    <xf numFmtId="9" fontId="0" fillId="0" borderId="14" xfId="0" applyNumberFormat="1" applyBorder="1"/>
    <xf numFmtId="0" fontId="0" fillId="4" borderId="0" xfId="0" applyFill="1"/>
    <xf numFmtId="0" fontId="0" fillId="9" borderId="0" xfId="0" applyFill="1"/>
    <xf numFmtId="0" fontId="0" fillId="6" borderId="0" xfId="0" applyFill="1"/>
    <xf numFmtId="0" fontId="0" fillId="0" borderId="17" xfId="0" applyBorder="1"/>
    <xf numFmtId="175" fontId="2" fillId="0" borderId="0" xfId="0" applyNumberFormat="1" applyFont="1"/>
    <xf numFmtId="1" fontId="12" fillId="0" borderId="14" xfId="0" applyNumberFormat="1" applyFont="1" applyBorder="1"/>
    <xf numFmtId="0" fontId="0" fillId="0" borderId="18" xfId="0" applyBorder="1"/>
    <xf numFmtId="0" fontId="0" fillId="0" borderId="19" xfId="0" applyBorder="1"/>
    <xf numFmtId="0" fontId="2" fillId="0" borderId="2" xfId="0" applyFont="1" applyBorder="1" applyAlignment="1">
      <alignment horizontal="center" wrapText="1"/>
    </xf>
    <xf numFmtId="4" fontId="0" fillId="2" borderId="0" xfId="0" applyNumberFormat="1" applyFill="1"/>
    <xf numFmtId="10" fontId="0" fillId="2" borderId="0" xfId="0" applyNumberFormat="1" applyFill="1"/>
    <xf numFmtId="10" fontId="0" fillId="2" borderId="0" xfId="3" applyNumberFormat="1" applyFont="1" applyFill="1"/>
    <xf numFmtId="10" fontId="0" fillId="0" borderId="0" xfId="1" applyNumberFormat="1" applyFont="1"/>
    <xf numFmtId="0" fontId="2" fillId="0" borderId="1" xfId="0" applyFont="1" applyBorder="1" applyAlignment="1">
      <alignment horizontal="center" vertical="center" wrapText="1"/>
    </xf>
    <xf numFmtId="1" fontId="0" fillId="0" borderId="1" xfId="0" applyNumberFormat="1" applyBorder="1"/>
    <xf numFmtId="1" fontId="12" fillId="0" borderId="1" xfId="0" applyNumberFormat="1" applyFont="1" applyBorder="1"/>
    <xf numFmtId="43" fontId="0" fillId="0" borderId="1" xfId="0" applyNumberFormat="1" applyBorder="1"/>
    <xf numFmtId="1" fontId="0" fillId="0" borderId="0" xfId="0" applyNumberFormat="1"/>
    <xf numFmtId="0" fontId="2" fillId="0" borderId="8" xfId="0" applyFont="1" applyBorder="1"/>
    <xf numFmtId="43" fontId="0" fillId="0" borderId="0" xfId="1" applyFont="1" applyFill="1" applyBorder="1"/>
    <xf numFmtId="43" fontId="0" fillId="4" borderId="0" xfId="1" applyFont="1" applyFill="1" applyBorder="1"/>
    <xf numFmtId="10" fontId="12" fillId="0" borderId="0" xfId="0" applyNumberFormat="1" applyFont="1"/>
    <xf numFmtId="0" fontId="0" fillId="4" borderId="0" xfId="0" applyFill="1" applyAlignment="1">
      <alignment wrapText="1"/>
    </xf>
    <xf numFmtId="2" fontId="0" fillId="4" borderId="0" xfId="0" applyNumberFormat="1" applyFill="1"/>
    <xf numFmtId="0" fontId="0" fillId="0" borderId="11" xfId="0" applyBorder="1" applyAlignment="1">
      <alignment wrapText="1"/>
    </xf>
    <xf numFmtId="1" fontId="0" fillId="0" borderId="11" xfId="0" applyNumberFormat="1" applyBorder="1"/>
    <xf numFmtId="0" fontId="12" fillId="0" borderId="7" xfId="0" applyFont="1" applyBorder="1"/>
    <xf numFmtId="0" fontId="12" fillId="0" borderId="8" xfId="0" applyFont="1" applyBorder="1"/>
    <xf numFmtId="0" fontId="8" fillId="0" borderId="10" xfId="0" applyFont="1" applyBorder="1"/>
    <xf numFmtId="0" fontId="8" fillId="0" borderId="11" xfId="0" applyFont="1" applyBorder="1"/>
    <xf numFmtId="10" fontId="8" fillId="0" borderId="10" xfId="0" applyNumberFormat="1" applyFont="1" applyBorder="1"/>
    <xf numFmtId="10" fontId="8" fillId="0" borderId="11" xfId="0" applyNumberFormat="1" applyFont="1" applyBorder="1"/>
    <xf numFmtId="10" fontId="8" fillId="0" borderId="12" xfId="0" applyNumberFormat="1" applyFont="1" applyBorder="1"/>
    <xf numFmtId="0" fontId="0" fillId="0" borderId="20" xfId="0" applyBorder="1"/>
    <xf numFmtId="0" fontId="12" fillId="10" borderId="0" xfId="0" applyFont="1" applyFill="1"/>
    <xf numFmtId="0" fontId="14" fillId="0" borderId="0" xfId="0" applyFont="1"/>
    <xf numFmtId="1" fontId="2" fillId="0" borderId="0" xfId="0" applyNumberFormat="1" applyFont="1"/>
    <xf numFmtId="0" fontId="12" fillId="2" borderId="0" xfId="0" applyFont="1" applyFill="1"/>
    <xf numFmtId="165" fontId="0" fillId="2" borderId="0" xfId="1" applyNumberFormat="1" applyFont="1" applyFill="1"/>
    <xf numFmtId="10" fontId="0" fillId="2" borderId="0" xfId="1" applyNumberFormat="1" applyFont="1" applyFill="1"/>
    <xf numFmtId="175" fontId="0" fillId="2" borderId="0" xfId="0" applyNumberFormat="1" applyFill="1"/>
    <xf numFmtId="0" fontId="0" fillId="11" borderId="0" xfId="0" applyFill="1"/>
    <xf numFmtId="43" fontId="0" fillId="11" borderId="0" xfId="1" applyFont="1" applyFill="1"/>
    <xf numFmtId="10" fontId="0" fillId="11" borderId="0" xfId="3" applyNumberFormat="1" applyFont="1" applyFill="1"/>
    <xf numFmtId="164" fontId="0" fillId="11" borderId="0" xfId="0" applyNumberFormat="1" applyFill="1"/>
    <xf numFmtId="0" fontId="12" fillId="7" borderId="0" xfId="0" applyFont="1" applyFill="1"/>
    <xf numFmtId="165" fontId="0" fillId="7" borderId="0" xfId="1" applyNumberFormat="1" applyFont="1" applyFill="1"/>
    <xf numFmtId="10" fontId="0" fillId="7" borderId="0" xfId="1" applyNumberFormat="1" applyFont="1" applyFill="1"/>
    <xf numFmtId="0" fontId="0" fillId="7" borderId="0" xfId="0" applyFill="1"/>
    <xf numFmtId="0" fontId="2" fillId="12" borderId="0" xfId="0" applyFont="1" applyFill="1"/>
    <xf numFmtId="165" fontId="2" fillId="12" borderId="0" xfId="1" applyNumberFormat="1" applyFont="1" applyFill="1"/>
    <xf numFmtId="10" fontId="0" fillId="12" borderId="0" xfId="1" applyNumberFormat="1" applyFont="1" applyFill="1"/>
    <xf numFmtId="0" fontId="0" fillId="12" borderId="0" xfId="0" applyFill="1"/>
    <xf numFmtId="165" fontId="1" fillId="12" borderId="0" xfId="1" applyNumberFormat="1" applyFont="1" applyFill="1"/>
    <xf numFmtId="10" fontId="8" fillId="0" borderId="0" xfId="0" applyNumberFormat="1" applyFont="1" applyAlignment="1">
      <alignment wrapText="1"/>
    </xf>
    <xf numFmtId="10" fontId="8" fillId="0" borderId="0" xfId="0" applyNumberFormat="1" applyFont="1"/>
    <xf numFmtId="0" fontId="12" fillId="13" borderId="0" xfId="0" applyFont="1" applyFill="1" applyAlignment="1">
      <alignment vertical="center"/>
    </xf>
    <xf numFmtId="175" fontId="0" fillId="13" borderId="0" xfId="0" applyNumberFormat="1" applyFill="1"/>
    <xf numFmtId="0" fontId="0" fillId="13" borderId="0" xfId="0" applyFill="1"/>
    <xf numFmtId="165" fontId="0" fillId="13" borderId="0" xfId="1" applyNumberFormat="1" applyFont="1" applyFill="1"/>
    <xf numFmtId="10" fontId="0" fillId="13" borderId="0" xfId="0" applyNumberFormat="1" applyFill="1"/>
    <xf numFmtId="0" fontId="8" fillId="0" borderId="13" xfId="0" applyFont="1" applyBorder="1"/>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2" borderId="7" xfId="0" applyFont="1" applyFill="1" applyBorder="1" applyAlignment="1">
      <alignment horizontal="center"/>
    </xf>
    <xf numFmtId="0" fontId="2" fillId="2" borderId="8" xfId="0" applyFont="1" applyFill="1" applyBorder="1" applyAlignment="1">
      <alignment horizontal="center"/>
    </xf>
    <xf numFmtId="0" fontId="2" fillId="2" borderId="9" xfId="0" applyFont="1" applyFill="1" applyBorder="1" applyAlignment="1">
      <alignment horizontal="center"/>
    </xf>
    <xf numFmtId="172" fontId="2" fillId="0" borderId="0" xfId="3" applyNumberFormat="1" applyFont="1" applyAlignment="1">
      <alignment horizontal="center"/>
    </xf>
    <xf numFmtId="0" fontId="2" fillId="2" borderId="0" xfId="0" applyFont="1" applyFill="1" applyAlignment="1">
      <alignment horizontal="center"/>
    </xf>
    <xf numFmtId="0" fontId="2" fillId="0" borderId="0" xfId="0" applyFont="1" applyAlignment="1">
      <alignment horizontal="center"/>
    </xf>
    <xf numFmtId="9" fontId="2" fillId="0" borderId="0" xfId="3" applyFont="1" applyAlignment="1">
      <alignment horizontal="center"/>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3" fillId="0" borderId="0" xfId="0" applyFont="1" applyAlignment="1">
      <alignment horizontal="center" vertical="center"/>
    </xf>
    <xf numFmtId="0" fontId="0" fillId="0" borderId="1" xfId="0" applyBorder="1" applyAlignment="1">
      <alignment horizontal="center"/>
    </xf>
    <xf numFmtId="0" fontId="0" fillId="0" borderId="0" xfId="0" applyAlignment="1">
      <alignment horizontal="center"/>
    </xf>
    <xf numFmtId="0" fontId="2" fillId="0" borderId="1" xfId="0" applyFont="1" applyBorder="1" applyAlignment="1">
      <alignment horizontal="center"/>
    </xf>
    <xf numFmtId="0" fontId="12" fillId="0" borderId="0" xfId="0" applyFont="1" applyAlignment="1">
      <alignment horizontal="left" vertical="center"/>
    </xf>
    <xf numFmtId="0" fontId="2" fillId="0" borderId="0" xfId="0" applyFont="1" applyAlignment="1">
      <alignment horizontal="center" wrapText="1"/>
    </xf>
    <xf numFmtId="0" fontId="2" fillId="0" borderId="15" xfId="0" applyFont="1" applyBorder="1" applyAlignment="1">
      <alignment horizontal="center" wrapText="1"/>
    </xf>
    <xf numFmtId="0" fontId="2" fillId="0" borderId="2" xfId="0" applyFont="1" applyBorder="1" applyAlignment="1">
      <alignment horizontal="center" wrapText="1"/>
    </xf>
    <xf numFmtId="0" fontId="2" fillId="0" borderId="16" xfId="0" applyFont="1" applyBorder="1" applyAlignment="1">
      <alignment horizontal="center" wrapText="1"/>
    </xf>
    <xf numFmtId="0" fontId="2" fillId="0" borderId="15" xfId="0" applyFont="1" applyBorder="1" applyAlignment="1">
      <alignment horizontal="center"/>
    </xf>
    <xf numFmtId="0" fontId="2" fillId="0" borderId="2" xfId="0" applyFont="1" applyBorder="1" applyAlignment="1">
      <alignment horizontal="center"/>
    </xf>
    <xf numFmtId="0" fontId="2" fillId="0" borderId="16" xfId="0" applyFont="1" applyBorder="1" applyAlignment="1">
      <alignment horizontal="center"/>
    </xf>
  </cellXfs>
  <cellStyles count="5">
    <cellStyle name="Comma" xfId="1" builtinId="3"/>
    <cellStyle name="Hyperlink" xfId="4" builtinId="8"/>
    <cellStyle name="Normal" xfId="0" builtinId="0"/>
    <cellStyle name="Normal 2" xfId="2"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'Summary Tables'!$D$42</c:f>
              <c:strCache>
                <c:ptCount val="1"/>
                <c:pt idx="0">
                  <c:v>WOP</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F81-4267-903F-59138FCC499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F81-4267-903F-59138FCC499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F81-4267-903F-59138FCC499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F81-4267-903F-59138FCC499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F81-4267-903F-59138FCC499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F81-4267-903F-59138FCC499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Tables'!$A$43:$A$48</c:f>
              <c:strCache>
                <c:ptCount val="6"/>
                <c:pt idx="0">
                  <c:v>CH4 from enteric fermentation</c:v>
                </c:pt>
                <c:pt idx="1">
                  <c:v>CH4 from manure management</c:v>
                </c:pt>
                <c:pt idx="2">
                  <c:v>N2O from feed production</c:v>
                </c:pt>
                <c:pt idx="3">
                  <c:v>N2O from manure management</c:v>
                </c:pt>
                <c:pt idx="4">
                  <c:v>CO2 from energy use</c:v>
                </c:pt>
                <c:pt idx="5">
                  <c:v>CO2 and nitrous oxide from feed </c:v>
                </c:pt>
              </c:strCache>
            </c:strRef>
          </c:cat>
          <c:val>
            <c:numRef>
              <c:f>'Summary Tables'!$D$43:$D$48</c:f>
              <c:numCache>
                <c:formatCode>0%</c:formatCode>
                <c:ptCount val="6"/>
                <c:pt idx="0">
                  <c:v>0.86390657548696537</c:v>
                </c:pt>
                <c:pt idx="1">
                  <c:v>4.3050151362385172E-2</c:v>
                </c:pt>
                <c:pt idx="2" formatCode="0.0000%">
                  <c:v>8.6893601075509623E-6</c:v>
                </c:pt>
                <c:pt idx="3">
                  <c:v>5.1677973668257007E-2</c:v>
                </c:pt>
                <c:pt idx="4" formatCode="0.0%">
                  <c:v>1.4964233922326474E-2</c:v>
                </c:pt>
                <c:pt idx="5" formatCode="0.0%">
                  <c:v>2.6392376199958323E-2</c:v>
                </c:pt>
              </c:numCache>
            </c:numRef>
          </c:val>
          <c:extLst>
            <c:ext xmlns:c16="http://schemas.microsoft.com/office/drawing/2014/chart" uri="{C3380CC4-5D6E-409C-BE32-E72D297353CC}">
              <c16:uniqueId val="{00000000-ADCD-4B1E-A165-0A3F9818FAE9}"/>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sz="1200"/>
              <a:t>Emissions intensity milk (kg CO2eq/kg milk)</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 2024'!$V$21:$W$21</c:f>
              <c:strCache>
                <c:ptCount val="2"/>
                <c:pt idx="0">
                  <c:v>WOP</c:v>
                </c:pt>
                <c:pt idx="1">
                  <c:v>With DaIMA</c:v>
                </c:pt>
              </c:strCache>
            </c:strRef>
          </c:cat>
          <c:val>
            <c:numRef>
              <c:f>'Summary Tables 2024'!$V$22:$W$22</c:f>
              <c:numCache>
                <c:formatCode>0.0</c:formatCode>
                <c:ptCount val="2"/>
                <c:pt idx="0">
                  <c:v>5.6113736413405944</c:v>
                </c:pt>
                <c:pt idx="1">
                  <c:v>3.9897160981858946</c:v>
                </c:pt>
              </c:numCache>
            </c:numRef>
          </c:val>
          <c:extLst>
            <c:ext xmlns:c16="http://schemas.microsoft.com/office/drawing/2014/chart" uri="{C3380CC4-5D6E-409C-BE32-E72D297353CC}">
              <c16:uniqueId val="{00000000-5CA1-44C3-8B19-B5CFD721A729}"/>
            </c:ext>
          </c:extLst>
        </c:ser>
        <c:dLbls>
          <c:showLegendKey val="0"/>
          <c:showVal val="0"/>
          <c:showCatName val="0"/>
          <c:showSerName val="0"/>
          <c:showPercent val="0"/>
          <c:showBubbleSize val="0"/>
        </c:dLbls>
        <c:gapWidth val="219"/>
        <c:overlap val="-27"/>
        <c:axId val="1494347616"/>
        <c:axId val="1226755664"/>
      </c:barChart>
      <c:catAx>
        <c:axId val="149434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226755664"/>
        <c:crosses val="autoZero"/>
        <c:auto val="1"/>
        <c:lblAlgn val="ctr"/>
        <c:lblOffset val="100"/>
        <c:noMultiLvlLbl val="0"/>
      </c:catAx>
      <c:valAx>
        <c:axId val="122675566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49434761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sz="1200"/>
              <a:t>Total milk production (t milk/year) </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 2024'!$V$39:$W$39</c:f>
              <c:strCache>
                <c:ptCount val="2"/>
                <c:pt idx="0">
                  <c:v>WOP</c:v>
                </c:pt>
                <c:pt idx="1">
                  <c:v>With DaIMA</c:v>
                </c:pt>
              </c:strCache>
            </c:strRef>
          </c:cat>
          <c:val>
            <c:numRef>
              <c:f>'Summary Tables 2024'!$V$40:$W$40</c:f>
              <c:numCache>
                <c:formatCode>_-* #,##0_-;\-* #,##0_-;_-* "-"??_-;_-@_-</c:formatCode>
                <c:ptCount val="2"/>
                <c:pt idx="0">
                  <c:v>164713.27289999998</c:v>
                </c:pt>
                <c:pt idx="1">
                  <c:v>223288.30549999999</c:v>
                </c:pt>
              </c:numCache>
            </c:numRef>
          </c:val>
          <c:extLst>
            <c:ext xmlns:c16="http://schemas.microsoft.com/office/drawing/2014/chart" uri="{C3380CC4-5D6E-409C-BE32-E72D297353CC}">
              <c16:uniqueId val="{00000000-41A5-4E05-A0C6-44FD29735297}"/>
            </c:ext>
          </c:extLst>
        </c:ser>
        <c:dLbls>
          <c:showLegendKey val="0"/>
          <c:showVal val="0"/>
          <c:showCatName val="0"/>
          <c:showSerName val="0"/>
          <c:showPercent val="0"/>
          <c:showBubbleSize val="0"/>
        </c:dLbls>
        <c:gapWidth val="219"/>
        <c:overlap val="-27"/>
        <c:axId val="1039614543"/>
        <c:axId val="1218854608"/>
      </c:barChart>
      <c:catAx>
        <c:axId val="10396145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218854608"/>
        <c:crosses val="autoZero"/>
        <c:auto val="1"/>
        <c:lblAlgn val="ctr"/>
        <c:lblOffset val="100"/>
        <c:noMultiLvlLbl val="0"/>
      </c:catAx>
      <c:valAx>
        <c:axId val="1218854608"/>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3961454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sz="1200"/>
              <a:t>Total feed intake (t DM/year) </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 2024'!$V$59:$W$59</c:f>
              <c:strCache>
                <c:ptCount val="2"/>
                <c:pt idx="0">
                  <c:v>WOP</c:v>
                </c:pt>
                <c:pt idx="1">
                  <c:v>With DaIMA</c:v>
                </c:pt>
              </c:strCache>
            </c:strRef>
          </c:cat>
          <c:val>
            <c:numRef>
              <c:f>'Summary Tables 2024'!$V$60:$W$60</c:f>
              <c:numCache>
                <c:formatCode>_(* #,##0_);_(* \(#,##0\);_(* "-"??_);_(@_)</c:formatCode>
                <c:ptCount val="2"/>
                <c:pt idx="0">
                  <c:v>2089591.4867799999</c:v>
                </c:pt>
                <c:pt idx="1">
                  <c:v>1988169.1987900001</c:v>
                </c:pt>
              </c:numCache>
            </c:numRef>
          </c:val>
          <c:extLst>
            <c:ext xmlns:c16="http://schemas.microsoft.com/office/drawing/2014/chart" uri="{C3380CC4-5D6E-409C-BE32-E72D297353CC}">
              <c16:uniqueId val="{00000000-94C1-4970-8E66-DF61FDD47BDC}"/>
            </c:ext>
          </c:extLst>
        </c:ser>
        <c:dLbls>
          <c:showLegendKey val="0"/>
          <c:showVal val="0"/>
          <c:showCatName val="0"/>
          <c:showSerName val="0"/>
          <c:showPercent val="0"/>
          <c:showBubbleSize val="0"/>
        </c:dLbls>
        <c:gapWidth val="219"/>
        <c:overlap val="-27"/>
        <c:axId val="1039618383"/>
        <c:axId val="1219063056"/>
      </c:barChart>
      <c:catAx>
        <c:axId val="10396183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219063056"/>
        <c:crosses val="autoZero"/>
        <c:auto val="1"/>
        <c:lblAlgn val="ctr"/>
        <c:lblOffset val="100"/>
        <c:noMultiLvlLbl val="0"/>
      </c:catAx>
      <c:valAx>
        <c:axId val="1219063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3961838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'Summary Tables 2024'!$AC$11</c:f>
              <c:strCache>
                <c:ptCount val="1"/>
                <c:pt idx="0">
                  <c:v>WOP</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'Summary Tables 2024'!$AB$12:$AB$37</c:f>
              <c:strCache>
                <c:ptCount val="21"/>
                <c:pt idx="0">
                  <c:v>Year 0</c:v>
                </c:pt>
                <c:pt idx="1">
                  <c:v>Year 1</c:v>
                </c:pt>
                <c:pt idx="2">
                  <c:v>Year 2</c:v>
                </c:pt>
                <c:pt idx="3">
                  <c:v>Year 3</c:v>
                </c:pt>
                <c:pt idx="4">
                  <c:v>Year 4</c:v>
                </c:pt>
                <c:pt idx="5">
                  <c:v>Year 5</c:v>
                </c:pt>
                <c:pt idx="6">
                  <c:v>Year 6</c:v>
                </c:pt>
                <c:pt idx="7">
                  <c:v>Year 7</c:v>
                </c:pt>
                <c:pt idx="8">
                  <c:v>Year 8</c:v>
                </c:pt>
                <c:pt idx="9">
                  <c:v>Year 9</c:v>
                </c:pt>
                <c:pt idx="10">
                  <c:v>Year 10</c:v>
                </c:pt>
                <c:pt idx="11">
                  <c:v>Year 11</c:v>
                </c:pt>
                <c:pt idx="12">
                  <c:v>Year 12</c:v>
                </c:pt>
                <c:pt idx="13">
                  <c:v>Year 13</c:v>
                </c:pt>
                <c:pt idx="14">
                  <c:v>Year 14</c:v>
                </c:pt>
                <c:pt idx="15">
                  <c:v>Year 15</c:v>
                </c:pt>
                <c:pt idx="16">
                  <c:v>Year 16</c:v>
                </c:pt>
                <c:pt idx="17">
                  <c:v>Year 17</c:v>
                </c:pt>
                <c:pt idx="18">
                  <c:v>Year 18</c:v>
                </c:pt>
                <c:pt idx="19">
                  <c:v>Year 19</c:v>
                </c:pt>
                <c:pt idx="20">
                  <c:v>Year 20</c:v>
                </c:pt>
              </c:strCache>
            </c:strRef>
          </c:xVal>
          <c:yVal>
            <c:numRef>
              <c:f>'Summary Tables 2024'!$AC$12:$AC$37</c:f>
              <c:numCache>
                <c:formatCode>_-* #,##0_-;\-* #,##0_-;_-* "-"??_-;_-@_-</c:formatCode>
                <c:ptCount val="26"/>
                <c:pt idx="0">
                  <c:v>1113254.7657899999</c:v>
                </c:pt>
                <c:pt idx="1">
                  <c:v>1127641.2628535</c:v>
                </c:pt>
                <c:pt idx="2">
                  <c:v>1142027.7599170001</c:v>
                </c:pt>
                <c:pt idx="3">
                  <c:v>1156414.2569805002</c:v>
                </c:pt>
                <c:pt idx="4">
                  <c:v>1170800.7540440003</c:v>
                </c:pt>
                <c:pt idx="5">
                  <c:v>1185187.2511075004</c:v>
                </c:pt>
                <c:pt idx="6">
                  <c:v>1199573.7481710005</c:v>
                </c:pt>
                <c:pt idx="7">
                  <c:v>1213960.2452345006</c:v>
                </c:pt>
                <c:pt idx="8">
                  <c:v>1228346.7422980007</c:v>
                </c:pt>
                <c:pt idx="9">
                  <c:v>1242733.2393615008</c:v>
                </c:pt>
                <c:pt idx="10">
                  <c:v>1257119.7364250009</c:v>
                </c:pt>
                <c:pt idx="11">
                  <c:v>1271506.233488501</c:v>
                </c:pt>
                <c:pt idx="12">
                  <c:v>1285892.7305520012</c:v>
                </c:pt>
                <c:pt idx="13">
                  <c:v>1300279.2276155013</c:v>
                </c:pt>
                <c:pt idx="14">
                  <c:v>1314665.7246790014</c:v>
                </c:pt>
                <c:pt idx="15">
                  <c:v>1329052.2217425015</c:v>
                </c:pt>
                <c:pt idx="16">
                  <c:v>1343438.7188060016</c:v>
                </c:pt>
                <c:pt idx="17">
                  <c:v>1357825.2158695017</c:v>
                </c:pt>
                <c:pt idx="18">
                  <c:v>1372211.7129330018</c:v>
                </c:pt>
                <c:pt idx="19">
                  <c:v>1386598.2099965019</c:v>
                </c:pt>
                <c:pt idx="20">
                  <c:v>1400984.707060002</c:v>
                </c:pt>
              </c:numCache>
            </c:numRef>
          </c:yVal>
          <c:smooth val="0"/>
          <c:extLst>
            <c:ext xmlns:c16="http://schemas.microsoft.com/office/drawing/2014/chart" uri="{C3380CC4-5D6E-409C-BE32-E72D297353CC}">
              <c16:uniqueId val="{00000000-A9E7-4C2D-9DBA-BF0539807F98}"/>
            </c:ext>
          </c:extLst>
        </c:ser>
        <c:ser>
          <c:idx val="1"/>
          <c:order val="1"/>
          <c:tx>
            <c:strRef>
              <c:f>'Summary Tables 2024'!$AD$11</c:f>
              <c:strCache>
                <c:ptCount val="1"/>
                <c:pt idx="0">
                  <c:v>With DaIMA</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strRef>
              <c:f>'Summary Tables 2024'!$AB$12:$AB$37</c:f>
              <c:strCache>
                <c:ptCount val="21"/>
                <c:pt idx="0">
                  <c:v>Year 0</c:v>
                </c:pt>
                <c:pt idx="1">
                  <c:v>Year 1</c:v>
                </c:pt>
                <c:pt idx="2">
                  <c:v>Year 2</c:v>
                </c:pt>
                <c:pt idx="3">
                  <c:v>Year 3</c:v>
                </c:pt>
                <c:pt idx="4">
                  <c:v>Year 4</c:v>
                </c:pt>
                <c:pt idx="5">
                  <c:v>Year 5</c:v>
                </c:pt>
                <c:pt idx="6">
                  <c:v>Year 6</c:v>
                </c:pt>
                <c:pt idx="7">
                  <c:v>Year 7</c:v>
                </c:pt>
                <c:pt idx="8">
                  <c:v>Year 8</c:v>
                </c:pt>
                <c:pt idx="9">
                  <c:v>Year 9</c:v>
                </c:pt>
                <c:pt idx="10">
                  <c:v>Year 10</c:v>
                </c:pt>
                <c:pt idx="11">
                  <c:v>Year 11</c:v>
                </c:pt>
                <c:pt idx="12">
                  <c:v>Year 12</c:v>
                </c:pt>
                <c:pt idx="13">
                  <c:v>Year 13</c:v>
                </c:pt>
                <c:pt idx="14">
                  <c:v>Year 14</c:v>
                </c:pt>
                <c:pt idx="15">
                  <c:v>Year 15</c:v>
                </c:pt>
                <c:pt idx="16">
                  <c:v>Year 16</c:v>
                </c:pt>
                <c:pt idx="17">
                  <c:v>Year 17</c:v>
                </c:pt>
                <c:pt idx="18">
                  <c:v>Year 18</c:v>
                </c:pt>
                <c:pt idx="19">
                  <c:v>Year 19</c:v>
                </c:pt>
                <c:pt idx="20">
                  <c:v>Year 20</c:v>
                </c:pt>
              </c:strCache>
            </c:strRef>
          </c:xVal>
          <c:yVal>
            <c:numRef>
              <c:f>'Summary Tables 2024'!$AD$12:$AD$37</c:f>
              <c:numCache>
                <c:formatCode>_(* #,##0_);_(* \(#,##0\);_(* "-"??_);_(@_)</c:formatCode>
                <c:ptCount val="26"/>
                <c:pt idx="0" formatCode="_-* #,##0_-;\-* #,##0_-;_-* &quot;-&quot;??_-;_-@_-">
                  <c:v>1113254.7657899999</c:v>
                </c:pt>
                <c:pt idx="1">
                  <c:v>1124355.3841644998</c:v>
                </c:pt>
                <c:pt idx="2">
                  <c:v>1135456.0025389998</c:v>
                </c:pt>
                <c:pt idx="3">
                  <c:v>1146556.6209134997</c:v>
                </c:pt>
                <c:pt idx="4">
                  <c:v>1157657.2392879997</c:v>
                </c:pt>
                <c:pt idx="5">
                  <c:v>1168757.8576624996</c:v>
                </c:pt>
                <c:pt idx="6">
                  <c:v>1179858.4760369996</c:v>
                </c:pt>
                <c:pt idx="7">
                  <c:v>1190959.0944114996</c:v>
                </c:pt>
                <c:pt idx="8">
                  <c:v>1202059.7127859995</c:v>
                </c:pt>
                <c:pt idx="9">
                  <c:v>1213160.3311604995</c:v>
                </c:pt>
                <c:pt idx="10">
                  <c:v>1224260.9495349994</c:v>
                </c:pt>
                <c:pt idx="11">
                  <c:v>1235361.5679094994</c:v>
                </c:pt>
                <c:pt idx="12">
                  <c:v>1246462.1862839994</c:v>
                </c:pt>
                <c:pt idx="13">
                  <c:v>1257562.8046584993</c:v>
                </c:pt>
                <c:pt idx="14">
                  <c:v>1268663.4230329993</c:v>
                </c:pt>
                <c:pt idx="15">
                  <c:v>1279764.0414074992</c:v>
                </c:pt>
                <c:pt idx="16">
                  <c:v>1290864.6597819992</c:v>
                </c:pt>
                <c:pt idx="17">
                  <c:v>1301965.2781564991</c:v>
                </c:pt>
                <c:pt idx="18">
                  <c:v>1313065.8965309991</c:v>
                </c:pt>
                <c:pt idx="19">
                  <c:v>1324166.5149054991</c:v>
                </c:pt>
                <c:pt idx="20">
                  <c:v>1335267.133279999</c:v>
                </c:pt>
              </c:numCache>
            </c:numRef>
          </c:yVal>
          <c:smooth val="0"/>
          <c:extLst>
            <c:ext xmlns:c16="http://schemas.microsoft.com/office/drawing/2014/chart" uri="{C3380CC4-5D6E-409C-BE32-E72D297353CC}">
              <c16:uniqueId val="{00000001-A9E7-4C2D-9DBA-BF0539807F98}"/>
            </c:ext>
          </c:extLst>
        </c:ser>
        <c:dLbls>
          <c:showLegendKey val="0"/>
          <c:showVal val="0"/>
          <c:showCatName val="0"/>
          <c:showSerName val="0"/>
          <c:showPercent val="0"/>
          <c:showBubbleSize val="0"/>
        </c:dLbls>
        <c:axId val="1435477968"/>
        <c:axId val="1227806896"/>
      </c:scatterChart>
      <c:valAx>
        <c:axId val="1435477968"/>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7806896"/>
        <c:crosses val="autoZero"/>
        <c:crossBetween val="midCat"/>
      </c:valAx>
      <c:valAx>
        <c:axId val="1227806896"/>
        <c:scaling>
          <c:orientation val="minMax"/>
          <c:min val="100000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47796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'Summary Tables'!$E$42</c:f>
              <c:strCache>
                <c:ptCount val="1"/>
                <c:pt idx="0">
                  <c:v>With DaIMA</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66B-4FD3-BDB5-13FA7B96688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66B-4FD3-BDB5-13FA7B96688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66B-4FD3-BDB5-13FA7B96688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66B-4FD3-BDB5-13FA7B96688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E66B-4FD3-BDB5-13FA7B96688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E66B-4FD3-BDB5-13FA7B96688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Tables'!$A$43:$A$48</c:f>
              <c:strCache>
                <c:ptCount val="6"/>
                <c:pt idx="0">
                  <c:v>CH4 from enteric fermentation</c:v>
                </c:pt>
                <c:pt idx="1">
                  <c:v>CH4 from manure management</c:v>
                </c:pt>
                <c:pt idx="2">
                  <c:v>N2O from feed production</c:v>
                </c:pt>
                <c:pt idx="3">
                  <c:v>N2O from manure management</c:v>
                </c:pt>
                <c:pt idx="4">
                  <c:v>CO2 from energy use</c:v>
                </c:pt>
                <c:pt idx="5">
                  <c:v>CO2 and nitrous oxide from feed </c:v>
                </c:pt>
              </c:strCache>
            </c:strRef>
          </c:cat>
          <c:val>
            <c:numRef>
              <c:f>'Summary Tables'!$E$43:$E$48</c:f>
              <c:numCache>
                <c:formatCode>0%</c:formatCode>
                <c:ptCount val="6"/>
                <c:pt idx="0">
                  <c:v>0.86682042045042862</c:v>
                </c:pt>
                <c:pt idx="1">
                  <c:v>3.6450722415255613E-2</c:v>
                </c:pt>
                <c:pt idx="2" formatCode="0.0000%">
                  <c:v>8.3139110300845692E-6</c:v>
                </c:pt>
                <c:pt idx="3">
                  <c:v>5.4246097667678482E-2</c:v>
                </c:pt>
                <c:pt idx="4" formatCode="0.0%">
                  <c:v>1.9733102217998708E-2</c:v>
                </c:pt>
                <c:pt idx="5" formatCode="0.0%">
                  <c:v>2.2741343337608556E-2</c:v>
                </c:pt>
              </c:numCache>
            </c:numRef>
          </c:val>
          <c:extLst>
            <c:ext xmlns:c16="http://schemas.microsoft.com/office/drawing/2014/chart" uri="{C3380CC4-5D6E-409C-BE32-E72D297353CC}">
              <c16:uniqueId val="{00000000-74F4-408F-8F70-DB3BA06B87D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Total feed intake (t DM/year)</a:t>
            </a:r>
            <a:r>
              <a:rPr lang="en-US" sz="1400" b="0" i="0" u="none" strike="noStrike"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Tables'!$O$59:$P$59</c:f>
              <c:strCache>
                <c:ptCount val="2"/>
                <c:pt idx="0">
                  <c:v>WOP</c:v>
                </c:pt>
                <c:pt idx="1">
                  <c:v>With DaIMA</c:v>
                </c:pt>
              </c:strCache>
            </c:strRef>
          </c:cat>
          <c:val>
            <c:numRef>
              <c:f>'Summary Tables'!$O$60:$P$60</c:f>
              <c:numCache>
                <c:formatCode>_(* #,##0_);_(* \(#,##0\);_(* "-"??_);_(@_)</c:formatCode>
                <c:ptCount val="2"/>
                <c:pt idx="0">
                  <c:v>4455117.6012499994</c:v>
                </c:pt>
                <c:pt idx="1">
                  <c:v>5106445.6018099999</c:v>
                </c:pt>
              </c:numCache>
            </c:numRef>
          </c:val>
          <c:extLst>
            <c:ext xmlns:c16="http://schemas.microsoft.com/office/drawing/2014/chart" uri="{C3380CC4-5D6E-409C-BE32-E72D297353CC}">
              <c16:uniqueId val="{00000000-F26D-4DBE-A407-6404711E4F15}"/>
            </c:ext>
          </c:extLst>
        </c:ser>
        <c:dLbls>
          <c:showLegendKey val="0"/>
          <c:showVal val="0"/>
          <c:showCatName val="0"/>
          <c:showSerName val="0"/>
          <c:showPercent val="0"/>
          <c:showBubbleSize val="0"/>
        </c:dLbls>
        <c:gapWidth val="219"/>
        <c:overlap val="-27"/>
        <c:axId val="1808105520"/>
        <c:axId val="742035488"/>
      </c:barChart>
      <c:catAx>
        <c:axId val="1808105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2035488"/>
        <c:crosses val="autoZero"/>
        <c:auto val="1"/>
        <c:lblAlgn val="ctr"/>
        <c:lblOffset val="100"/>
        <c:noMultiLvlLbl val="0"/>
      </c:catAx>
      <c:valAx>
        <c:axId val="742035488"/>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0810552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Total milk production (t milk/year)</a:t>
            </a:r>
            <a:r>
              <a:rPr lang="en-US" sz="1400" b="0" i="0" u="none" strike="noStrike"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Tables'!$O$40:$P$40</c:f>
              <c:strCache>
                <c:ptCount val="2"/>
                <c:pt idx="0">
                  <c:v>WOP</c:v>
                </c:pt>
                <c:pt idx="1">
                  <c:v>With DaIMA</c:v>
                </c:pt>
              </c:strCache>
            </c:strRef>
          </c:cat>
          <c:val>
            <c:numRef>
              <c:f>'Summary Tables'!$O$41:$P$41</c:f>
              <c:numCache>
                <c:formatCode>_-* #,##0_-;\-* #,##0_-;_-* "-"??_-;_-@_-</c:formatCode>
                <c:ptCount val="2"/>
                <c:pt idx="0">
                  <c:v>1530312.01039</c:v>
                </c:pt>
                <c:pt idx="1">
                  <c:v>2343550.6110799997</c:v>
                </c:pt>
              </c:numCache>
            </c:numRef>
          </c:val>
          <c:extLst>
            <c:ext xmlns:c16="http://schemas.microsoft.com/office/drawing/2014/chart" uri="{C3380CC4-5D6E-409C-BE32-E72D297353CC}">
              <c16:uniqueId val="{00000000-5C5A-41E6-8942-FB4A33763E34}"/>
            </c:ext>
          </c:extLst>
        </c:ser>
        <c:dLbls>
          <c:showLegendKey val="0"/>
          <c:showVal val="0"/>
          <c:showCatName val="0"/>
          <c:showSerName val="0"/>
          <c:showPercent val="0"/>
          <c:showBubbleSize val="0"/>
        </c:dLbls>
        <c:gapWidth val="219"/>
        <c:overlap val="-27"/>
        <c:axId val="784027792"/>
        <c:axId val="742087568"/>
      </c:barChart>
      <c:catAx>
        <c:axId val="784027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2087568"/>
        <c:crosses val="autoZero"/>
        <c:auto val="1"/>
        <c:lblAlgn val="ctr"/>
        <c:lblOffset val="100"/>
        <c:noMultiLvlLbl val="0"/>
      </c:catAx>
      <c:valAx>
        <c:axId val="742087568"/>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4027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Emissions intensity milk (kg CO2eq/kg milk)</a:t>
            </a:r>
            <a:r>
              <a:rPr lang="en-US" sz="1400" b="0" i="0" u="none" strike="noStrike"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Tables'!$O$21:$P$21</c:f>
              <c:strCache>
                <c:ptCount val="2"/>
                <c:pt idx="0">
                  <c:v>WOP</c:v>
                </c:pt>
                <c:pt idx="1">
                  <c:v>With DaIMA</c:v>
                </c:pt>
              </c:strCache>
            </c:strRef>
          </c:cat>
          <c:val>
            <c:numRef>
              <c:f>'Summary Tables'!$O$22:$P$22</c:f>
              <c:numCache>
                <c:formatCode>#,##0.00</c:formatCode>
                <c:ptCount val="2"/>
                <c:pt idx="0">
                  <c:v>1.9805560726322626</c:v>
                </c:pt>
                <c:pt idx="1">
                  <c:v>1.4728831366433714</c:v>
                </c:pt>
              </c:numCache>
            </c:numRef>
          </c:val>
          <c:extLst>
            <c:ext xmlns:c16="http://schemas.microsoft.com/office/drawing/2014/chart" uri="{C3380CC4-5D6E-409C-BE32-E72D297353CC}">
              <c16:uniqueId val="{00000000-0CFC-455A-9564-35F46EE3EAB4}"/>
            </c:ext>
          </c:extLst>
        </c:ser>
        <c:dLbls>
          <c:showLegendKey val="0"/>
          <c:showVal val="0"/>
          <c:showCatName val="0"/>
          <c:showSerName val="0"/>
          <c:showPercent val="0"/>
          <c:showBubbleSize val="0"/>
        </c:dLbls>
        <c:gapWidth val="219"/>
        <c:overlap val="-27"/>
        <c:axId val="742919088"/>
        <c:axId val="724061360"/>
      </c:barChart>
      <c:catAx>
        <c:axId val="742919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4061360"/>
        <c:crosses val="autoZero"/>
        <c:auto val="1"/>
        <c:lblAlgn val="ctr"/>
        <c:lblOffset val="100"/>
        <c:noMultiLvlLbl val="0"/>
      </c:catAx>
      <c:valAx>
        <c:axId val="72406136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29190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Total emissions (t CO2eq/year)</a:t>
            </a:r>
            <a:r>
              <a:rPr lang="en-US" sz="1400" b="0" i="0" u="none" strike="noStrike"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Tables'!$O$3:$P$3</c:f>
              <c:strCache>
                <c:ptCount val="2"/>
                <c:pt idx="0">
                  <c:v>WOP</c:v>
                </c:pt>
                <c:pt idx="1">
                  <c:v>With DaIMA</c:v>
                </c:pt>
              </c:strCache>
            </c:strRef>
          </c:cat>
          <c:val>
            <c:numRef>
              <c:f>'Summary Tables'!$O$4:$P$4</c:f>
              <c:numCache>
                <c:formatCode>_(* #,##0_);_(* \(#,##0\);_(* "-"??_);_(@_)</c:formatCode>
                <c:ptCount val="2"/>
                <c:pt idx="0">
                  <c:v>3030868.7452000002</c:v>
                </c:pt>
                <c:pt idx="1">
                  <c:v>3451776.1749300002</c:v>
                </c:pt>
              </c:numCache>
            </c:numRef>
          </c:val>
          <c:extLst>
            <c:ext xmlns:c16="http://schemas.microsoft.com/office/drawing/2014/chart" uri="{C3380CC4-5D6E-409C-BE32-E72D297353CC}">
              <c16:uniqueId val="{00000000-0237-4788-8E4E-D46F6A591DAF}"/>
            </c:ext>
          </c:extLst>
        </c:ser>
        <c:dLbls>
          <c:showLegendKey val="0"/>
          <c:showVal val="0"/>
          <c:showCatName val="0"/>
          <c:showSerName val="0"/>
          <c:showPercent val="0"/>
          <c:showBubbleSize val="0"/>
        </c:dLbls>
        <c:gapWidth val="219"/>
        <c:overlap val="-27"/>
        <c:axId val="515208304"/>
        <c:axId val="724062352"/>
      </c:barChart>
      <c:catAx>
        <c:axId val="515208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4062352"/>
        <c:crosses val="autoZero"/>
        <c:auto val="1"/>
        <c:lblAlgn val="ctr"/>
        <c:lblOffset val="100"/>
        <c:noMultiLvlLbl val="0"/>
      </c:catAx>
      <c:valAx>
        <c:axId val="724062352"/>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2083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'Summary Tables 2024'!$H$42</c:f>
              <c:strCache>
                <c:ptCount val="1"/>
                <c:pt idx="0">
                  <c:v>WOP</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46B-4E90-8DFA-41D78F8E4A0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46B-4E90-8DFA-41D78F8E4A0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46B-4E90-8DFA-41D78F8E4A0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46B-4E90-8DFA-41D78F8E4A0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A46B-4E90-8DFA-41D78F8E4A0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A46B-4E90-8DFA-41D78F8E4A06}"/>
              </c:ext>
            </c:extLst>
          </c:dPt>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 2024'!$A$43:$A$48</c:f>
              <c:strCache>
                <c:ptCount val="6"/>
                <c:pt idx="0">
                  <c:v>CH4 from enteric fermentation</c:v>
                </c:pt>
                <c:pt idx="1">
                  <c:v>CH4 from manure management</c:v>
                </c:pt>
                <c:pt idx="2">
                  <c:v>N2O from feed production</c:v>
                </c:pt>
                <c:pt idx="3">
                  <c:v>N2O from manure management</c:v>
                </c:pt>
                <c:pt idx="4">
                  <c:v>CO2 from energy use</c:v>
                </c:pt>
                <c:pt idx="5">
                  <c:v>CO2 from feed production</c:v>
                </c:pt>
              </c:strCache>
            </c:strRef>
          </c:cat>
          <c:val>
            <c:numRef>
              <c:f>'Summary Tables 2024'!$H$43:$H$48</c:f>
              <c:numCache>
                <c:formatCode>0.0%</c:formatCode>
                <c:ptCount val="6"/>
                <c:pt idx="0">
                  <c:v>0.86475997746233957</c:v>
                </c:pt>
                <c:pt idx="1">
                  <c:v>5.5837702759195439E-2</c:v>
                </c:pt>
                <c:pt idx="2" formatCode="0.000%">
                  <c:v>9.1702499850667439E-6</c:v>
                </c:pt>
                <c:pt idx="3">
                  <c:v>5.7444176289370687E-2</c:v>
                </c:pt>
                <c:pt idx="4">
                  <c:v>3.2106070633607813E-3</c:v>
                </c:pt>
                <c:pt idx="5">
                  <c:v>1.8738366175748457E-2</c:v>
                </c:pt>
              </c:numCache>
            </c:numRef>
          </c:val>
          <c:extLst>
            <c:ext xmlns:c16="http://schemas.microsoft.com/office/drawing/2014/chart" uri="{C3380CC4-5D6E-409C-BE32-E72D297353CC}">
              <c16:uniqueId val="{00000000-9615-438C-91A4-1491FDC043AE}"/>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'Summary Tables 2024'!$I$42</c:f>
              <c:strCache>
                <c:ptCount val="1"/>
                <c:pt idx="0">
                  <c:v>With DaIMA</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66D-4899-ADB0-23910C8076E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66D-4899-ADB0-23910C8076E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66D-4899-ADB0-23910C8076E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66D-4899-ADB0-23910C8076E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66D-4899-ADB0-23910C8076E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66D-4899-ADB0-23910C8076E2}"/>
              </c:ext>
            </c:extLst>
          </c:dPt>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 2024'!$A$43:$A$48</c:f>
              <c:strCache>
                <c:ptCount val="6"/>
                <c:pt idx="0">
                  <c:v>CH4 from enteric fermentation</c:v>
                </c:pt>
                <c:pt idx="1">
                  <c:v>CH4 from manure management</c:v>
                </c:pt>
                <c:pt idx="2">
                  <c:v>N2O from feed production</c:v>
                </c:pt>
                <c:pt idx="3">
                  <c:v>N2O from manure management</c:v>
                </c:pt>
                <c:pt idx="4">
                  <c:v>CO2 from energy use</c:v>
                </c:pt>
                <c:pt idx="5">
                  <c:v>CO2 from feed production</c:v>
                </c:pt>
              </c:strCache>
            </c:strRef>
          </c:cat>
          <c:val>
            <c:numRef>
              <c:f>'Summary Tables 2024'!$I$43:$I$48</c:f>
              <c:numCache>
                <c:formatCode>0.0%</c:formatCode>
                <c:ptCount val="6"/>
                <c:pt idx="0">
                  <c:v>0.86542111819839873</c:v>
                </c:pt>
                <c:pt idx="1">
                  <c:v>5.1997763207041796E-2</c:v>
                </c:pt>
                <c:pt idx="2" formatCode="0.000%">
                  <c:v>5.0500007334184113E-6</c:v>
                </c:pt>
                <c:pt idx="3">
                  <c:v>6.0203424269740229E-2</c:v>
                </c:pt>
                <c:pt idx="4">
                  <c:v>4.4159850153662385E-3</c:v>
                </c:pt>
                <c:pt idx="5">
                  <c:v>1.7956659308719591E-2</c:v>
                </c:pt>
              </c:numCache>
            </c:numRef>
          </c:val>
          <c:extLst>
            <c:ext xmlns:c16="http://schemas.microsoft.com/office/drawing/2014/chart" uri="{C3380CC4-5D6E-409C-BE32-E72D297353CC}">
              <c16:uniqueId val="{00000000-6796-405C-B216-6235F2A04880}"/>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Total emissions (t CO2eq/year)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 Tables 2024'!$V$3:$W$3</c:f>
              <c:strCache>
                <c:ptCount val="2"/>
                <c:pt idx="0">
                  <c:v>WOP</c:v>
                </c:pt>
                <c:pt idx="1">
                  <c:v>With DaIMA</c:v>
                </c:pt>
              </c:strCache>
            </c:strRef>
          </c:cat>
          <c:val>
            <c:numRef>
              <c:f>'Summary Tables 2024'!$V$4:$W$4</c:f>
              <c:numCache>
                <c:formatCode>_-* #,##0_-;\-* #,##0_-;_-* "-"??_-;_-@_-</c:formatCode>
                <c:ptCount val="2"/>
                <c:pt idx="0">
                  <c:v>1400984.7070599999</c:v>
                </c:pt>
                <c:pt idx="1">
                  <c:v>1335267.13328</c:v>
                </c:pt>
              </c:numCache>
            </c:numRef>
          </c:val>
          <c:extLst>
            <c:ext xmlns:c16="http://schemas.microsoft.com/office/drawing/2014/chart" uri="{C3380CC4-5D6E-409C-BE32-E72D297353CC}">
              <c16:uniqueId val="{00000000-CBA2-4A21-A8EF-44F96BA079FE}"/>
            </c:ext>
          </c:extLst>
        </c:ser>
        <c:dLbls>
          <c:showLegendKey val="0"/>
          <c:showVal val="0"/>
          <c:showCatName val="0"/>
          <c:showSerName val="0"/>
          <c:showPercent val="0"/>
          <c:showBubbleSize val="0"/>
        </c:dLbls>
        <c:gapWidth val="219"/>
        <c:overlap val="-27"/>
        <c:axId val="1038884271"/>
        <c:axId val="1385783488"/>
      </c:barChart>
      <c:catAx>
        <c:axId val="10388842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385783488"/>
        <c:crosses val="autoZero"/>
        <c:auto val="1"/>
        <c:lblAlgn val="ctr"/>
        <c:lblOffset val="100"/>
        <c:noMultiLvlLbl val="0"/>
      </c:catAx>
      <c:valAx>
        <c:axId val="1385783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388842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7" Type="http://schemas.openxmlformats.org/officeDocument/2006/relationships/chart" Target="../charts/chart13.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274320</xdr:colOff>
      <xdr:row>28</xdr:row>
      <xdr:rowOff>45720</xdr:rowOff>
    </xdr:from>
    <xdr:to>
      <xdr:col>12</xdr:col>
      <xdr:colOff>488388</xdr:colOff>
      <xdr:row>55</xdr:row>
      <xdr:rowOff>136531</xdr:rowOff>
    </xdr:to>
    <xdr:pic>
      <xdr:nvPicPr>
        <xdr:cNvPr id="2" name="Image 1">
          <a:extLst>
            <a:ext uri="{FF2B5EF4-FFF2-40B4-BE49-F238E27FC236}">
              <a16:creationId xmlns:a16="http://schemas.microsoft.com/office/drawing/2014/main" id="{E8B2797C-AC83-75A9-6105-4DD18E38A756}"/>
            </a:ext>
          </a:extLst>
        </xdr:cNvPr>
        <xdr:cNvPicPr>
          <a:picLocks noChangeAspect="1"/>
        </xdr:cNvPicPr>
      </xdr:nvPicPr>
      <xdr:blipFill>
        <a:blip xmlns:r="http://schemas.openxmlformats.org/officeDocument/2006/relationships" r:embed="rId1"/>
        <a:stretch>
          <a:fillRect/>
        </a:stretch>
      </xdr:blipFill>
      <xdr:spPr>
        <a:xfrm>
          <a:off x="3291840" y="5166360"/>
          <a:ext cx="9571428" cy="50285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2876550</xdr:colOff>
      <xdr:row>49</xdr:row>
      <xdr:rowOff>67627</xdr:rowOff>
    </xdr:from>
    <xdr:to>
      <xdr:col>5</xdr:col>
      <xdr:colOff>323850</xdr:colOff>
      <xdr:row>64</xdr:row>
      <xdr:rowOff>103822</xdr:rowOff>
    </xdr:to>
    <xdr:graphicFrame macro="">
      <xdr:nvGraphicFramePr>
        <xdr:cNvPr id="8" name="Chart 7">
          <a:extLst>
            <a:ext uri="{FF2B5EF4-FFF2-40B4-BE49-F238E27FC236}">
              <a16:creationId xmlns:a16="http://schemas.microsoft.com/office/drawing/2014/main" id="{B2D33983-6416-BC5C-37DE-47A30D65C29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333375</xdr:colOff>
      <xdr:row>49</xdr:row>
      <xdr:rowOff>58102</xdr:rowOff>
    </xdr:from>
    <xdr:to>
      <xdr:col>10</xdr:col>
      <xdr:colOff>542925</xdr:colOff>
      <xdr:row>64</xdr:row>
      <xdr:rowOff>94297</xdr:rowOff>
    </xdr:to>
    <xdr:graphicFrame macro="">
      <xdr:nvGraphicFramePr>
        <xdr:cNvPr id="9" name="Chart 8">
          <a:extLst>
            <a:ext uri="{FF2B5EF4-FFF2-40B4-BE49-F238E27FC236}">
              <a16:creationId xmlns:a16="http://schemas.microsoft.com/office/drawing/2014/main" id="{7270FBCA-234F-E069-60EF-4714BBFE281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592456</xdr:colOff>
      <xdr:row>60</xdr:row>
      <xdr:rowOff>142874</xdr:rowOff>
    </xdr:from>
    <xdr:to>
      <xdr:col>18</xdr:col>
      <xdr:colOff>163831</xdr:colOff>
      <xdr:row>75</xdr:row>
      <xdr:rowOff>47625</xdr:rowOff>
    </xdr:to>
    <xdr:graphicFrame macro="">
      <xdr:nvGraphicFramePr>
        <xdr:cNvPr id="10" name="Chart 9">
          <a:extLst>
            <a:ext uri="{FF2B5EF4-FFF2-40B4-BE49-F238E27FC236}">
              <a16:creationId xmlns:a16="http://schemas.microsoft.com/office/drawing/2014/main" id="{157DBB15-5491-EBB8-5E90-EDC9D0FF837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457200</xdr:colOff>
      <xdr:row>41</xdr:row>
      <xdr:rowOff>125730</xdr:rowOff>
    </xdr:from>
    <xdr:to>
      <xdr:col>17</xdr:col>
      <xdr:colOff>561976</xdr:colOff>
      <xdr:row>54</xdr:row>
      <xdr:rowOff>86677</xdr:rowOff>
    </xdr:to>
    <xdr:graphicFrame macro="">
      <xdr:nvGraphicFramePr>
        <xdr:cNvPr id="11" name="Chart 10">
          <a:extLst>
            <a:ext uri="{FF2B5EF4-FFF2-40B4-BE49-F238E27FC236}">
              <a16:creationId xmlns:a16="http://schemas.microsoft.com/office/drawing/2014/main" id="{FA34E3F6-932D-FA04-4B88-34AFF5150A4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81915</xdr:colOff>
      <xdr:row>23</xdr:row>
      <xdr:rowOff>0</xdr:rowOff>
    </xdr:from>
    <xdr:to>
      <xdr:col>18</xdr:col>
      <xdr:colOff>344805</xdr:colOff>
      <xdr:row>36</xdr:row>
      <xdr:rowOff>0</xdr:rowOff>
    </xdr:to>
    <xdr:graphicFrame macro="">
      <xdr:nvGraphicFramePr>
        <xdr:cNvPr id="12" name="Chart 11">
          <a:extLst>
            <a:ext uri="{FF2B5EF4-FFF2-40B4-BE49-F238E27FC236}">
              <a16:creationId xmlns:a16="http://schemas.microsoft.com/office/drawing/2014/main" id="{EF9411EB-E87F-C4CB-BB1D-E611D4AF57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379095</xdr:colOff>
      <xdr:row>4</xdr:row>
      <xdr:rowOff>77152</xdr:rowOff>
    </xdr:from>
    <xdr:to>
      <xdr:col>18</xdr:col>
      <xdr:colOff>398145</xdr:colOff>
      <xdr:row>17</xdr:row>
      <xdr:rowOff>9525</xdr:rowOff>
    </xdr:to>
    <xdr:graphicFrame macro="">
      <xdr:nvGraphicFramePr>
        <xdr:cNvPr id="13" name="Chart 12">
          <a:extLst>
            <a:ext uri="{FF2B5EF4-FFF2-40B4-BE49-F238E27FC236}">
              <a16:creationId xmlns:a16="http://schemas.microsoft.com/office/drawing/2014/main" id="{8ED66C7A-8BEC-AC83-6C57-999E935CC5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643890</xdr:colOff>
      <xdr:row>50</xdr:row>
      <xdr:rowOff>65722</xdr:rowOff>
    </xdr:from>
    <xdr:to>
      <xdr:col>12</xdr:col>
      <xdr:colOff>902971</xdr:colOff>
      <xdr:row>65</xdr:row>
      <xdr:rowOff>101917</xdr:rowOff>
    </xdr:to>
    <xdr:grpSp>
      <xdr:nvGrpSpPr>
        <xdr:cNvPr id="8" name="Groupe 7">
          <a:extLst>
            <a:ext uri="{FF2B5EF4-FFF2-40B4-BE49-F238E27FC236}">
              <a16:creationId xmlns:a16="http://schemas.microsoft.com/office/drawing/2014/main" id="{CA5A2C2A-B910-8751-4299-625B7FA9BBC9}"/>
            </a:ext>
          </a:extLst>
        </xdr:cNvPr>
        <xdr:cNvGrpSpPr/>
      </xdr:nvGrpSpPr>
      <xdr:grpSpPr>
        <a:xfrm>
          <a:off x="6473190" y="9123997"/>
          <a:ext cx="8536306" cy="2750820"/>
          <a:chOff x="6654165" y="9123997"/>
          <a:chExt cx="8783956" cy="2750820"/>
        </a:xfrm>
      </xdr:grpSpPr>
      <xdr:graphicFrame macro="">
        <xdr:nvGraphicFramePr>
          <xdr:cNvPr id="6" name="Chart 5">
            <a:extLst>
              <a:ext uri="{FF2B5EF4-FFF2-40B4-BE49-F238E27FC236}">
                <a16:creationId xmlns:a16="http://schemas.microsoft.com/office/drawing/2014/main" id="{FEA6751D-8277-C744-C552-4463847EFCAB}"/>
              </a:ext>
            </a:extLst>
          </xdr:cNvPr>
          <xdr:cNvGraphicFramePr/>
        </xdr:nvGraphicFramePr>
        <xdr:xfrm>
          <a:off x="6654165" y="9123997"/>
          <a:ext cx="4438650" cy="274701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7" name="Chart 6">
            <a:extLst>
              <a:ext uri="{FF2B5EF4-FFF2-40B4-BE49-F238E27FC236}">
                <a16:creationId xmlns:a16="http://schemas.microsoft.com/office/drawing/2014/main" id="{0A43073A-2556-CF88-6D64-958956C0A176}"/>
              </a:ext>
            </a:extLst>
          </xdr:cNvPr>
          <xdr:cNvGraphicFramePr/>
        </xdr:nvGraphicFramePr>
        <xdr:xfrm>
          <a:off x="11125201" y="9125902"/>
          <a:ext cx="4312920" cy="2748915"/>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15</xdr:col>
      <xdr:colOff>952500</xdr:colOff>
      <xdr:row>17</xdr:row>
      <xdr:rowOff>73342</xdr:rowOff>
    </xdr:from>
    <xdr:to>
      <xdr:col>23</xdr:col>
      <xdr:colOff>386716</xdr:colOff>
      <xdr:row>30</xdr:row>
      <xdr:rowOff>158116</xdr:rowOff>
    </xdr:to>
    <xdr:grpSp>
      <xdr:nvGrpSpPr>
        <xdr:cNvPr id="10" name="Groupe 9">
          <a:extLst>
            <a:ext uri="{FF2B5EF4-FFF2-40B4-BE49-F238E27FC236}">
              <a16:creationId xmlns:a16="http://schemas.microsoft.com/office/drawing/2014/main" id="{F967C489-17AF-8003-A130-3AA5941E20E7}"/>
            </a:ext>
            <a:ext uri="{147F2762-F138-4A5C-976F-8EAC2B608ADB}">
              <a16:predDERef xmlns:a16="http://schemas.microsoft.com/office/drawing/2014/main" pred="{CA5A2C2A-B910-8751-4299-625B7FA9BBC9}"/>
            </a:ext>
          </a:extLst>
        </xdr:cNvPr>
        <xdr:cNvGrpSpPr/>
      </xdr:nvGrpSpPr>
      <xdr:grpSpPr>
        <a:xfrm>
          <a:off x="17716500" y="3159442"/>
          <a:ext cx="6730366" cy="2437449"/>
          <a:chOff x="22774275" y="825817"/>
          <a:chExt cx="6882766" cy="2437449"/>
        </a:xfrm>
      </xdr:grpSpPr>
      <xdr:graphicFrame macro="">
        <xdr:nvGraphicFramePr>
          <xdr:cNvPr id="9" name="Chart 8">
            <a:extLst>
              <a:ext uri="{FF2B5EF4-FFF2-40B4-BE49-F238E27FC236}">
                <a16:creationId xmlns:a16="http://schemas.microsoft.com/office/drawing/2014/main" id="{4BB47522-EF94-0F08-18DB-836759B3B464}"/>
              </a:ext>
            </a:extLst>
          </xdr:cNvPr>
          <xdr:cNvGraphicFramePr/>
        </xdr:nvGraphicFramePr>
        <xdr:xfrm>
          <a:off x="22774275" y="841058"/>
          <a:ext cx="3360420" cy="2422208"/>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2" name="Chart 1">
            <a:extLst>
              <a:ext uri="{FF2B5EF4-FFF2-40B4-BE49-F238E27FC236}">
                <a16:creationId xmlns:a16="http://schemas.microsoft.com/office/drawing/2014/main" id="{1E6E555C-E70F-400C-570C-6A5A73C9F76D}"/>
              </a:ext>
            </a:extLst>
          </xdr:cNvPr>
          <xdr:cNvGraphicFramePr/>
        </xdr:nvGraphicFramePr>
        <xdr:xfrm>
          <a:off x="26163270" y="825817"/>
          <a:ext cx="3493771" cy="2427923"/>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19</xdr:col>
      <xdr:colOff>405766</xdr:colOff>
      <xdr:row>40</xdr:row>
      <xdr:rowOff>65722</xdr:rowOff>
    </xdr:from>
    <xdr:to>
      <xdr:col>24</xdr:col>
      <xdr:colOff>219076</xdr:colOff>
      <xdr:row>55</xdr:row>
      <xdr:rowOff>101917</xdr:rowOff>
    </xdr:to>
    <xdr:graphicFrame macro="">
      <xdr:nvGraphicFramePr>
        <xdr:cNvPr id="3" name="Chart 2">
          <a:extLst>
            <a:ext uri="{FF2B5EF4-FFF2-40B4-BE49-F238E27FC236}">
              <a16:creationId xmlns:a16="http://schemas.microsoft.com/office/drawing/2014/main" id="{81B72E3E-87D9-FB3E-EA54-B5DDA2FB5B4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360044</xdr:colOff>
      <xdr:row>60</xdr:row>
      <xdr:rowOff>92392</xdr:rowOff>
    </xdr:from>
    <xdr:to>
      <xdr:col>24</xdr:col>
      <xdr:colOff>190499</xdr:colOff>
      <xdr:row>74</xdr:row>
      <xdr:rowOff>104775</xdr:rowOff>
    </xdr:to>
    <xdr:graphicFrame macro="">
      <xdr:nvGraphicFramePr>
        <xdr:cNvPr id="4" name="Chart 3">
          <a:extLst>
            <a:ext uri="{FF2B5EF4-FFF2-40B4-BE49-F238E27FC236}">
              <a16:creationId xmlns:a16="http://schemas.microsoft.com/office/drawing/2014/main" id="{17F46032-FC9A-A639-1883-725541C09FF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34</xdr:col>
      <xdr:colOff>205740</xdr:colOff>
      <xdr:row>0</xdr:row>
      <xdr:rowOff>-2858</xdr:rowOff>
    </xdr:from>
    <xdr:to>
      <xdr:col>41</xdr:col>
      <xdr:colOff>28575</xdr:colOff>
      <xdr:row>15</xdr:row>
      <xdr:rowOff>0</xdr:rowOff>
    </xdr:to>
    <xdr:graphicFrame macro="">
      <xdr:nvGraphicFramePr>
        <xdr:cNvPr id="5" name="Chart 4">
          <a:extLst>
            <a:ext uri="{FF2B5EF4-FFF2-40B4-BE49-F238E27FC236}">
              <a16:creationId xmlns:a16="http://schemas.microsoft.com/office/drawing/2014/main" id="{06DBCC1A-1894-C832-7B90-2CE15E2F6F21}"/>
            </a:ext>
            <a:ext uri="{147F2762-F138-4A5C-976F-8EAC2B608ADB}">
              <a16:predDERef xmlns:a16="http://schemas.microsoft.com/office/drawing/2014/main" pred="{17F46032-FC9A-A639-1883-725541C09FF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280707</xdr:colOff>
      <xdr:row>10</xdr:row>
      <xdr:rowOff>1676</xdr:rowOff>
    </xdr:to>
    <xdr:pic>
      <xdr:nvPicPr>
        <xdr:cNvPr id="2" name="Image 1">
          <a:extLst>
            <a:ext uri="{FF2B5EF4-FFF2-40B4-BE49-F238E27FC236}">
              <a16:creationId xmlns:a16="http://schemas.microsoft.com/office/drawing/2014/main" id="{0276770C-2577-5942-5108-6518B1446E15}"/>
            </a:ext>
          </a:extLst>
        </xdr:cNvPr>
        <xdr:cNvPicPr>
          <a:picLocks noChangeAspect="1"/>
        </xdr:cNvPicPr>
      </xdr:nvPicPr>
      <xdr:blipFill>
        <a:blip xmlns:r="http://schemas.openxmlformats.org/officeDocument/2006/relationships" r:embed="rId1"/>
        <a:stretch>
          <a:fillRect/>
        </a:stretch>
      </xdr:blipFill>
      <xdr:spPr>
        <a:xfrm>
          <a:off x="0" y="0"/>
          <a:ext cx="9866667" cy="182857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Rakotovao, Narindra (NSAP)" id="{5AAC8D27-6626-4F2D-A1E7-53E6B3CCBBA1}" userId="S::Narindra.Rakotovao@fao.org::c5649f76-c67e-4ce1-b939-c00d9fde436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14" dT="2024-07-09T09:45:48.50" personId="{5AAC8D27-6626-4F2D-A1E7-53E6B3CCBBA1}" id="{73D734DF-6798-4E31-A557-25D618A89955}">
    <text>118 to 121 milking days</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3F1DF-C81A-4FEC-8BD1-9380566A6502}">
  <sheetPr>
    <tabColor rgb="FFFFC000"/>
  </sheetPr>
  <dimension ref="A1:O60"/>
  <sheetViews>
    <sheetView zoomScale="130" zoomScaleNormal="130" workbookViewId="0">
      <pane xSplit="2" ySplit="2" topLeftCell="C3" activePane="bottomRight" state="frozen"/>
      <selection pane="bottomRight" activeCell="M14" sqref="M14"/>
      <selection pane="bottomLeft" activeCell="A3" sqref="A3"/>
      <selection pane="topRight" activeCell="C1" sqref="C1"/>
    </sheetView>
  </sheetViews>
  <sheetFormatPr defaultColWidth="11.42578125" defaultRowHeight="14.45"/>
  <cols>
    <col min="1" max="1" width="43.140625" bestFit="1" customWidth="1"/>
    <col min="2" max="2" width="8.7109375" customWidth="1"/>
    <col min="3" max="4" width="13.85546875" bestFit="1" customWidth="1"/>
    <col min="6" max="6" width="17.42578125" bestFit="1" customWidth="1"/>
    <col min="7" max="7" width="14.42578125" bestFit="1" customWidth="1"/>
    <col min="8" max="8" width="13" bestFit="1" customWidth="1"/>
  </cols>
  <sheetData>
    <row r="1" spans="1:15" s="4" customFormat="1">
      <c r="C1" s="241" t="s">
        <v>0</v>
      </c>
      <c r="D1" s="242"/>
      <c r="E1" s="243"/>
      <c r="F1" s="244" t="s">
        <v>1</v>
      </c>
      <c r="G1" s="245"/>
      <c r="H1" s="246"/>
      <c r="I1" s="241" t="s">
        <v>2</v>
      </c>
      <c r="J1" s="242"/>
      <c r="K1" s="243"/>
    </row>
    <row r="2" spans="1:15" s="144" customFormat="1" ht="28.9">
      <c r="A2" s="144" t="s">
        <v>3</v>
      </c>
      <c r="B2" s="4" t="s">
        <v>4</v>
      </c>
      <c r="C2" s="145" t="s">
        <v>5</v>
      </c>
      <c r="D2" s="146" t="s">
        <v>6</v>
      </c>
      <c r="E2" s="147" t="s">
        <v>7</v>
      </c>
      <c r="F2" s="145" t="s">
        <v>8</v>
      </c>
      <c r="G2" s="146" t="s">
        <v>9</v>
      </c>
      <c r="H2" s="147" t="s">
        <v>10</v>
      </c>
      <c r="I2" s="145" t="s">
        <v>11</v>
      </c>
      <c r="J2" s="146" t="s">
        <v>12</v>
      </c>
      <c r="K2" s="147" t="s">
        <v>13</v>
      </c>
    </row>
    <row r="3" spans="1:15">
      <c r="A3" t="s">
        <v>14</v>
      </c>
      <c r="B3" t="s">
        <v>15</v>
      </c>
      <c r="C3" s="170">
        <f>12+18+9</f>
        <v>39</v>
      </c>
      <c r="D3" s="171">
        <f t="shared" ref="D3:E3" si="0">12+18+9</f>
        <v>39</v>
      </c>
      <c r="E3" s="172">
        <f t="shared" si="0"/>
        <v>39</v>
      </c>
      <c r="F3" s="170">
        <f>12+24+9</f>
        <v>45</v>
      </c>
      <c r="G3" s="171">
        <f t="shared" ref="G3" si="1">12+24+9</f>
        <v>45</v>
      </c>
      <c r="H3" s="172">
        <v>40</v>
      </c>
      <c r="I3" s="170">
        <f>12+24+9</f>
        <v>45</v>
      </c>
      <c r="J3" s="171">
        <f t="shared" ref="J3" si="2">12+24+9</f>
        <v>45</v>
      </c>
      <c r="K3" s="172">
        <v>38</v>
      </c>
    </row>
    <row r="4" spans="1:15">
      <c r="A4" t="s">
        <v>16</v>
      </c>
      <c r="B4" t="s">
        <v>17</v>
      </c>
      <c r="C4" s="149">
        <v>4</v>
      </c>
      <c r="D4">
        <v>4</v>
      </c>
      <c r="E4" s="150">
        <v>3</v>
      </c>
      <c r="F4" s="149">
        <v>6</v>
      </c>
      <c r="G4">
        <v>6</v>
      </c>
      <c r="H4" s="150">
        <v>5</v>
      </c>
      <c r="I4" s="149">
        <v>6</v>
      </c>
      <c r="J4">
        <v>6</v>
      </c>
      <c r="K4" s="150">
        <v>5</v>
      </c>
    </row>
    <row r="5" spans="1:15">
      <c r="A5" t="s">
        <v>18</v>
      </c>
      <c r="B5" t="s">
        <v>17</v>
      </c>
      <c r="C5" s="149">
        <v>4</v>
      </c>
      <c r="D5">
        <v>4</v>
      </c>
      <c r="E5" s="150">
        <v>3</v>
      </c>
      <c r="F5" s="149">
        <v>6</v>
      </c>
      <c r="G5">
        <v>6</v>
      </c>
      <c r="H5" s="150">
        <v>5</v>
      </c>
      <c r="I5" s="149">
        <v>6</v>
      </c>
      <c r="J5">
        <v>6</v>
      </c>
      <c r="K5" s="150">
        <v>5</v>
      </c>
    </row>
    <row r="6" spans="1:15">
      <c r="A6" t="s">
        <v>19</v>
      </c>
      <c r="B6" t="s">
        <v>17</v>
      </c>
      <c r="C6" s="149">
        <v>4</v>
      </c>
      <c r="D6">
        <v>4</v>
      </c>
      <c r="E6" s="150">
        <v>3</v>
      </c>
      <c r="F6" s="149">
        <v>6</v>
      </c>
      <c r="G6">
        <v>6</v>
      </c>
      <c r="H6" s="150">
        <v>5</v>
      </c>
      <c r="I6" s="149">
        <v>6</v>
      </c>
      <c r="J6">
        <v>6</v>
      </c>
      <c r="K6" s="150">
        <v>5</v>
      </c>
    </row>
    <row r="7" spans="1:15">
      <c r="A7" t="s">
        <v>20</v>
      </c>
      <c r="B7" t="s">
        <v>17</v>
      </c>
      <c r="C7" s="149">
        <v>65</v>
      </c>
      <c r="D7">
        <v>65</v>
      </c>
      <c r="E7" s="150">
        <v>68</v>
      </c>
      <c r="F7" s="149">
        <v>55</v>
      </c>
      <c r="G7">
        <v>55</v>
      </c>
      <c r="H7" s="150">
        <v>57</v>
      </c>
      <c r="I7" s="149">
        <v>55</v>
      </c>
      <c r="J7">
        <v>55</v>
      </c>
      <c r="K7" s="150">
        <v>65</v>
      </c>
    </row>
    <row r="8" spans="1:15">
      <c r="A8" t="s">
        <v>21</v>
      </c>
      <c r="B8" t="s">
        <v>22</v>
      </c>
      <c r="C8" s="149">
        <v>250</v>
      </c>
      <c r="D8">
        <v>250</v>
      </c>
      <c r="E8" s="150">
        <v>276</v>
      </c>
      <c r="F8" s="149">
        <v>200</v>
      </c>
      <c r="G8">
        <v>200</v>
      </c>
      <c r="H8" s="150">
        <v>221</v>
      </c>
      <c r="I8" s="149">
        <v>200</v>
      </c>
      <c r="J8">
        <v>200</v>
      </c>
      <c r="K8" s="173">
        <v>252</v>
      </c>
      <c r="M8" s="123"/>
      <c r="N8" s="123"/>
      <c r="O8" s="123"/>
    </row>
    <row r="9" spans="1:15">
      <c r="A9" t="s">
        <v>23</v>
      </c>
      <c r="B9" t="s">
        <v>22</v>
      </c>
      <c r="C9" s="149">
        <v>350</v>
      </c>
      <c r="D9">
        <v>350</v>
      </c>
      <c r="E9" s="150">
        <v>386</v>
      </c>
      <c r="F9" s="149">
        <v>350</v>
      </c>
      <c r="G9">
        <v>350</v>
      </c>
      <c r="H9" s="150">
        <v>386</v>
      </c>
      <c r="I9" s="149">
        <v>350</v>
      </c>
      <c r="J9">
        <v>350</v>
      </c>
      <c r="K9" s="173">
        <v>386</v>
      </c>
      <c r="M9" s="123"/>
      <c r="N9" s="123"/>
      <c r="O9" s="123"/>
    </row>
    <row r="10" spans="1:15">
      <c r="A10" t="s">
        <v>24</v>
      </c>
      <c r="B10" t="s">
        <v>22</v>
      </c>
      <c r="C10" s="149">
        <v>146</v>
      </c>
      <c r="D10">
        <v>146</v>
      </c>
      <c r="E10" s="150">
        <v>161</v>
      </c>
      <c r="F10" s="149">
        <v>146</v>
      </c>
      <c r="G10">
        <v>146</v>
      </c>
      <c r="H10" s="150">
        <v>161</v>
      </c>
      <c r="I10" s="149">
        <v>146</v>
      </c>
      <c r="J10">
        <v>146</v>
      </c>
      <c r="K10" s="173">
        <v>184</v>
      </c>
      <c r="M10" s="123"/>
      <c r="N10" s="123"/>
      <c r="O10" s="123"/>
    </row>
    <row r="11" spans="1:15">
      <c r="A11" t="s">
        <v>25</v>
      </c>
      <c r="B11" t="s">
        <v>22</v>
      </c>
      <c r="C11" s="149">
        <v>263</v>
      </c>
      <c r="D11">
        <v>263</v>
      </c>
      <c r="E11" s="150">
        <v>290</v>
      </c>
      <c r="F11" s="149">
        <v>263</v>
      </c>
      <c r="G11">
        <v>263</v>
      </c>
      <c r="H11" s="150">
        <v>290</v>
      </c>
      <c r="I11" s="149">
        <v>263</v>
      </c>
      <c r="J11">
        <v>263</v>
      </c>
      <c r="K11" s="173">
        <v>290</v>
      </c>
      <c r="M11" s="123"/>
      <c r="N11" s="123"/>
      <c r="O11" s="123"/>
    </row>
    <row r="12" spans="1:15">
      <c r="A12" t="s">
        <v>26</v>
      </c>
      <c r="B12" t="s">
        <v>17</v>
      </c>
      <c r="C12" s="149">
        <v>4</v>
      </c>
      <c r="D12">
        <v>4</v>
      </c>
      <c r="E12" s="150">
        <v>4</v>
      </c>
      <c r="F12" s="149">
        <v>4</v>
      </c>
      <c r="G12">
        <v>4</v>
      </c>
      <c r="H12" s="150">
        <v>4</v>
      </c>
      <c r="I12" s="149">
        <v>4</v>
      </c>
      <c r="J12">
        <v>4</v>
      </c>
      <c r="K12" s="150">
        <v>4</v>
      </c>
    </row>
    <row r="13" spans="1:15">
      <c r="A13" t="s">
        <v>27</v>
      </c>
      <c r="B13" t="s">
        <v>17</v>
      </c>
      <c r="C13" s="149">
        <v>3.5</v>
      </c>
      <c r="D13">
        <v>3.5</v>
      </c>
      <c r="E13" s="150">
        <v>3.5</v>
      </c>
      <c r="F13" s="149">
        <v>3.5</v>
      </c>
      <c r="G13">
        <v>3.5</v>
      </c>
      <c r="H13" s="150">
        <v>3.5</v>
      </c>
      <c r="I13" s="149">
        <v>3.5</v>
      </c>
      <c r="J13">
        <v>3.5</v>
      </c>
      <c r="K13" s="150">
        <v>3.5</v>
      </c>
    </row>
    <row r="14" spans="1:15">
      <c r="A14" t="s">
        <v>28</v>
      </c>
      <c r="B14" t="s">
        <v>22</v>
      </c>
      <c r="C14" s="149">
        <f>7*275</f>
        <v>1925</v>
      </c>
      <c r="D14">
        <v>1925</v>
      </c>
      <c r="E14" s="150">
        <f>9.1*275</f>
        <v>2502.5</v>
      </c>
      <c r="F14" s="149">
        <f>3*105</f>
        <v>315</v>
      </c>
      <c r="G14">
        <v>315</v>
      </c>
      <c r="H14" s="151">
        <f>3.8*121</f>
        <v>459.79999999999995</v>
      </c>
      <c r="I14" s="149">
        <f>3.8*180</f>
        <v>684</v>
      </c>
      <c r="J14" s="149">
        <f>3.8*180</f>
        <v>684</v>
      </c>
      <c r="K14" s="184">
        <f>5.2*195</f>
        <v>1014</v>
      </c>
      <c r="L14" s="29"/>
      <c r="M14" s="123"/>
      <c r="N14" s="123"/>
      <c r="O14" s="123"/>
    </row>
    <row r="15" spans="1:15">
      <c r="A15" t="s">
        <v>29</v>
      </c>
      <c r="B15" t="s">
        <v>30</v>
      </c>
      <c r="C15" s="174">
        <f>'system categorization'!G16*'HH &amp; Animal Numbers'!Z41</f>
        <v>18451.409187846846</v>
      </c>
      <c r="D15" s="96">
        <f>'system categorization'!V17*'HH &amp; Animal Numbers'!Z41</f>
        <v>25560.031549732659</v>
      </c>
      <c r="E15" s="175">
        <f>'system categorization'!V18*'HH &amp; Animal Numbers'!Z41</f>
        <v>23319.548270799685</v>
      </c>
      <c r="F15" s="176">
        <f>'system categorization'!G20*'HH &amp; Animal Numbers'!Z27</f>
        <v>246828.72803416461</v>
      </c>
      <c r="G15" s="96">
        <f>'system categorization'!V21*'HH &amp; Animal Numbers'!Z27</f>
        <v>308456.92981516913</v>
      </c>
      <c r="H15" s="175">
        <f>'system categorization'!V22*'HH &amp; Animal Numbers'!Z27</f>
        <v>299883.3902480118</v>
      </c>
      <c r="I15" s="176">
        <f>'system categorization'!G24*'HH &amp; Animal Numbers'!Z27</f>
        <v>21463.13245905835</v>
      </c>
      <c r="J15" s="96">
        <f>'system categorization'!V25*'HH &amp; Animal Numbers'!Z27</f>
        <v>26822.047803208203</v>
      </c>
      <c r="K15" s="175">
        <f>'system categorization'!V26*'HH &amp; Animal Numbers'!Z27</f>
        <v>26671.347684653374</v>
      </c>
      <c r="L15" s="29"/>
    </row>
    <row r="16" spans="1:15">
      <c r="A16" t="s">
        <v>31</v>
      </c>
      <c r="B16" t="s">
        <v>30</v>
      </c>
      <c r="C16" s="174">
        <f>'system categorization'!G16*'HH &amp; Animal Numbers'!AA41</f>
        <v>3469.482338867876</v>
      </c>
      <c r="D16" s="96">
        <f>'system categorization'!V17*'HH &amp; Animal Numbers'!AA41</f>
        <v>4806.1412079632892</v>
      </c>
      <c r="E16" s="175">
        <f>'system categorization'!V18*'HH &amp; Animal Numbers'!AA41</f>
        <v>4384.8553816261492</v>
      </c>
      <c r="F16" s="176">
        <f>'system categorization'!G20*'HH &amp; Animal Numbers'!AA27</f>
        <v>83205.434723972125</v>
      </c>
      <c r="G16" s="96">
        <f>'system categorization'!V21*'HH &amp; Animal Numbers'!AA27</f>
        <v>103980.16933969072</v>
      </c>
      <c r="H16" s="175">
        <f>'system categorization'!V22*'HH &amp; Animal Numbers'!AA27</f>
        <v>101090.04754353674</v>
      </c>
      <c r="I16" s="176">
        <f>'system categorization'!G24*'HH &amp; Animal Numbers'!AA27</f>
        <v>7235.1759092926968</v>
      </c>
      <c r="J16" s="96">
        <f>'system categorization'!V25*'HH &amp; Animal Numbers'!AA27</f>
        <v>9041.6547758743673</v>
      </c>
      <c r="K16" s="175">
        <f>'system categorization'!V26*'HH &amp; Animal Numbers'!AA27</f>
        <v>8990.8540891910361</v>
      </c>
      <c r="L16" s="29"/>
    </row>
    <row r="17" spans="1:15">
      <c r="A17" t="s">
        <v>32</v>
      </c>
      <c r="B17" t="s">
        <v>17</v>
      </c>
      <c r="C17" s="177">
        <f>1/(102/12)</f>
        <v>0.11764705882352941</v>
      </c>
      <c r="D17" s="112">
        <f t="shared" ref="D17:E17" si="3">1/(102/12)</f>
        <v>0.11764705882352941</v>
      </c>
      <c r="E17" s="178">
        <f t="shared" si="3"/>
        <v>0.11764705882352941</v>
      </c>
      <c r="F17" s="177">
        <f>1/(96/12)</f>
        <v>0.125</v>
      </c>
      <c r="G17" s="112">
        <f t="shared" ref="G17:J17" si="4">1/(96/12)</f>
        <v>0.125</v>
      </c>
      <c r="H17" s="178">
        <v>0.11</v>
      </c>
      <c r="I17" s="177">
        <f t="shared" si="4"/>
        <v>0.125</v>
      </c>
      <c r="J17" s="112">
        <f t="shared" si="4"/>
        <v>0.125</v>
      </c>
      <c r="K17" s="178">
        <v>0.1</v>
      </c>
    </row>
    <row r="18" spans="1:15">
      <c r="A18" t="s">
        <v>33</v>
      </c>
      <c r="B18" t="s">
        <v>22</v>
      </c>
      <c r="C18" s="149">
        <v>73</v>
      </c>
      <c r="D18">
        <v>73</v>
      </c>
      <c r="E18" s="150">
        <v>80</v>
      </c>
      <c r="F18" s="149">
        <v>73</v>
      </c>
      <c r="G18">
        <v>73</v>
      </c>
      <c r="H18" s="150">
        <v>80</v>
      </c>
      <c r="I18" s="149">
        <v>73</v>
      </c>
      <c r="J18">
        <v>73</v>
      </c>
      <c r="K18" s="150">
        <v>92</v>
      </c>
      <c r="O18" s="123"/>
    </row>
    <row r="19" spans="1:15">
      <c r="A19" s="4" t="s">
        <v>34</v>
      </c>
      <c r="C19" s="149"/>
      <c r="E19" s="150"/>
      <c r="F19" s="149"/>
      <c r="H19" s="150"/>
      <c r="I19" s="149"/>
      <c r="K19" s="150"/>
    </row>
    <row r="20" spans="1:15">
      <c r="A20" t="s">
        <v>35</v>
      </c>
      <c r="B20" t="s">
        <v>17</v>
      </c>
      <c r="C20" s="149">
        <v>0</v>
      </c>
      <c r="D20">
        <v>0</v>
      </c>
      <c r="E20" s="150">
        <v>0</v>
      </c>
      <c r="F20" s="149">
        <v>0</v>
      </c>
      <c r="G20">
        <v>0</v>
      </c>
      <c r="H20" s="150">
        <v>0</v>
      </c>
      <c r="I20" s="149">
        <v>0</v>
      </c>
      <c r="J20">
        <v>0</v>
      </c>
      <c r="K20" s="150">
        <v>0</v>
      </c>
    </row>
    <row r="21" spans="1:15">
      <c r="A21" t="s">
        <v>36</v>
      </c>
      <c r="B21" t="s">
        <v>17</v>
      </c>
      <c r="C21" s="149">
        <v>0</v>
      </c>
      <c r="D21">
        <v>0</v>
      </c>
      <c r="E21" s="150">
        <v>0</v>
      </c>
      <c r="F21" s="149">
        <v>0</v>
      </c>
      <c r="G21">
        <v>0</v>
      </c>
      <c r="H21" s="150">
        <v>0</v>
      </c>
      <c r="I21" s="149">
        <v>0</v>
      </c>
      <c r="J21">
        <v>0</v>
      </c>
      <c r="K21" s="150">
        <v>0</v>
      </c>
    </row>
    <row r="22" spans="1:15">
      <c r="A22" t="s">
        <v>37</v>
      </c>
      <c r="B22" t="s">
        <v>17</v>
      </c>
      <c r="C22" s="149">
        <v>0</v>
      </c>
      <c r="D22">
        <v>0</v>
      </c>
      <c r="E22" s="150">
        <v>0</v>
      </c>
      <c r="F22" s="149">
        <v>0</v>
      </c>
      <c r="G22">
        <v>0</v>
      </c>
      <c r="H22" s="150">
        <v>0</v>
      </c>
      <c r="I22" s="149">
        <v>0</v>
      </c>
      <c r="J22">
        <v>0</v>
      </c>
      <c r="K22" s="150">
        <v>0</v>
      </c>
    </row>
    <row r="23" spans="1:15">
      <c r="A23" t="s">
        <v>38</v>
      </c>
      <c r="B23" t="s">
        <v>17</v>
      </c>
      <c r="C23" s="149">
        <v>0</v>
      </c>
      <c r="D23">
        <v>0</v>
      </c>
      <c r="E23" s="150">
        <v>0</v>
      </c>
      <c r="F23" s="149">
        <v>0</v>
      </c>
      <c r="G23">
        <v>0</v>
      </c>
      <c r="H23" s="150">
        <v>0</v>
      </c>
      <c r="I23" s="149">
        <v>0</v>
      </c>
      <c r="J23">
        <v>0</v>
      </c>
      <c r="K23" s="150">
        <v>0</v>
      </c>
    </row>
    <row r="24" spans="1:15">
      <c r="A24" t="s">
        <v>39</v>
      </c>
      <c r="B24" t="s">
        <v>17</v>
      </c>
      <c r="C24" s="149">
        <v>15</v>
      </c>
      <c r="D24">
        <v>15</v>
      </c>
      <c r="E24" s="151">
        <v>5</v>
      </c>
      <c r="F24" s="149">
        <v>15</v>
      </c>
      <c r="G24">
        <v>15</v>
      </c>
      <c r="H24" s="151">
        <v>5</v>
      </c>
      <c r="I24" s="149">
        <v>15</v>
      </c>
      <c r="J24">
        <v>15</v>
      </c>
      <c r="K24" s="151">
        <v>0</v>
      </c>
    </row>
    <row r="25" spans="1:15">
      <c r="A25" t="s">
        <v>40</v>
      </c>
      <c r="B25" t="s">
        <v>17</v>
      </c>
      <c r="C25" s="149">
        <v>0</v>
      </c>
      <c r="D25">
        <v>0</v>
      </c>
      <c r="E25" s="150">
        <v>0</v>
      </c>
      <c r="F25" s="149">
        <v>0</v>
      </c>
      <c r="G25">
        <v>0</v>
      </c>
      <c r="H25" s="150">
        <v>0</v>
      </c>
      <c r="I25" s="149">
        <v>0</v>
      </c>
      <c r="J25">
        <v>0</v>
      </c>
      <c r="K25" s="150">
        <v>0</v>
      </c>
    </row>
    <row r="26" spans="1:15">
      <c r="A26" t="s">
        <v>41</v>
      </c>
      <c r="B26" t="s">
        <v>17</v>
      </c>
      <c r="C26" s="149">
        <v>0</v>
      </c>
      <c r="D26">
        <v>0</v>
      </c>
      <c r="E26" s="150">
        <v>0</v>
      </c>
      <c r="F26" s="149">
        <v>0</v>
      </c>
      <c r="G26">
        <v>0</v>
      </c>
      <c r="H26" s="150">
        <v>0</v>
      </c>
      <c r="I26" s="149">
        <v>0</v>
      </c>
      <c r="J26">
        <v>0</v>
      </c>
      <c r="K26" s="150">
        <v>0</v>
      </c>
    </row>
    <row r="27" spans="1:15">
      <c r="A27" t="s">
        <v>42</v>
      </c>
      <c r="B27" t="s">
        <v>17</v>
      </c>
      <c r="C27" s="149">
        <v>5</v>
      </c>
      <c r="D27">
        <v>5</v>
      </c>
      <c r="E27" s="151">
        <v>0</v>
      </c>
      <c r="F27" s="149">
        <v>0</v>
      </c>
      <c r="G27">
        <v>0</v>
      </c>
      <c r="H27" s="150">
        <v>0</v>
      </c>
      <c r="I27" s="149">
        <v>0</v>
      </c>
      <c r="J27">
        <v>0</v>
      </c>
      <c r="K27" s="150">
        <v>0</v>
      </c>
    </row>
    <row r="28" spans="1:15">
      <c r="A28" t="s">
        <v>43</v>
      </c>
      <c r="B28" t="s">
        <v>17</v>
      </c>
      <c r="C28" s="149">
        <v>0</v>
      </c>
      <c r="D28">
        <v>0</v>
      </c>
      <c r="E28" s="150">
        <v>0</v>
      </c>
      <c r="F28" s="149">
        <v>0</v>
      </c>
      <c r="G28">
        <v>0</v>
      </c>
      <c r="H28" s="150">
        <v>0</v>
      </c>
      <c r="I28" s="149">
        <v>0</v>
      </c>
      <c r="J28">
        <v>0</v>
      </c>
      <c r="K28" s="150">
        <v>0</v>
      </c>
    </row>
    <row r="29" spans="1:15">
      <c r="A29" t="s">
        <v>44</v>
      </c>
      <c r="B29" t="s">
        <v>17</v>
      </c>
      <c r="C29" s="149">
        <v>0</v>
      </c>
      <c r="D29">
        <v>0</v>
      </c>
      <c r="E29" s="150">
        <v>0</v>
      </c>
      <c r="F29" s="149">
        <v>0</v>
      </c>
      <c r="G29">
        <v>0</v>
      </c>
      <c r="H29" s="150">
        <v>0</v>
      </c>
      <c r="I29" s="149">
        <v>0</v>
      </c>
      <c r="J29">
        <v>0</v>
      </c>
      <c r="K29" s="150">
        <v>0</v>
      </c>
    </row>
    <row r="30" spans="1:15">
      <c r="A30" t="s">
        <v>45</v>
      </c>
      <c r="B30" t="s">
        <v>17</v>
      </c>
      <c r="C30" s="149">
        <v>0</v>
      </c>
      <c r="D30">
        <v>0</v>
      </c>
      <c r="E30" s="150">
        <v>0</v>
      </c>
      <c r="F30" s="149">
        <v>0</v>
      </c>
      <c r="G30">
        <v>0</v>
      </c>
      <c r="H30" s="150">
        <v>0</v>
      </c>
      <c r="I30" s="149">
        <v>0</v>
      </c>
      <c r="J30">
        <v>0</v>
      </c>
      <c r="K30" s="150">
        <v>0</v>
      </c>
    </row>
    <row r="31" spans="1:15">
      <c r="A31" t="s">
        <v>46</v>
      </c>
      <c r="B31" t="s">
        <v>17</v>
      </c>
      <c r="C31" s="149">
        <v>5</v>
      </c>
      <c r="D31">
        <v>5</v>
      </c>
      <c r="E31" s="151">
        <v>10</v>
      </c>
      <c r="F31" s="149">
        <v>0</v>
      </c>
      <c r="G31">
        <v>0</v>
      </c>
      <c r="H31" s="150">
        <v>0</v>
      </c>
      <c r="I31" s="149">
        <v>0</v>
      </c>
      <c r="J31">
        <v>0</v>
      </c>
      <c r="K31" s="150">
        <v>0</v>
      </c>
    </row>
    <row r="32" spans="1:15">
      <c r="A32" t="s">
        <v>47</v>
      </c>
      <c r="B32" t="s">
        <v>17</v>
      </c>
      <c r="C32" s="149">
        <v>0</v>
      </c>
      <c r="D32">
        <v>0</v>
      </c>
      <c r="E32" s="150">
        <v>0</v>
      </c>
      <c r="F32" s="149">
        <v>0</v>
      </c>
      <c r="G32">
        <v>0</v>
      </c>
      <c r="H32" s="150">
        <v>0</v>
      </c>
      <c r="I32" s="149">
        <v>0</v>
      </c>
      <c r="J32">
        <v>0</v>
      </c>
      <c r="K32" s="150">
        <v>0</v>
      </c>
    </row>
    <row r="33" spans="1:11">
      <c r="A33" t="s">
        <v>48</v>
      </c>
      <c r="B33" t="s">
        <v>17</v>
      </c>
      <c r="C33" s="149">
        <v>65</v>
      </c>
      <c r="D33">
        <v>65</v>
      </c>
      <c r="E33" s="151">
        <v>55</v>
      </c>
      <c r="F33" s="149">
        <v>72</v>
      </c>
      <c r="G33">
        <v>72</v>
      </c>
      <c r="H33" s="151">
        <v>60</v>
      </c>
      <c r="I33" s="149">
        <v>75</v>
      </c>
      <c r="J33">
        <v>75</v>
      </c>
      <c r="K33" s="151">
        <v>70</v>
      </c>
    </row>
    <row r="34" spans="1:11">
      <c r="A34" t="s">
        <v>49</v>
      </c>
      <c r="B34" t="s">
        <v>17</v>
      </c>
      <c r="C34" s="149">
        <v>0</v>
      </c>
      <c r="D34">
        <v>0</v>
      </c>
      <c r="E34" s="151">
        <v>10</v>
      </c>
      <c r="F34" s="149">
        <v>0</v>
      </c>
      <c r="G34">
        <v>0</v>
      </c>
      <c r="H34" s="151">
        <v>20</v>
      </c>
      <c r="I34" s="149">
        <v>0</v>
      </c>
      <c r="J34">
        <v>0</v>
      </c>
      <c r="K34" s="151">
        <v>20</v>
      </c>
    </row>
    <row r="35" spans="1:11">
      <c r="A35" t="s">
        <v>50</v>
      </c>
      <c r="B35" t="s">
        <v>17</v>
      </c>
      <c r="C35" s="149">
        <v>0</v>
      </c>
      <c r="D35">
        <v>0</v>
      </c>
      <c r="E35" s="150">
        <v>0</v>
      </c>
      <c r="F35" s="149">
        <v>0</v>
      </c>
      <c r="G35">
        <v>0</v>
      </c>
      <c r="H35" s="150">
        <v>0</v>
      </c>
      <c r="I35" s="149">
        <v>0</v>
      </c>
      <c r="J35">
        <v>0</v>
      </c>
      <c r="K35" s="150">
        <v>0</v>
      </c>
    </row>
    <row r="36" spans="1:11">
      <c r="A36" t="s">
        <v>51</v>
      </c>
      <c r="B36" t="s">
        <v>17</v>
      </c>
      <c r="C36" s="149">
        <v>0</v>
      </c>
      <c r="D36">
        <v>0</v>
      </c>
      <c r="E36" s="150">
        <v>0</v>
      </c>
      <c r="F36" s="149">
        <v>5</v>
      </c>
      <c r="G36">
        <v>5</v>
      </c>
      <c r="H36" s="150">
        <v>0</v>
      </c>
      <c r="I36" s="149">
        <v>5</v>
      </c>
      <c r="J36">
        <v>5</v>
      </c>
      <c r="K36" s="150">
        <v>0</v>
      </c>
    </row>
    <row r="37" spans="1:11">
      <c r="A37" t="s">
        <v>52</v>
      </c>
      <c r="B37" t="s">
        <v>17</v>
      </c>
      <c r="C37" s="149">
        <v>0</v>
      </c>
      <c r="D37">
        <v>0</v>
      </c>
      <c r="E37" s="150">
        <v>0</v>
      </c>
      <c r="F37" s="149">
        <v>0</v>
      </c>
      <c r="G37">
        <v>0</v>
      </c>
      <c r="H37" s="150">
        <v>0</v>
      </c>
      <c r="I37" s="149">
        <v>0</v>
      </c>
      <c r="J37">
        <v>0</v>
      </c>
      <c r="K37" s="150">
        <v>0</v>
      </c>
    </row>
    <row r="38" spans="1:11">
      <c r="A38" t="s">
        <v>53</v>
      </c>
      <c r="B38" t="s">
        <v>17</v>
      </c>
      <c r="C38" s="149">
        <v>10</v>
      </c>
      <c r="D38">
        <v>10</v>
      </c>
      <c r="E38" s="150">
        <v>10</v>
      </c>
      <c r="F38" s="149">
        <v>0</v>
      </c>
      <c r="G38">
        <v>0</v>
      </c>
      <c r="H38" s="150">
        <v>0</v>
      </c>
      <c r="I38" s="149">
        <v>0</v>
      </c>
      <c r="J38">
        <v>0</v>
      </c>
      <c r="K38" s="150">
        <v>0</v>
      </c>
    </row>
    <row r="39" spans="1:11">
      <c r="A39" t="s">
        <v>54</v>
      </c>
      <c r="B39" t="s">
        <v>17</v>
      </c>
      <c r="C39" s="149">
        <v>0</v>
      </c>
      <c r="D39">
        <v>0</v>
      </c>
      <c r="E39" s="151">
        <v>10</v>
      </c>
      <c r="F39" s="149">
        <v>0</v>
      </c>
      <c r="G39">
        <v>0</v>
      </c>
      <c r="H39" s="151">
        <v>10</v>
      </c>
      <c r="I39" s="149">
        <v>0</v>
      </c>
      <c r="J39">
        <v>0</v>
      </c>
      <c r="K39" s="151">
        <v>10</v>
      </c>
    </row>
    <row r="40" spans="1:11">
      <c r="A40" t="s">
        <v>55</v>
      </c>
      <c r="B40" t="s">
        <v>17</v>
      </c>
      <c r="C40" s="149">
        <v>0</v>
      </c>
      <c r="D40">
        <v>0</v>
      </c>
      <c r="E40" s="150">
        <v>0</v>
      </c>
      <c r="F40" s="240">
        <v>8</v>
      </c>
      <c r="G40" s="29">
        <v>8</v>
      </c>
      <c r="H40" s="151">
        <v>5</v>
      </c>
      <c r="I40" s="149">
        <v>5</v>
      </c>
      <c r="J40">
        <v>5</v>
      </c>
      <c r="K40" s="150">
        <v>0</v>
      </c>
    </row>
    <row r="41" spans="1:11">
      <c r="A41" t="s">
        <v>56</v>
      </c>
      <c r="B41" t="s">
        <v>17</v>
      </c>
      <c r="C41" s="149">
        <v>0</v>
      </c>
      <c r="D41">
        <v>0</v>
      </c>
      <c r="E41" s="150">
        <v>0</v>
      </c>
      <c r="F41" s="149">
        <v>0</v>
      </c>
      <c r="G41">
        <v>0</v>
      </c>
      <c r="H41" s="150">
        <v>0</v>
      </c>
      <c r="I41" s="149">
        <v>0</v>
      </c>
      <c r="J41">
        <v>0</v>
      </c>
      <c r="K41" s="150">
        <v>0</v>
      </c>
    </row>
    <row r="42" spans="1:11">
      <c r="A42" t="s">
        <v>57</v>
      </c>
      <c r="B42" t="s">
        <v>17</v>
      </c>
      <c r="C42" s="149">
        <v>0</v>
      </c>
      <c r="D42">
        <v>0</v>
      </c>
      <c r="E42" s="150">
        <v>0</v>
      </c>
      <c r="F42" s="149">
        <v>0</v>
      </c>
      <c r="G42">
        <v>0</v>
      </c>
      <c r="H42" s="150">
        <v>0</v>
      </c>
      <c r="I42" s="149">
        <v>0</v>
      </c>
      <c r="J42">
        <v>0</v>
      </c>
      <c r="K42" s="150">
        <v>0</v>
      </c>
    </row>
    <row r="43" spans="1:11">
      <c r="A43" t="s">
        <v>58</v>
      </c>
      <c r="B43" t="s">
        <v>17</v>
      </c>
      <c r="C43" s="149">
        <v>0</v>
      </c>
      <c r="D43">
        <v>0</v>
      </c>
      <c r="E43" s="150">
        <v>0</v>
      </c>
      <c r="F43" s="149">
        <v>0</v>
      </c>
      <c r="G43">
        <v>0</v>
      </c>
      <c r="H43" s="150">
        <v>0</v>
      </c>
      <c r="I43" s="149">
        <v>0</v>
      </c>
      <c r="J43">
        <v>0</v>
      </c>
      <c r="K43" s="150">
        <v>0</v>
      </c>
    </row>
    <row r="44" spans="1:11">
      <c r="A44" t="s">
        <v>59</v>
      </c>
      <c r="B44" t="s">
        <v>17</v>
      </c>
      <c r="C44" s="149">
        <v>0</v>
      </c>
      <c r="D44">
        <v>0</v>
      </c>
      <c r="E44" s="150">
        <v>0</v>
      </c>
      <c r="F44" s="149">
        <v>0</v>
      </c>
      <c r="G44">
        <v>0</v>
      </c>
      <c r="H44" s="150">
        <v>0</v>
      </c>
      <c r="I44" s="149">
        <v>0</v>
      </c>
      <c r="J44">
        <v>0</v>
      </c>
      <c r="K44" s="150">
        <v>0</v>
      </c>
    </row>
    <row r="45" spans="1:11">
      <c r="A45" t="s">
        <v>60</v>
      </c>
      <c r="B45" t="s">
        <v>17</v>
      </c>
      <c r="C45" s="149">
        <v>0</v>
      </c>
      <c r="D45">
        <v>0</v>
      </c>
      <c r="E45" s="150">
        <v>0</v>
      </c>
      <c r="F45" s="149">
        <v>0</v>
      </c>
      <c r="G45">
        <v>0</v>
      </c>
      <c r="H45" s="150">
        <v>0</v>
      </c>
      <c r="I45" s="149">
        <v>0</v>
      </c>
      <c r="J45">
        <v>0</v>
      </c>
      <c r="K45" s="150">
        <v>0</v>
      </c>
    </row>
    <row r="46" spans="1:11">
      <c r="A46" t="s">
        <v>61</v>
      </c>
      <c r="B46" t="s">
        <v>17</v>
      </c>
      <c r="C46" s="149">
        <v>0</v>
      </c>
      <c r="D46">
        <v>0</v>
      </c>
      <c r="E46" s="150">
        <v>0</v>
      </c>
      <c r="F46" s="149">
        <v>0</v>
      </c>
      <c r="G46">
        <v>0</v>
      </c>
      <c r="H46" s="150">
        <v>0</v>
      </c>
      <c r="I46" s="149">
        <v>0</v>
      </c>
      <c r="J46">
        <v>0</v>
      </c>
      <c r="K46" s="150">
        <v>0</v>
      </c>
    </row>
    <row r="47" spans="1:11">
      <c r="A47" t="s">
        <v>62</v>
      </c>
      <c r="B47" t="s">
        <v>17</v>
      </c>
      <c r="C47" s="149">
        <v>0</v>
      </c>
      <c r="D47">
        <v>0</v>
      </c>
      <c r="E47" s="150">
        <v>0</v>
      </c>
      <c r="F47" s="149">
        <v>0</v>
      </c>
      <c r="G47">
        <v>0</v>
      </c>
      <c r="H47" s="150">
        <v>0</v>
      </c>
      <c r="I47" s="149">
        <v>0</v>
      </c>
      <c r="J47">
        <v>0</v>
      </c>
      <c r="K47" s="150">
        <v>0</v>
      </c>
    </row>
    <row r="48" spans="1:11">
      <c r="A48" t="s">
        <v>63</v>
      </c>
      <c r="B48" t="s">
        <v>17</v>
      </c>
      <c r="C48" s="149">
        <v>0</v>
      </c>
      <c r="D48">
        <v>0</v>
      </c>
      <c r="E48" s="150">
        <v>0</v>
      </c>
      <c r="F48" s="149">
        <v>0</v>
      </c>
      <c r="G48">
        <v>0</v>
      </c>
      <c r="H48" s="150">
        <v>0</v>
      </c>
      <c r="I48" s="149">
        <v>0</v>
      </c>
      <c r="J48">
        <v>0</v>
      </c>
      <c r="K48" s="150">
        <v>0</v>
      </c>
    </row>
    <row r="49" spans="1:11">
      <c r="C49" s="149">
        <f>SUM(C20:C48)</f>
        <v>100</v>
      </c>
      <c r="D49">
        <f t="shared" ref="D49:E49" si="5">SUM(D20:D48)</f>
        <v>100</v>
      </c>
      <c r="E49" s="150">
        <f t="shared" si="5"/>
        <v>100</v>
      </c>
      <c r="F49" s="149">
        <f t="shared" ref="F49" si="6">SUM(F20:F48)</f>
        <v>100</v>
      </c>
      <c r="G49">
        <f t="shared" ref="G49:H49" si="7">SUM(G20:G48)</f>
        <v>100</v>
      </c>
      <c r="H49" s="150">
        <f t="shared" si="7"/>
        <v>100</v>
      </c>
      <c r="I49" s="149">
        <f>SUM(H20:H48)</f>
        <v>100</v>
      </c>
      <c r="J49">
        <f t="shared" ref="J49" si="8">SUM(J20:J48)</f>
        <v>100</v>
      </c>
      <c r="K49" s="150">
        <f t="shared" ref="K49" si="9">SUM(K20:K48)</f>
        <v>100</v>
      </c>
    </row>
    <row r="50" spans="1:11">
      <c r="A50" s="4" t="s">
        <v>64</v>
      </c>
      <c r="C50" s="149"/>
      <c r="E50" s="150"/>
      <c r="F50" s="149"/>
      <c r="H50" s="150"/>
      <c r="I50" s="149"/>
      <c r="K50" s="150"/>
    </row>
    <row r="51" spans="1:11">
      <c r="A51" t="s">
        <v>65</v>
      </c>
      <c r="B51" t="s">
        <v>17</v>
      </c>
      <c r="C51">
        <v>0</v>
      </c>
      <c r="D51">
        <v>0</v>
      </c>
      <c r="E51">
        <v>14</v>
      </c>
      <c r="F51" s="149"/>
      <c r="H51" s="150"/>
      <c r="I51" s="149"/>
      <c r="K51" s="150"/>
    </row>
    <row r="52" spans="1:11">
      <c r="A52" t="s">
        <v>66</v>
      </c>
      <c r="B52" t="s">
        <v>17</v>
      </c>
      <c r="C52">
        <v>0</v>
      </c>
      <c r="D52">
        <v>0</v>
      </c>
      <c r="E52">
        <v>0</v>
      </c>
      <c r="F52" s="149"/>
      <c r="H52" s="150"/>
      <c r="I52" s="149"/>
      <c r="K52" s="150"/>
    </row>
    <row r="53" spans="1:11">
      <c r="A53" t="s">
        <v>67</v>
      </c>
      <c r="B53" t="s">
        <v>17</v>
      </c>
      <c r="C53">
        <v>0</v>
      </c>
      <c r="D53">
        <v>0</v>
      </c>
      <c r="E53">
        <v>0</v>
      </c>
      <c r="F53" s="149"/>
      <c r="H53" s="150"/>
      <c r="I53" s="149"/>
      <c r="K53" s="150"/>
    </row>
    <row r="54" spans="1:11">
      <c r="A54" t="s">
        <v>68</v>
      </c>
      <c r="B54" t="s">
        <v>17</v>
      </c>
      <c r="C54">
        <v>0</v>
      </c>
      <c r="D54">
        <v>0</v>
      </c>
      <c r="E54">
        <v>0</v>
      </c>
      <c r="F54" s="149"/>
      <c r="H54" s="150"/>
      <c r="I54" s="149"/>
      <c r="K54" s="150"/>
    </row>
    <row r="55" spans="1:11">
      <c r="A55" t="s">
        <v>69</v>
      </c>
      <c r="B55" t="s">
        <v>17</v>
      </c>
      <c r="C55">
        <v>0</v>
      </c>
      <c r="D55">
        <v>0</v>
      </c>
      <c r="E55">
        <v>0</v>
      </c>
      <c r="F55" s="149"/>
      <c r="H55" s="150"/>
      <c r="I55" s="149"/>
      <c r="K55" s="150"/>
    </row>
    <row r="56" spans="1:11">
      <c r="A56" t="s">
        <v>70</v>
      </c>
      <c r="B56" t="s">
        <v>17</v>
      </c>
      <c r="C56">
        <v>0</v>
      </c>
      <c r="D56">
        <v>0</v>
      </c>
      <c r="E56">
        <v>0</v>
      </c>
      <c r="F56" s="149"/>
      <c r="H56" s="150"/>
      <c r="I56" s="149"/>
      <c r="K56" s="150"/>
    </row>
    <row r="57" spans="1:11">
      <c r="A57" t="s">
        <v>71</v>
      </c>
      <c r="B57" t="s">
        <v>17</v>
      </c>
      <c r="C57">
        <v>33</v>
      </c>
      <c r="D57">
        <v>33</v>
      </c>
      <c r="E57">
        <v>33</v>
      </c>
      <c r="F57" s="149"/>
      <c r="H57" s="150"/>
      <c r="I57" s="149"/>
      <c r="K57" s="150"/>
    </row>
    <row r="58" spans="1:11">
      <c r="A58" t="s">
        <v>72</v>
      </c>
      <c r="B58" t="s">
        <v>17</v>
      </c>
      <c r="C58">
        <v>67</v>
      </c>
      <c r="D58">
        <v>67</v>
      </c>
      <c r="E58">
        <f>67-14</f>
        <v>53</v>
      </c>
      <c r="F58" s="149"/>
      <c r="H58" s="150"/>
      <c r="I58" s="149"/>
      <c r="K58" s="150"/>
    </row>
    <row r="59" spans="1:11">
      <c r="A59" t="s">
        <v>73</v>
      </c>
      <c r="B59" t="s">
        <v>17</v>
      </c>
      <c r="C59">
        <v>0</v>
      </c>
      <c r="D59">
        <v>0</v>
      </c>
      <c r="E59">
        <v>0</v>
      </c>
      <c r="F59" s="149"/>
      <c r="H59" s="150"/>
      <c r="I59" s="149"/>
      <c r="K59" s="150"/>
    </row>
    <row r="60" spans="1:11">
      <c r="C60" s="152">
        <f>SUM(C51:C59)</f>
        <v>100</v>
      </c>
      <c r="D60" s="152">
        <f t="shared" ref="D60:E60" si="10">SUM(D51:D59)</f>
        <v>100</v>
      </c>
      <c r="E60" s="152">
        <f t="shared" si="10"/>
        <v>100</v>
      </c>
      <c r="F60" s="152"/>
      <c r="G60" s="153"/>
      <c r="H60" s="154"/>
      <c r="I60" s="152"/>
      <c r="J60" s="153"/>
      <c r="K60" s="154"/>
    </row>
  </sheetData>
  <mergeCells count="3">
    <mergeCell ref="C1:E1"/>
    <mergeCell ref="F1:H1"/>
    <mergeCell ref="I1:K1"/>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43F46-B93C-498B-8969-1F0A2564A07D}">
  <dimension ref="A1:AD56"/>
  <sheetViews>
    <sheetView workbookViewId="0">
      <pane xSplit="2" ySplit="2" topLeftCell="C3" activePane="bottomRight" state="frozen"/>
      <selection pane="bottomRight" activeCell="K49" sqref="K49"/>
      <selection pane="bottomLeft" activeCell="A3" sqref="A3"/>
      <selection pane="topRight" activeCell="C1" sqref="C1"/>
    </sheetView>
  </sheetViews>
  <sheetFormatPr defaultColWidth="8.85546875" defaultRowHeight="14.45"/>
  <cols>
    <col min="1" max="1" width="48.42578125" customWidth="1"/>
    <col min="2" max="2" width="16.28515625" bestFit="1" customWidth="1"/>
    <col min="3" max="5" width="18.7109375" bestFit="1" customWidth="1"/>
    <col min="6" max="6" width="17.140625" bestFit="1" customWidth="1"/>
    <col min="7" max="7" width="14.85546875" bestFit="1" customWidth="1"/>
    <col min="8" max="8" width="17.140625" bestFit="1" customWidth="1"/>
    <col min="9" max="9" width="13.5703125" bestFit="1" customWidth="1"/>
    <col min="10" max="10" width="16.140625" bestFit="1" customWidth="1"/>
    <col min="11" max="11" width="13.42578125" bestFit="1" customWidth="1"/>
    <col min="12" max="12" width="13.5703125" bestFit="1" customWidth="1"/>
    <col min="14" max="16" width="13.5703125" bestFit="1" customWidth="1"/>
    <col min="18" max="18" width="13.5703125" bestFit="1" customWidth="1"/>
    <col min="20" max="20" width="13.5703125" bestFit="1" customWidth="1"/>
    <col min="22" max="22" width="13.5703125" bestFit="1" customWidth="1"/>
    <col min="24" max="24" width="13.5703125" bestFit="1" customWidth="1"/>
    <col min="25" max="25" width="10" bestFit="1" customWidth="1"/>
    <col min="26" max="26" width="13.5703125" bestFit="1" customWidth="1"/>
    <col min="27" max="27" width="10" bestFit="1" customWidth="1"/>
    <col min="28" max="28" width="13.5703125" bestFit="1" customWidth="1"/>
    <col min="29" max="29" width="10" bestFit="1" customWidth="1"/>
    <col min="30" max="30" width="13.5703125" bestFit="1" customWidth="1"/>
    <col min="31" max="31" width="10" bestFit="1" customWidth="1"/>
    <col min="32" max="32" width="15" bestFit="1" customWidth="1"/>
    <col min="33" max="33" width="10" bestFit="1" customWidth="1"/>
    <col min="34" max="34" width="15" bestFit="1" customWidth="1"/>
    <col min="35" max="35" width="10" bestFit="1" customWidth="1"/>
    <col min="36" max="36" width="13.5703125" bestFit="1" customWidth="1"/>
    <col min="38" max="38" width="13.5703125" bestFit="1" customWidth="1"/>
    <col min="40" max="40" width="13.7109375" bestFit="1" customWidth="1"/>
  </cols>
  <sheetData>
    <row r="1" spans="1:30">
      <c r="C1" s="241" t="s">
        <v>0</v>
      </c>
      <c r="D1" s="242"/>
      <c r="E1" s="243"/>
    </row>
    <row r="2" spans="1:30" s="4" customFormat="1" ht="43.15">
      <c r="A2" s="4" t="s">
        <v>371</v>
      </c>
      <c r="B2" s="4" t="s">
        <v>372</v>
      </c>
      <c r="C2" s="145" t="s">
        <v>5</v>
      </c>
      <c r="D2" s="146" t="s">
        <v>6</v>
      </c>
      <c r="E2" s="147" t="s">
        <v>7</v>
      </c>
      <c r="F2" s="145" t="s">
        <v>8</v>
      </c>
      <c r="G2" s="146" t="s">
        <v>9</v>
      </c>
      <c r="H2" s="147" t="s">
        <v>10</v>
      </c>
      <c r="I2" s="145" t="s">
        <v>11</v>
      </c>
      <c r="J2" s="146" t="s">
        <v>12</v>
      </c>
      <c r="K2" s="147" t="s">
        <v>13</v>
      </c>
    </row>
    <row r="3" spans="1:30">
      <c r="A3" t="s">
        <v>373</v>
      </c>
      <c r="B3" t="s">
        <v>30</v>
      </c>
      <c r="C3" s="122">
        <v>5124.78</v>
      </c>
      <c r="D3" s="122">
        <v>7099.31</v>
      </c>
      <c r="E3" s="122">
        <v>7613.56</v>
      </c>
      <c r="F3">
        <v>65600.7</v>
      </c>
      <c r="G3">
        <v>81979.88</v>
      </c>
      <c r="H3">
        <v>94118.22</v>
      </c>
      <c r="I3">
        <v>5704.35</v>
      </c>
      <c r="J3">
        <v>7128.61</v>
      </c>
      <c r="K3">
        <v>10076.99</v>
      </c>
      <c r="L3" s="123"/>
      <c r="M3" s="122"/>
      <c r="N3" s="123"/>
      <c r="O3" s="122"/>
      <c r="P3" s="123"/>
      <c r="Q3" s="122"/>
      <c r="R3" s="123"/>
      <c r="S3" s="122"/>
      <c r="T3" s="123"/>
      <c r="U3" s="122"/>
      <c r="V3" s="123"/>
      <c r="W3" s="122"/>
      <c r="X3" s="123"/>
      <c r="Y3" s="122"/>
      <c r="Z3" s="123"/>
      <c r="AA3" s="122"/>
      <c r="AB3" s="123"/>
      <c r="AC3" s="122"/>
      <c r="AD3" s="123"/>
    </row>
    <row r="4" spans="1:30">
      <c r="A4" t="s">
        <v>374</v>
      </c>
      <c r="B4" t="s">
        <v>30</v>
      </c>
      <c r="C4" s="122">
        <v>11451.24</v>
      </c>
      <c r="D4" s="122">
        <v>15862.9</v>
      </c>
      <c r="E4" s="122">
        <v>16280.19</v>
      </c>
      <c r="F4">
        <v>112179.15</v>
      </c>
      <c r="G4">
        <v>140188.04</v>
      </c>
      <c r="H4">
        <v>122606.13</v>
      </c>
      <c r="I4">
        <v>9754.6</v>
      </c>
      <c r="J4">
        <v>12190.14</v>
      </c>
      <c r="K4">
        <v>11644.94</v>
      </c>
      <c r="L4" s="123"/>
      <c r="M4" s="122"/>
      <c r="N4" s="123"/>
      <c r="O4" s="122"/>
      <c r="P4" s="123"/>
      <c r="Q4" s="122"/>
      <c r="R4" s="123"/>
      <c r="S4" s="122"/>
      <c r="T4" s="123"/>
      <c r="U4" s="122"/>
      <c r="V4" s="123"/>
      <c r="W4" s="122"/>
      <c r="X4" s="123"/>
      <c r="Y4" s="122"/>
      <c r="Z4" s="123"/>
      <c r="AA4" s="122"/>
      <c r="AB4" s="123"/>
      <c r="AC4" s="122"/>
      <c r="AD4" s="123"/>
    </row>
    <row r="5" spans="1:30">
      <c r="A5" t="s">
        <v>375</v>
      </c>
      <c r="B5" t="s">
        <v>30</v>
      </c>
      <c r="C5" s="122">
        <v>7922.58</v>
      </c>
      <c r="D5" s="122">
        <v>10975.09</v>
      </c>
      <c r="E5" s="122">
        <v>9832.0499999999993</v>
      </c>
      <c r="F5">
        <v>140035.16</v>
      </c>
      <c r="G5">
        <v>174999.14</v>
      </c>
      <c r="H5">
        <v>123506.59</v>
      </c>
      <c r="I5">
        <v>12176.84</v>
      </c>
      <c r="J5">
        <v>15217.15</v>
      </c>
      <c r="K5">
        <v>9463.01</v>
      </c>
      <c r="L5" s="123"/>
      <c r="M5" s="122"/>
      <c r="N5" s="123"/>
      <c r="O5" s="122"/>
      <c r="P5" s="123"/>
      <c r="Q5" s="122"/>
      <c r="R5" s="123"/>
      <c r="S5" s="122"/>
      <c r="T5" s="123"/>
      <c r="U5" s="122"/>
      <c r="V5" s="123"/>
      <c r="W5" s="122"/>
      <c r="X5" s="123"/>
      <c r="Y5" s="122"/>
      <c r="Z5" s="123"/>
      <c r="AA5" s="122"/>
      <c r="AB5" s="123"/>
      <c r="AC5" s="122"/>
      <c r="AD5" s="123"/>
    </row>
    <row r="6" spans="1:30">
      <c r="A6" t="s">
        <v>376</v>
      </c>
      <c r="B6" t="s">
        <v>30</v>
      </c>
      <c r="C6" s="122">
        <v>3715.08</v>
      </c>
      <c r="D6" s="122">
        <v>5147.08</v>
      </c>
      <c r="E6" s="122">
        <v>4612</v>
      </c>
      <c r="F6">
        <v>94070.44</v>
      </c>
      <c r="G6">
        <v>117557.96</v>
      </c>
      <c r="H6">
        <v>110504.64</v>
      </c>
      <c r="I6">
        <v>8179.95</v>
      </c>
      <c r="J6">
        <v>10222.31</v>
      </c>
      <c r="K6">
        <v>9784.59</v>
      </c>
      <c r="L6" s="123"/>
      <c r="M6" s="122"/>
      <c r="N6" s="123"/>
      <c r="O6" s="122"/>
      <c r="P6" s="123"/>
      <c r="Q6" s="122"/>
      <c r="R6" s="123"/>
      <c r="S6" s="122"/>
      <c r="T6" s="123"/>
      <c r="U6" s="122"/>
      <c r="V6" s="123"/>
      <c r="W6" s="122"/>
      <c r="X6" s="123"/>
      <c r="Z6" s="123"/>
      <c r="AB6" s="123"/>
      <c r="AD6" s="123"/>
    </row>
    <row r="7" spans="1:30">
      <c r="A7" t="s">
        <v>377</v>
      </c>
      <c r="B7" t="s">
        <v>30</v>
      </c>
      <c r="C7" s="122">
        <v>50133.68</v>
      </c>
      <c r="D7" s="122">
        <v>69450.539999999994</v>
      </c>
      <c r="E7" s="122">
        <v>66043.199999999997</v>
      </c>
      <c r="F7">
        <v>741919.61</v>
      </c>
      <c r="G7">
        <v>927162.12</v>
      </c>
      <c r="H7">
        <v>851709.01</v>
      </c>
      <c r="I7" s="122">
        <v>64514.04</v>
      </c>
      <c r="J7">
        <v>80621.91</v>
      </c>
      <c r="K7" s="122">
        <v>76631.73</v>
      </c>
      <c r="L7" s="123"/>
      <c r="M7" s="122"/>
      <c r="N7" s="123"/>
      <c r="O7" s="122"/>
      <c r="P7" s="123"/>
      <c r="Q7" s="122"/>
      <c r="R7" s="123"/>
      <c r="S7" s="122"/>
      <c r="T7" s="123"/>
      <c r="U7" s="122"/>
      <c r="V7" s="123"/>
      <c r="W7" s="122"/>
      <c r="X7" s="123"/>
      <c r="Y7" s="122"/>
      <c r="Z7" s="123"/>
      <c r="AA7" s="122"/>
      <c r="AB7" s="123"/>
      <c r="AC7" s="122"/>
      <c r="AD7" s="123"/>
    </row>
    <row r="8" spans="1:30">
      <c r="A8" t="s">
        <v>378</v>
      </c>
      <c r="B8" t="s">
        <v>30</v>
      </c>
      <c r="C8" s="122">
        <v>6589.22</v>
      </c>
      <c r="D8" s="122">
        <v>9127</v>
      </c>
      <c r="E8" s="122">
        <v>9036.68</v>
      </c>
      <c r="F8">
        <v>75058.149999999994</v>
      </c>
      <c r="G8">
        <v>93798.67</v>
      </c>
      <c r="H8">
        <v>92802.66</v>
      </c>
      <c r="I8">
        <v>6526.72</v>
      </c>
      <c r="J8">
        <v>8156.32</v>
      </c>
      <c r="K8">
        <v>9089.93</v>
      </c>
      <c r="L8" s="123"/>
      <c r="M8" s="122"/>
      <c r="N8" s="123"/>
      <c r="O8" s="122"/>
      <c r="P8" s="123"/>
      <c r="Q8" s="122"/>
      <c r="R8" s="123"/>
      <c r="S8" s="122"/>
      <c r="T8" s="123"/>
      <c r="U8" s="122"/>
      <c r="V8" s="123"/>
      <c r="W8" s="122"/>
      <c r="X8" s="123"/>
      <c r="Y8" s="122"/>
      <c r="Z8" s="123"/>
      <c r="AA8" s="122"/>
      <c r="AB8" s="123"/>
      <c r="AC8" s="122"/>
      <c r="AD8" s="123"/>
    </row>
    <row r="9" spans="1:30">
      <c r="A9" t="s">
        <v>379</v>
      </c>
      <c r="B9" t="s">
        <v>30</v>
      </c>
      <c r="C9" s="122">
        <v>6589.22</v>
      </c>
      <c r="D9" s="122">
        <v>9127</v>
      </c>
      <c r="E9" s="122">
        <v>9036.68</v>
      </c>
      <c r="F9">
        <v>75058.149999999994</v>
      </c>
      <c r="G9">
        <v>93798.67</v>
      </c>
      <c r="H9">
        <v>92802.66</v>
      </c>
      <c r="I9">
        <v>6526.72</v>
      </c>
      <c r="J9">
        <v>8156.32</v>
      </c>
      <c r="K9">
        <v>9089.93</v>
      </c>
      <c r="L9" s="123"/>
      <c r="M9" s="122"/>
      <c r="N9" s="123"/>
      <c r="O9" s="122"/>
      <c r="P9" s="123"/>
      <c r="Q9" s="122"/>
      <c r="R9" s="123"/>
      <c r="S9" s="122"/>
      <c r="T9" s="123"/>
      <c r="U9" s="122"/>
      <c r="V9" s="123"/>
      <c r="W9" s="122"/>
      <c r="X9" s="123"/>
      <c r="Y9" s="122"/>
      <c r="Z9" s="123"/>
      <c r="AA9" s="122"/>
      <c r="AB9" s="123"/>
      <c r="AC9" s="122"/>
      <c r="AD9" s="123"/>
    </row>
    <row r="10" spans="1:30">
      <c r="A10" t="s">
        <v>380</v>
      </c>
      <c r="B10" t="s">
        <v>381</v>
      </c>
      <c r="C10" s="122">
        <v>4909272.25</v>
      </c>
      <c r="D10" s="122">
        <v>6800777.5099999998</v>
      </c>
      <c r="E10" s="122">
        <v>7891827.0999999996</v>
      </c>
      <c r="F10">
        <v>66690813.909999996</v>
      </c>
      <c r="G10">
        <v>83342177.060000002</v>
      </c>
      <c r="H10">
        <v>105493712.84999999</v>
      </c>
      <c r="I10" s="122">
        <v>5799136.9500000002</v>
      </c>
      <c r="J10">
        <v>7247067.0099999998</v>
      </c>
      <c r="K10" s="122">
        <v>12709049.77</v>
      </c>
      <c r="L10" s="123"/>
      <c r="M10" s="122"/>
      <c r="N10" s="123"/>
      <c r="O10" s="122"/>
      <c r="P10" s="123"/>
      <c r="Q10" s="122"/>
      <c r="R10" s="123"/>
      <c r="S10" s="122"/>
      <c r="T10" s="123"/>
      <c r="U10" s="122"/>
      <c r="V10" s="123"/>
      <c r="W10" s="122"/>
      <c r="X10" s="123"/>
      <c r="Y10" s="122"/>
      <c r="Z10" s="123"/>
      <c r="AA10" s="122"/>
      <c r="AB10" s="123"/>
      <c r="AC10" s="122"/>
      <c r="AD10" s="123"/>
    </row>
    <row r="11" spans="1:30">
      <c r="A11" t="s">
        <v>382</v>
      </c>
      <c r="B11" t="s">
        <v>381</v>
      </c>
      <c r="C11" s="122">
        <v>16568644.880000001</v>
      </c>
      <c r="D11" s="122">
        <v>22951810.010000002</v>
      </c>
      <c r="E11" s="122">
        <v>25457893.420000002</v>
      </c>
      <c r="F11">
        <v>177264053.28999999</v>
      </c>
      <c r="G11">
        <v>221523334.77000001</v>
      </c>
      <c r="H11">
        <v>212980676.40000001</v>
      </c>
      <c r="I11" s="122">
        <v>15414087.880000001</v>
      </c>
      <c r="J11">
        <v>19262696.210000001</v>
      </c>
      <c r="K11" s="122">
        <v>20773532.149999999</v>
      </c>
      <c r="L11" s="123"/>
      <c r="M11" s="122"/>
      <c r="N11" s="123"/>
      <c r="O11" s="122"/>
      <c r="P11" s="123"/>
      <c r="Q11" s="122"/>
      <c r="R11" s="123"/>
      <c r="S11" s="122"/>
      <c r="T11" s="123"/>
      <c r="U11" s="122"/>
      <c r="V11" s="123"/>
      <c r="W11" s="122"/>
      <c r="X11" s="123"/>
      <c r="Y11" s="122"/>
      <c r="Z11" s="123"/>
      <c r="AA11" s="122"/>
      <c r="AB11" s="123"/>
      <c r="AC11" s="122"/>
      <c r="AD11" s="123"/>
    </row>
    <row r="12" spans="1:30">
      <c r="A12" t="s">
        <v>383</v>
      </c>
      <c r="B12" t="s">
        <v>384</v>
      </c>
      <c r="C12" s="122">
        <v>103230301.89</v>
      </c>
      <c r="D12" s="122">
        <v>143005849.06999999</v>
      </c>
      <c r="E12" s="122">
        <v>143670949.59999999</v>
      </c>
      <c r="F12">
        <v>1374286067.6800001</v>
      </c>
      <c r="G12">
        <v>1717417851.6600001</v>
      </c>
      <c r="H12">
        <v>1591574987.6600001</v>
      </c>
      <c r="I12" s="122">
        <v>125401753.54000001</v>
      </c>
      <c r="J12">
        <v>156712059.09999999</v>
      </c>
      <c r="K12" s="122">
        <v>160739510.53</v>
      </c>
      <c r="L12" s="123"/>
      <c r="M12" s="122"/>
      <c r="N12" s="123"/>
      <c r="O12" s="122"/>
      <c r="P12" s="123"/>
      <c r="Q12" s="122"/>
      <c r="R12" s="123"/>
      <c r="S12" s="122"/>
      <c r="T12" s="123"/>
      <c r="U12" s="122"/>
      <c r="V12" s="123"/>
      <c r="W12" s="122"/>
      <c r="X12" s="123"/>
      <c r="Y12" s="122"/>
      <c r="Z12" s="123"/>
      <c r="AA12" s="122"/>
      <c r="AB12" s="123"/>
      <c r="AC12" s="122"/>
      <c r="AD12" s="123"/>
    </row>
    <row r="13" spans="1:30">
      <c r="C13" s="122"/>
      <c r="D13" s="122"/>
      <c r="E13" s="122"/>
      <c r="F13" s="123"/>
      <c r="G13" s="122"/>
      <c r="H13" s="123"/>
      <c r="I13" s="122"/>
      <c r="J13" s="123"/>
      <c r="K13" s="122"/>
      <c r="L13" s="123"/>
      <c r="M13" s="122"/>
      <c r="N13" s="123"/>
      <c r="O13" s="122"/>
      <c r="P13" s="123"/>
      <c r="Q13" s="122"/>
      <c r="R13" s="123"/>
      <c r="S13" s="122"/>
      <c r="T13" s="123"/>
      <c r="U13" s="122"/>
      <c r="V13" s="123"/>
      <c r="W13" s="122"/>
      <c r="X13" s="123"/>
      <c r="Y13" s="122"/>
      <c r="Z13" s="123"/>
      <c r="AA13" s="122"/>
      <c r="AB13" s="123"/>
      <c r="AC13" s="122"/>
      <c r="AD13" s="123"/>
    </row>
    <row r="14" spans="1:30">
      <c r="A14" t="s">
        <v>21</v>
      </c>
      <c r="B14" t="s">
        <v>22</v>
      </c>
      <c r="C14" s="196">
        <v>250</v>
      </c>
      <c r="D14" s="196">
        <v>250</v>
      </c>
      <c r="E14" s="196">
        <v>276</v>
      </c>
      <c r="F14">
        <v>200</v>
      </c>
      <c r="G14">
        <v>200</v>
      </c>
      <c r="H14">
        <v>221</v>
      </c>
      <c r="I14">
        <v>200</v>
      </c>
      <c r="J14">
        <v>200</v>
      </c>
      <c r="K14">
        <v>252</v>
      </c>
    </row>
    <row r="15" spans="1:30">
      <c r="A15" t="s">
        <v>23</v>
      </c>
      <c r="B15" t="s">
        <v>22</v>
      </c>
      <c r="C15" s="196">
        <v>350</v>
      </c>
      <c r="D15" s="196">
        <v>350</v>
      </c>
      <c r="E15" s="196">
        <v>386</v>
      </c>
      <c r="F15">
        <v>350</v>
      </c>
      <c r="G15">
        <v>350</v>
      </c>
      <c r="H15">
        <v>386</v>
      </c>
      <c r="I15">
        <v>350</v>
      </c>
      <c r="J15">
        <v>350</v>
      </c>
      <c r="K15">
        <v>386</v>
      </c>
    </row>
    <row r="16" spans="1:30">
      <c r="A16" t="s">
        <v>24</v>
      </c>
      <c r="B16" t="s">
        <v>22</v>
      </c>
      <c r="C16" s="196">
        <v>146</v>
      </c>
      <c r="D16" s="196">
        <v>146</v>
      </c>
      <c r="E16" s="196">
        <v>161</v>
      </c>
      <c r="F16">
        <v>146</v>
      </c>
      <c r="G16">
        <v>146</v>
      </c>
      <c r="H16">
        <v>161</v>
      </c>
      <c r="I16">
        <v>146</v>
      </c>
      <c r="J16">
        <v>146</v>
      </c>
      <c r="K16">
        <v>184</v>
      </c>
    </row>
    <row r="17" spans="1:11">
      <c r="A17" t="s">
        <v>25</v>
      </c>
      <c r="B17" t="s">
        <v>22</v>
      </c>
      <c r="C17" s="196">
        <v>263</v>
      </c>
      <c r="D17" s="196">
        <v>263</v>
      </c>
      <c r="E17" s="196">
        <v>290</v>
      </c>
      <c r="F17">
        <v>263</v>
      </c>
      <c r="G17">
        <v>263</v>
      </c>
      <c r="H17">
        <v>290</v>
      </c>
      <c r="I17">
        <v>263</v>
      </c>
      <c r="J17">
        <v>263</v>
      </c>
      <c r="K17">
        <v>290</v>
      </c>
    </row>
    <row r="18" spans="1:11">
      <c r="A18" t="s">
        <v>28</v>
      </c>
      <c r="B18" t="s">
        <v>22</v>
      </c>
      <c r="C18">
        <v>1925</v>
      </c>
      <c r="D18">
        <v>1925</v>
      </c>
      <c r="E18">
        <v>2502.5</v>
      </c>
    </row>
    <row r="19" spans="1:11">
      <c r="A19" t="s">
        <v>29</v>
      </c>
      <c r="B19" t="s">
        <v>30</v>
      </c>
      <c r="C19" s="196">
        <v>18451.409187846846</v>
      </c>
      <c r="D19" s="196">
        <v>25560.031549732659</v>
      </c>
      <c r="E19" s="196">
        <v>23319.548270799685</v>
      </c>
      <c r="F19">
        <v>246828.72803416461</v>
      </c>
      <c r="G19">
        <v>308456.92981516913</v>
      </c>
      <c r="H19">
        <v>299883.3902480118</v>
      </c>
      <c r="I19">
        <v>21463.13245905835</v>
      </c>
      <c r="J19">
        <v>26822.047803208203</v>
      </c>
      <c r="K19">
        <v>26671.347684653374</v>
      </c>
    </row>
    <row r="20" spans="1:11">
      <c r="A20" t="s">
        <v>31</v>
      </c>
      <c r="B20" t="s">
        <v>30</v>
      </c>
      <c r="C20" s="196">
        <v>3469.482338867876</v>
      </c>
      <c r="D20" s="196">
        <v>4806.1412079632892</v>
      </c>
      <c r="E20" s="196">
        <v>4384.8553816261492</v>
      </c>
      <c r="F20">
        <v>83205.434723972125</v>
      </c>
      <c r="G20">
        <v>103980.16933969072</v>
      </c>
      <c r="H20">
        <v>101090.04754353674</v>
      </c>
      <c r="I20">
        <v>7235.1759092926968</v>
      </c>
      <c r="J20">
        <v>9041.6547758743673</v>
      </c>
      <c r="K20">
        <v>8990.8540891910361</v>
      </c>
    </row>
    <row r="21" spans="1:11">
      <c r="A21" t="s">
        <v>385</v>
      </c>
      <c r="C21" s="123">
        <f>C14/C16</f>
        <v>1.7123287671232876</v>
      </c>
      <c r="D21" s="123">
        <f t="shared" ref="D21:K21" si="0">D14/D16</f>
        <v>1.7123287671232876</v>
      </c>
      <c r="E21" s="123">
        <f t="shared" si="0"/>
        <v>1.7142857142857142</v>
      </c>
      <c r="F21" s="123">
        <f t="shared" si="0"/>
        <v>1.3698630136986301</v>
      </c>
      <c r="G21" s="123">
        <f t="shared" si="0"/>
        <v>1.3698630136986301</v>
      </c>
      <c r="H21" s="123">
        <f t="shared" si="0"/>
        <v>1.3726708074534162</v>
      </c>
      <c r="I21" s="123">
        <f t="shared" si="0"/>
        <v>1.3698630136986301</v>
      </c>
      <c r="J21" s="123">
        <f t="shared" si="0"/>
        <v>1.3698630136986301</v>
      </c>
      <c r="K21" s="123">
        <f t="shared" si="0"/>
        <v>1.3695652173913044</v>
      </c>
    </row>
    <row r="24" spans="1:11">
      <c r="A24" s="197" t="s">
        <v>386</v>
      </c>
      <c r="B24" s="171"/>
      <c r="C24" s="171"/>
      <c r="D24" s="171"/>
      <c r="E24" s="171"/>
    </row>
    <row r="25" spans="1:11">
      <c r="A25" t="s">
        <v>387</v>
      </c>
      <c r="B25" t="s">
        <v>388</v>
      </c>
      <c r="C25" s="198">
        <f>(C10*0.05)/365</f>
        <v>672.50304794520548</v>
      </c>
      <c r="D25" s="198">
        <f>(D10*0.05)/365</f>
        <v>931.61335753424669</v>
      </c>
      <c r="E25" s="198">
        <f>(E10*0.1)/365</f>
        <v>2162.1444109589038</v>
      </c>
    </row>
    <row r="26" spans="1:11">
      <c r="A26" t="s">
        <v>389</v>
      </c>
      <c r="B26" t="s">
        <v>388</v>
      </c>
      <c r="C26" s="198">
        <f>(C11*0.05)/365</f>
        <v>2269.6773808219182</v>
      </c>
      <c r="D26" s="198">
        <f>(D11*0.05)/365</f>
        <v>3144.0835630136989</v>
      </c>
      <c r="E26" s="198">
        <f>(E11*0.1)/365</f>
        <v>6974.7653205479455</v>
      </c>
    </row>
    <row r="27" spans="1:11">
      <c r="A27" t="s">
        <v>390</v>
      </c>
      <c r="B27" t="s">
        <v>388</v>
      </c>
      <c r="C27" s="198">
        <f t="shared" ref="C27:D27" si="1">C25+C26</f>
        <v>2942.1804287671239</v>
      </c>
      <c r="D27" s="198">
        <f t="shared" si="1"/>
        <v>4075.6969205479454</v>
      </c>
      <c r="E27" s="198">
        <f>E25+E26</f>
        <v>9136.9097315068502</v>
      </c>
    </row>
    <row r="28" spans="1:11" s="179" customFormat="1">
      <c r="A28" s="179" t="s">
        <v>391</v>
      </c>
      <c r="B28" s="179" t="s">
        <v>392</v>
      </c>
      <c r="C28" s="199">
        <f>C27/(C3+C4)</f>
        <v>0.17749619201515948</v>
      </c>
      <c r="D28" s="199">
        <f>D27/(D3+D4)</f>
        <v>0.17749584733124318</v>
      </c>
      <c r="E28" s="199">
        <f>E27/(E3+E4)</f>
        <v>0.38239747764611459</v>
      </c>
    </row>
    <row r="29" spans="1:11">
      <c r="A29" t="s">
        <v>387</v>
      </c>
      <c r="B29" t="s">
        <v>393</v>
      </c>
      <c r="C29" s="96">
        <f t="shared" ref="C29:E30" si="2">C25/C3</f>
        <v>0.13122574002107515</v>
      </c>
      <c r="D29" s="96">
        <f t="shared" si="2"/>
        <v>0.1312259018882464</v>
      </c>
      <c r="E29" s="96">
        <f t="shared" si="2"/>
        <v>0.28398599485114767</v>
      </c>
    </row>
    <row r="30" spans="1:11">
      <c r="A30" t="s">
        <v>389</v>
      </c>
      <c r="B30" t="s">
        <v>393</v>
      </c>
      <c r="C30" s="96">
        <f t="shared" si="2"/>
        <v>0.19820363391404933</v>
      </c>
      <c r="D30" s="96">
        <f t="shared" si="2"/>
        <v>0.19820357961114923</v>
      </c>
      <c r="E30" s="96">
        <f t="shared" si="2"/>
        <v>0.42842038824779966</v>
      </c>
    </row>
    <row r="31" spans="1:11">
      <c r="A31" t="s">
        <v>394</v>
      </c>
      <c r="B31" t="s">
        <v>395</v>
      </c>
      <c r="C31" s="92">
        <f t="shared" ref="C31:K32" si="3">C10/C3</f>
        <v>957.94790215384864</v>
      </c>
      <c r="D31" s="92">
        <f t="shared" si="3"/>
        <v>957.94908378419871</v>
      </c>
      <c r="E31" s="92">
        <f t="shared" si="3"/>
        <v>1036.548881206689</v>
      </c>
      <c r="F31" s="92">
        <f t="shared" si="3"/>
        <v>1016.6174127715101</v>
      </c>
      <c r="G31" s="92">
        <f t="shared" si="3"/>
        <v>1016.6174561367984</v>
      </c>
      <c r="H31" s="92">
        <f t="shared" si="3"/>
        <v>1120.8638757724061</v>
      </c>
      <c r="I31" s="92">
        <f t="shared" si="3"/>
        <v>1016.6166083778169</v>
      </c>
      <c r="J31" s="92">
        <f t="shared" si="3"/>
        <v>1016.6171259193587</v>
      </c>
      <c r="K31" s="92">
        <f t="shared" si="3"/>
        <v>1261.1950364146437</v>
      </c>
    </row>
    <row r="32" spans="1:11">
      <c r="A32" t="s">
        <v>396</v>
      </c>
      <c r="B32" t="s">
        <v>395</v>
      </c>
      <c r="C32" s="92">
        <f t="shared" si="3"/>
        <v>1446.88652757256</v>
      </c>
      <c r="D32" s="92">
        <f t="shared" si="3"/>
        <v>1446.8861311613894</v>
      </c>
      <c r="E32" s="92">
        <f t="shared" si="3"/>
        <v>1563.7344171044688</v>
      </c>
      <c r="F32" s="92">
        <f t="shared" si="3"/>
        <v>1580.1871674905719</v>
      </c>
      <c r="G32" s="92">
        <f t="shared" si="3"/>
        <v>1580.1871170322374</v>
      </c>
      <c r="H32" s="92">
        <f t="shared" si="3"/>
        <v>1737.1127887325047</v>
      </c>
      <c r="I32" s="92">
        <f t="shared" si="3"/>
        <v>1580.1865663379328</v>
      </c>
      <c r="J32" s="92">
        <f t="shared" si="3"/>
        <v>1580.1866270608871</v>
      </c>
      <c r="K32" s="92">
        <f t="shared" si="3"/>
        <v>1783.9106212655452</v>
      </c>
    </row>
    <row r="33" spans="1:11">
      <c r="A33" t="s">
        <v>397</v>
      </c>
      <c r="B33" t="s">
        <v>398</v>
      </c>
      <c r="C33" s="120">
        <f t="shared" ref="C33:D33" si="4">C31*C21</f>
        <v>1640.3217502634395</v>
      </c>
      <c r="D33" s="120">
        <f t="shared" si="4"/>
        <v>1640.3237736030799</v>
      </c>
      <c r="E33" s="120">
        <f>E31*E21</f>
        <v>1776.9409392114667</v>
      </c>
      <c r="F33" s="120">
        <f t="shared" ref="F33:K33" si="5">F31*F21</f>
        <v>1392.6265928376849</v>
      </c>
      <c r="G33" s="120">
        <f t="shared" si="5"/>
        <v>1392.6266522421895</v>
      </c>
      <c r="H33" s="120">
        <f t="shared" si="5"/>
        <v>1538.5771214018744</v>
      </c>
      <c r="I33" s="120">
        <f t="shared" si="5"/>
        <v>1392.6254909285162</v>
      </c>
      <c r="J33" s="120">
        <f t="shared" si="5"/>
        <v>1392.6261998895325</v>
      </c>
      <c r="K33" s="120">
        <f t="shared" si="5"/>
        <v>1727.2888542200556</v>
      </c>
    </row>
    <row r="34" spans="1:11">
      <c r="A34" t="s">
        <v>397</v>
      </c>
      <c r="B34" t="s">
        <v>399</v>
      </c>
      <c r="C34" s="92">
        <f t="shared" ref="C34:D34" si="6">C33/365</f>
        <v>4.4940321925025737</v>
      </c>
      <c r="D34" s="92">
        <f t="shared" si="6"/>
        <v>4.494037735898849</v>
      </c>
      <c r="E34" s="92">
        <f>E33/365</f>
        <v>4.8683313403053878</v>
      </c>
      <c r="F34" s="92">
        <f t="shared" ref="F34:K34" si="7">F33/365</f>
        <v>3.8154153228429726</v>
      </c>
      <c r="G34" s="92">
        <f t="shared" si="7"/>
        <v>3.8154154855950395</v>
      </c>
      <c r="H34" s="92">
        <f t="shared" si="7"/>
        <v>4.2152797846626697</v>
      </c>
      <c r="I34" s="92">
        <f t="shared" si="7"/>
        <v>3.8154123039137433</v>
      </c>
      <c r="J34" s="92">
        <f t="shared" si="7"/>
        <v>3.8154142462726917</v>
      </c>
      <c r="K34" s="92">
        <f t="shared" si="7"/>
        <v>4.732298230739878</v>
      </c>
    </row>
    <row r="35" spans="1:11" s="124" customFormat="1">
      <c r="C35" s="200"/>
      <c r="D35" s="200"/>
      <c r="E35" s="200"/>
    </row>
    <row r="36" spans="1:11" s="179" customFormat="1">
      <c r="A36" s="179" t="s">
        <v>400</v>
      </c>
      <c r="B36" s="201" t="s">
        <v>392</v>
      </c>
      <c r="C36" s="202">
        <f>C34*0.05</f>
        <v>0.2247016096251287</v>
      </c>
      <c r="D36" s="202">
        <f>D34*0.05</f>
        <v>0.22470188679494246</v>
      </c>
      <c r="E36" s="202">
        <f>E34*0.1</f>
        <v>0.48683313403053879</v>
      </c>
    </row>
    <row r="37" spans="1:11">
      <c r="A37" s="153" t="s">
        <v>401</v>
      </c>
      <c r="B37" s="203" t="s">
        <v>402</v>
      </c>
      <c r="C37" s="204">
        <f t="shared" ref="C37:D37" si="8">C36*C19</f>
        <v>4146.0613443610746</v>
      </c>
      <c r="D37" s="204">
        <f t="shared" si="8"/>
        <v>5743.3873157631861</v>
      </c>
      <c r="E37" s="204">
        <f>E36*E19</f>
        <v>11352.728768849842</v>
      </c>
    </row>
    <row r="39" spans="1:11">
      <c r="A39" s="205" t="s">
        <v>403</v>
      </c>
      <c r="B39" s="206" t="s">
        <v>22</v>
      </c>
      <c r="C39" s="170">
        <f t="shared" ref="C39:K39" si="9">(C19*C14)+(C15*C20)+(C16*C3)+(C4*C17)</f>
        <v>9587065.1155654676</v>
      </c>
      <c r="D39" s="171">
        <f t="shared" si="9"/>
        <v>13280599.270220315</v>
      </c>
      <c r="E39" s="172">
        <f t="shared" si="9"/>
        <v>14075787.760048408</v>
      </c>
      <c r="F39" s="172">
        <f t="shared" si="9"/>
        <v>117568466.41022317</v>
      </c>
      <c r="G39" s="172">
        <f t="shared" si="9"/>
        <v>146922962.23192558</v>
      </c>
      <c r="H39" s="172">
        <f t="shared" si="9"/>
        <v>156003798.7166158</v>
      </c>
      <c r="I39" s="172">
        <f t="shared" si="9"/>
        <v>10223232.960064115</v>
      </c>
      <c r="J39" s="172">
        <f t="shared" si="9"/>
        <v>12775772.612197669</v>
      </c>
      <c r="K39" s="172">
        <f t="shared" si="9"/>
        <v>15422848.054960391</v>
      </c>
    </row>
    <row r="40" spans="1:11" s="29" customFormat="1">
      <c r="A40" s="207" t="s">
        <v>404</v>
      </c>
      <c r="B40" s="208" t="s">
        <v>17</v>
      </c>
      <c r="C40" s="209">
        <f t="shared" ref="C40:K40" si="10">(C12/C39)/365</f>
        <v>2.9500451023840579E-2</v>
      </c>
      <c r="D40" s="210">
        <f t="shared" si="10"/>
        <v>2.9501443330623413E-2</v>
      </c>
      <c r="E40" s="211">
        <f t="shared" si="10"/>
        <v>2.7964263649755846E-2</v>
      </c>
      <c r="F40" s="211">
        <f t="shared" si="10"/>
        <v>3.202531617257643E-2</v>
      </c>
      <c r="G40" s="211">
        <f t="shared" si="10"/>
        <v>3.2025316646434744E-2</v>
      </c>
      <c r="H40" s="211">
        <f t="shared" si="10"/>
        <v>2.795111051217079E-2</v>
      </c>
      <c r="I40" s="211">
        <f t="shared" si="10"/>
        <v>3.3606438334810272E-2</v>
      </c>
      <c r="J40" s="211">
        <f t="shared" si="10"/>
        <v>3.3606429932336736E-2</v>
      </c>
      <c r="K40" s="211">
        <f t="shared" si="10"/>
        <v>2.8553884409727979E-2</v>
      </c>
    </row>
    <row r="42" spans="1:11">
      <c r="A42" s="4" t="s">
        <v>405</v>
      </c>
    </row>
    <row r="43" spans="1:11">
      <c r="A43" t="s">
        <v>49</v>
      </c>
      <c r="B43" s="212" t="s">
        <v>406</v>
      </c>
      <c r="C43">
        <v>0</v>
      </c>
      <c r="D43">
        <v>0</v>
      </c>
      <c r="E43">
        <v>10</v>
      </c>
      <c r="F43">
        <v>0</v>
      </c>
      <c r="G43">
        <v>0</v>
      </c>
      <c r="H43">
        <v>15</v>
      </c>
      <c r="I43">
        <v>0</v>
      </c>
      <c r="J43">
        <v>0</v>
      </c>
      <c r="K43">
        <v>20</v>
      </c>
    </row>
    <row r="44" spans="1:11">
      <c r="A44" t="s">
        <v>54</v>
      </c>
      <c r="B44" s="212" t="s">
        <v>406</v>
      </c>
      <c r="C44">
        <v>0</v>
      </c>
      <c r="D44">
        <v>0</v>
      </c>
      <c r="E44">
        <v>10</v>
      </c>
      <c r="F44">
        <v>0</v>
      </c>
      <c r="G44">
        <v>0</v>
      </c>
      <c r="H44">
        <v>10</v>
      </c>
      <c r="I44">
        <v>0</v>
      </c>
      <c r="J44">
        <v>0</v>
      </c>
      <c r="K44">
        <v>10</v>
      </c>
    </row>
    <row r="45" spans="1:11">
      <c r="A45" t="s">
        <v>407</v>
      </c>
      <c r="B45" s="212" t="s">
        <v>406</v>
      </c>
      <c r="C45">
        <f>C43+C44</f>
        <v>0</v>
      </c>
      <c r="D45">
        <f t="shared" ref="D45:K45" si="11">D43+D44</f>
        <v>0</v>
      </c>
      <c r="E45">
        <f t="shared" si="11"/>
        <v>20</v>
      </c>
      <c r="F45">
        <f t="shared" si="11"/>
        <v>0</v>
      </c>
      <c r="G45">
        <f t="shared" si="11"/>
        <v>0</v>
      </c>
      <c r="H45">
        <f t="shared" si="11"/>
        <v>25</v>
      </c>
      <c r="I45">
        <f t="shared" si="11"/>
        <v>0</v>
      </c>
      <c r="J45">
        <f t="shared" si="11"/>
        <v>0</v>
      </c>
      <c r="K45">
        <f t="shared" si="11"/>
        <v>30</v>
      </c>
    </row>
    <row r="46" spans="1:11">
      <c r="A46" t="s">
        <v>408</v>
      </c>
      <c r="B46" t="s">
        <v>398</v>
      </c>
      <c r="C46">
        <f>(C33*C45)/100</f>
        <v>0</v>
      </c>
      <c r="D46">
        <f t="shared" ref="D46:J46" si="12">(D33*D45)/100</f>
        <v>0</v>
      </c>
      <c r="E46" s="92">
        <f t="shared" si="12"/>
        <v>355.38818784229335</v>
      </c>
      <c r="F46" s="92">
        <f t="shared" si="12"/>
        <v>0</v>
      </c>
      <c r="G46" s="92">
        <f t="shared" si="12"/>
        <v>0</v>
      </c>
      <c r="H46" s="92">
        <f t="shared" si="12"/>
        <v>384.64428035046859</v>
      </c>
      <c r="I46" s="92">
        <f t="shared" si="12"/>
        <v>0</v>
      </c>
      <c r="J46" s="92">
        <f t="shared" si="12"/>
        <v>0</v>
      </c>
      <c r="K46" s="92">
        <f>(K33*K45)/100</f>
        <v>518.1866562660166</v>
      </c>
    </row>
    <row r="47" spans="1:11">
      <c r="A47" t="s">
        <v>408</v>
      </c>
      <c r="B47" t="s">
        <v>399</v>
      </c>
      <c r="C47">
        <f>C46/365</f>
        <v>0</v>
      </c>
      <c r="D47">
        <f>D46/365</f>
        <v>0</v>
      </c>
      <c r="E47" s="92">
        <f>E46/365</f>
        <v>0.9736662680610777</v>
      </c>
      <c r="F47" s="92">
        <f t="shared" ref="F47:K47" si="13">F46/365</f>
        <v>0</v>
      </c>
      <c r="G47" s="92">
        <f t="shared" si="13"/>
        <v>0</v>
      </c>
      <c r="H47" s="92">
        <f t="shared" si="13"/>
        <v>1.0538199461656674</v>
      </c>
      <c r="I47" s="92">
        <f t="shared" si="13"/>
        <v>0</v>
      </c>
      <c r="J47" s="92">
        <f t="shared" si="13"/>
        <v>0</v>
      </c>
      <c r="K47" s="92">
        <f t="shared" si="13"/>
        <v>1.4196894692219633</v>
      </c>
    </row>
    <row r="48" spans="1:11">
      <c r="A48" t="s">
        <v>408</v>
      </c>
      <c r="B48" t="s">
        <v>409</v>
      </c>
      <c r="C48">
        <f t="shared" ref="C48:D48" si="14">(C46*C19)/1000</f>
        <v>0</v>
      </c>
      <c r="D48">
        <f t="shared" si="14"/>
        <v>0</v>
      </c>
      <c r="E48" s="92">
        <f>(E46*E19)/1000</f>
        <v>8287.4920012603852</v>
      </c>
      <c r="F48" s="92">
        <f t="shared" ref="F48:K48" si="15">(F46*F19)/1000</f>
        <v>0</v>
      </c>
      <c r="G48" s="92">
        <f t="shared" si="15"/>
        <v>0</v>
      </c>
      <c r="H48" s="92">
        <f t="shared" si="15"/>
        <v>115348.43083100523</v>
      </c>
      <c r="I48" s="92">
        <f t="shared" si="15"/>
        <v>0</v>
      </c>
      <c r="J48" s="92">
        <f t="shared" si="15"/>
        <v>0</v>
      </c>
      <c r="K48" s="92">
        <f t="shared" si="15"/>
        <v>13820.736474818896</v>
      </c>
    </row>
    <row r="49" spans="1:11">
      <c r="A49" t="s">
        <v>410</v>
      </c>
      <c r="B49" t="s">
        <v>409</v>
      </c>
      <c r="C49">
        <f t="shared" ref="C49:D49" si="16">(((C10+C11)*C45)/100)/1000</f>
        <v>0</v>
      </c>
      <c r="D49">
        <f t="shared" si="16"/>
        <v>0</v>
      </c>
      <c r="E49">
        <f>(((E10+E11)*E45)/100)/1000</f>
        <v>6669.9441040000011</v>
      </c>
      <c r="F49">
        <f t="shared" ref="F49:K49" si="17">(((F10+F11)*F45)/100)/1000</f>
        <v>0</v>
      </c>
      <c r="G49">
        <f t="shared" si="17"/>
        <v>0</v>
      </c>
      <c r="H49">
        <f t="shared" si="17"/>
        <v>79618.597312500002</v>
      </c>
      <c r="I49">
        <f t="shared" si="17"/>
        <v>0</v>
      </c>
      <c r="J49">
        <f t="shared" si="17"/>
        <v>0</v>
      </c>
      <c r="K49">
        <f t="shared" si="17"/>
        <v>10044.774576</v>
      </c>
    </row>
    <row r="50" spans="1:11">
      <c r="A50" s="213" t="s">
        <v>411</v>
      </c>
      <c r="B50" s="213" t="s">
        <v>412</v>
      </c>
      <c r="C50">
        <f>C48+C49</f>
        <v>0</v>
      </c>
      <c r="D50">
        <f>D48+D49</f>
        <v>0</v>
      </c>
      <c r="E50">
        <f t="shared" ref="E50:K50" si="18">E48+E49</f>
        <v>14957.436105260385</v>
      </c>
      <c r="F50">
        <f t="shared" si="18"/>
        <v>0</v>
      </c>
      <c r="G50">
        <f t="shared" si="18"/>
        <v>0</v>
      </c>
      <c r="H50">
        <f t="shared" si="18"/>
        <v>194967.02814350522</v>
      </c>
      <c r="I50">
        <f t="shared" si="18"/>
        <v>0</v>
      </c>
      <c r="J50">
        <f t="shared" si="18"/>
        <v>0</v>
      </c>
      <c r="K50">
        <f t="shared" si="18"/>
        <v>23865.511050818895</v>
      </c>
    </row>
    <row r="51" spans="1:11">
      <c r="A51" s="124"/>
      <c r="B51" s="124"/>
    </row>
    <row r="52" spans="1:11">
      <c r="A52" t="s">
        <v>413</v>
      </c>
      <c r="B52" t="s">
        <v>414</v>
      </c>
      <c r="C52" s="120">
        <v>2.1469999999999998</v>
      </c>
      <c r="D52" s="120">
        <v>2.1469999999999998</v>
      </c>
      <c r="E52" s="120">
        <v>2.1469999999999998</v>
      </c>
      <c r="F52" s="120">
        <v>2.1469999999999998</v>
      </c>
      <c r="G52" s="120">
        <v>2.1469999999999998</v>
      </c>
      <c r="H52" s="120">
        <v>2.1469999999999998</v>
      </c>
      <c r="I52" s="120">
        <v>2.1469999999999998</v>
      </c>
      <c r="J52" s="120">
        <v>2.1469999999999998</v>
      </c>
      <c r="K52" s="120">
        <v>2.1469999999999998</v>
      </c>
    </row>
    <row r="53" spans="1:11" ht="28.9">
      <c r="A53" s="93" t="s">
        <v>415</v>
      </c>
      <c r="B53" t="s">
        <v>414</v>
      </c>
      <c r="C53">
        <v>5</v>
      </c>
      <c r="D53">
        <v>5</v>
      </c>
      <c r="E53">
        <v>5</v>
      </c>
      <c r="F53">
        <v>5</v>
      </c>
      <c r="G53">
        <v>5</v>
      </c>
      <c r="H53">
        <v>5</v>
      </c>
      <c r="I53">
        <v>5</v>
      </c>
      <c r="J53">
        <v>5</v>
      </c>
      <c r="K53">
        <v>5</v>
      </c>
    </row>
    <row r="54" spans="1:11">
      <c r="A54" s="214" t="s">
        <v>416</v>
      </c>
      <c r="B54" s="214" t="s">
        <v>417</v>
      </c>
      <c r="C54">
        <f t="shared" ref="C54:D54" si="19">C50/C53</f>
        <v>0</v>
      </c>
      <c r="D54">
        <f t="shared" si="19"/>
        <v>0</v>
      </c>
      <c r="E54">
        <f>E50/E53</f>
        <v>2991.4872210520771</v>
      </c>
      <c r="F54">
        <f t="shared" ref="F54:K54" si="20">F50/F53</f>
        <v>0</v>
      </c>
      <c r="G54">
        <f t="shared" si="20"/>
        <v>0</v>
      </c>
      <c r="H54">
        <f t="shared" si="20"/>
        <v>38993.405628701046</v>
      </c>
      <c r="I54">
        <f t="shared" si="20"/>
        <v>0</v>
      </c>
      <c r="J54">
        <f t="shared" si="20"/>
        <v>0</v>
      </c>
      <c r="K54">
        <f t="shared" si="20"/>
        <v>4773.1022101637791</v>
      </c>
    </row>
    <row r="56" spans="1:11">
      <c r="A56" s="214" t="s">
        <v>418</v>
      </c>
      <c r="B56" s="214" t="s">
        <v>419</v>
      </c>
      <c r="C56" s="215">
        <f>E54+H54+K54</f>
        <v>46757.995059916902</v>
      </c>
    </row>
  </sheetData>
  <mergeCells count="1">
    <mergeCell ref="C1:E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A2EC5-E38B-4B5C-87F9-ABFE87127846}">
  <dimension ref="A2:V26"/>
  <sheetViews>
    <sheetView workbookViewId="0">
      <selection activeCell="C4" sqref="C4"/>
    </sheetView>
  </sheetViews>
  <sheetFormatPr defaultColWidth="11.42578125" defaultRowHeight="14.45"/>
  <cols>
    <col min="1" max="1" width="44" bestFit="1" customWidth="1"/>
    <col min="3" max="3" width="19.28515625" bestFit="1" customWidth="1"/>
    <col min="5" max="5" width="13.28515625" bestFit="1" customWidth="1"/>
    <col min="22" max="22" width="12.5703125" bestFit="1" customWidth="1"/>
  </cols>
  <sheetData>
    <row r="2" spans="1:22">
      <c r="E2">
        <v>2020</v>
      </c>
    </row>
    <row r="3" spans="1:22">
      <c r="A3" s="3"/>
      <c r="B3" s="3" t="s">
        <v>420</v>
      </c>
      <c r="C3" s="3" t="s">
        <v>357</v>
      </c>
      <c r="E3" t="s">
        <v>421</v>
      </c>
      <c r="F3" s="4" t="s">
        <v>251</v>
      </c>
      <c r="G3" s="4" t="s">
        <v>97</v>
      </c>
    </row>
    <row r="4" spans="1:22">
      <c r="A4" s="160" t="s">
        <v>422</v>
      </c>
      <c r="B4" s="3">
        <v>5</v>
      </c>
      <c r="C4" s="157">
        <v>7831</v>
      </c>
      <c r="D4" s="112">
        <f>C4/C7</f>
        <v>0.05</v>
      </c>
      <c r="E4" s="158">
        <f>B4*C4</f>
        <v>39155</v>
      </c>
    </row>
    <row r="5" spans="1:22">
      <c r="A5" s="160" t="s">
        <v>423</v>
      </c>
      <c r="B5" s="3">
        <v>5</v>
      </c>
      <c r="C5" s="157">
        <v>136886</v>
      </c>
      <c r="D5" s="112">
        <f>C5/C7</f>
        <v>0.87400076618567235</v>
      </c>
      <c r="E5" s="158">
        <f t="shared" ref="E5:E6" si="0">B5*C5</f>
        <v>684430</v>
      </c>
    </row>
    <row r="6" spans="1:22">
      <c r="A6" s="160" t="s">
        <v>424</v>
      </c>
      <c r="B6" s="3">
        <v>5</v>
      </c>
      <c r="C6" s="157">
        <v>11903</v>
      </c>
      <c r="D6" s="112">
        <f>C6/C7</f>
        <v>7.5999233814327674E-2</v>
      </c>
      <c r="E6" s="158">
        <f t="shared" si="0"/>
        <v>59515</v>
      </c>
    </row>
    <row r="7" spans="1:22">
      <c r="A7" s="3"/>
      <c r="B7" s="3"/>
      <c r="C7" s="157">
        <f>SUM(C4:C6)</f>
        <v>156620</v>
      </c>
      <c r="D7" s="156">
        <f>SUM(D4:D6)</f>
        <v>1</v>
      </c>
      <c r="E7" s="159">
        <f>SUM(E4:E6)</f>
        <v>783100</v>
      </c>
    </row>
    <row r="13" spans="1:22">
      <c r="B13" t="s">
        <v>425</v>
      </c>
    </row>
    <row r="14" spans="1:22">
      <c r="B14" t="s">
        <v>426</v>
      </c>
      <c r="C14">
        <v>2020</v>
      </c>
      <c r="D14">
        <v>2021</v>
      </c>
      <c r="E14">
        <v>2022</v>
      </c>
      <c r="F14">
        <v>2023</v>
      </c>
      <c r="G14">
        <v>2024</v>
      </c>
    </row>
    <row r="15" spans="1:22">
      <c r="A15" t="s">
        <v>0</v>
      </c>
      <c r="C15">
        <v>1</v>
      </c>
      <c r="D15">
        <v>2</v>
      </c>
      <c r="E15">
        <v>3</v>
      </c>
      <c r="F15">
        <v>4</v>
      </c>
      <c r="G15">
        <v>5</v>
      </c>
      <c r="H15">
        <v>6</v>
      </c>
      <c r="I15">
        <v>7</v>
      </c>
      <c r="J15">
        <v>8</v>
      </c>
      <c r="K15">
        <v>9</v>
      </c>
      <c r="L15">
        <v>10</v>
      </c>
      <c r="M15">
        <v>11</v>
      </c>
      <c r="N15">
        <v>12</v>
      </c>
      <c r="O15">
        <v>13</v>
      </c>
      <c r="P15">
        <v>14</v>
      </c>
      <c r="Q15">
        <v>15</v>
      </c>
      <c r="R15">
        <v>16</v>
      </c>
      <c r="S15">
        <v>17</v>
      </c>
      <c r="T15">
        <v>18</v>
      </c>
      <c r="U15">
        <v>19</v>
      </c>
      <c r="V15">
        <v>20</v>
      </c>
    </row>
    <row r="16" spans="1:22">
      <c r="A16" s="110" t="s">
        <v>427</v>
      </c>
      <c r="B16">
        <v>1.73</v>
      </c>
      <c r="C16" s="125">
        <f>E4</f>
        <v>39155</v>
      </c>
      <c r="D16" s="96">
        <f>C16+((C16*$B$16)/100)</f>
        <v>39832.381500000003</v>
      </c>
      <c r="E16" s="96">
        <f t="shared" ref="E16:G16" si="1">D16+((D16*$B$16)/100)</f>
        <v>40521.481699950004</v>
      </c>
      <c r="F16" s="96">
        <f t="shared" si="1"/>
        <v>41222.503333359142</v>
      </c>
      <c r="G16" s="96">
        <f t="shared" si="1"/>
        <v>41935.652641026252</v>
      </c>
    </row>
    <row r="17" spans="1:22">
      <c r="A17" s="110" t="s">
        <v>428</v>
      </c>
      <c r="B17">
        <v>1.73</v>
      </c>
      <c r="C17" s="125">
        <f>G16</f>
        <v>41935.652641026252</v>
      </c>
      <c r="D17" s="96">
        <f>C17+((C17*$B$17)/100)</f>
        <v>42661.139431716008</v>
      </c>
      <c r="E17" s="96">
        <f t="shared" ref="E17:V17" si="2">D17+((D17*$B$17)/100)</f>
        <v>43399.177143884692</v>
      </c>
      <c r="F17" s="96">
        <f t="shared" si="2"/>
        <v>44149.982908473896</v>
      </c>
      <c r="G17" s="96">
        <f t="shared" si="2"/>
        <v>44913.777612790494</v>
      </c>
      <c r="H17" s="96">
        <f t="shared" si="2"/>
        <v>45690.78596549177</v>
      </c>
      <c r="I17" s="96">
        <f t="shared" si="2"/>
        <v>46481.236562694779</v>
      </c>
      <c r="J17" s="96">
        <f t="shared" si="2"/>
        <v>47285.361955229397</v>
      </c>
      <c r="K17" s="96">
        <f t="shared" si="2"/>
        <v>48103.398717054864</v>
      </c>
      <c r="L17" s="96">
        <f t="shared" si="2"/>
        <v>48935.587514859915</v>
      </c>
      <c r="M17" s="96">
        <f t="shared" si="2"/>
        <v>49782.173178866993</v>
      </c>
      <c r="N17" s="96">
        <f t="shared" si="2"/>
        <v>50643.404774861396</v>
      </c>
      <c r="O17" s="96">
        <f t="shared" si="2"/>
        <v>51519.535677466498</v>
      </c>
      <c r="P17" s="96">
        <f t="shared" si="2"/>
        <v>52410.823644686665</v>
      </c>
      <c r="Q17" s="96">
        <f t="shared" si="2"/>
        <v>53317.530893739742</v>
      </c>
      <c r="R17" s="96">
        <f t="shared" si="2"/>
        <v>54239.924178201443</v>
      </c>
      <c r="S17" s="96">
        <f t="shared" si="2"/>
        <v>55178.274866484331</v>
      </c>
      <c r="T17" s="96">
        <f t="shared" si="2"/>
        <v>56132.859021674507</v>
      </c>
      <c r="U17" s="96">
        <f t="shared" si="2"/>
        <v>57103.957482749473</v>
      </c>
      <c r="V17" s="96">
        <f t="shared" si="2"/>
        <v>58091.855947201038</v>
      </c>
    </row>
    <row r="18" spans="1:22">
      <c r="A18" s="110" t="s">
        <v>429</v>
      </c>
      <c r="B18">
        <v>1.24</v>
      </c>
      <c r="C18" s="125">
        <f>G16</f>
        <v>41935.652641026252</v>
      </c>
      <c r="D18" s="96">
        <f>C18+((C18*$B$18)/100)</f>
        <v>42455.65473377498</v>
      </c>
      <c r="E18" s="96">
        <f t="shared" ref="E18:V18" si="3">D18+((D18*$B$18)/100)</f>
        <v>42982.104852473793</v>
      </c>
      <c r="F18" s="96">
        <f t="shared" si="3"/>
        <v>43515.082952644465</v>
      </c>
      <c r="G18" s="96">
        <f t="shared" si="3"/>
        <v>44054.669981257255</v>
      </c>
      <c r="H18" s="96">
        <f t="shared" si="3"/>
        <v>44600.947889024843</v>
      </c>
      <c r="I18" s="96">
        <f t="shared" si="3"/>
        <v>45153.99964284875</v>
      </c>
      <c r="J18" s="96">
        <f t="shared" si="3"/>
        <v>45713.909238420078</v>
      </c>
      <c r="K18" s="96">
        <f t="shared" si="3"/>
        <v>46280.761712976484</v>
      </c>
      <c r="L18" s="96">
        <f t="shared" si="3"/>
        <v>46854.64315821739</v>
      </c>
      <c r="M18" s="96">
        <f t="shared" si="3"/>
        <v>47435.640733379289</v>
      </c>
      <c r="N18" s="96">
        <f t="shared" si="3"/>
        <v>48023.842678473193</v>
      </c>
      <c r="O18" s="96">
        <f t="shared" si="3"/>
        <v>48619.338327686259</v>
      </c>
      <c r="P18" s="96">
        <f t="shared" si="3"/>
        <v>49222.218122949569</v>
      </c>
      <c r="Q18" s="96">
        <f t="shared" si="3"/>
        <v>49832.573627674145</v>
      </c>
      <c r="R18" s="96">
        <f t="shared" si="3"/>
        <v>50450.497540657307</v>
      </c>
      <c r="S18" s="96">
        <f t="shared" si="3"/>
        <v>51076.08371016146</v>
      </c>
      <c r="T18" s="96">
        <f t="shared" si="3"/>
        <v>51709.427148167459</v>
      </c>
      <c r="U18" s="96">
        <f t="shared" si="3"/>
        <v>52350.624044804732</v>
      </c>
      <c r="V18" s="96">
        <f t="shared" si="3"/>
        <v>52999.771782960313</v>
      </c>
    </row>
    <row r="19" spans="1:22">
      <c r="A19" t="s">
        <v>1</v>
      </c>
    </row>
    <row r="20" spans="1:22">
      <c r="A20" s="110" t="s">
        <v>427</v>
      </c>
      <c r="B20">
        <v>1.18</v>
      </c>
      <c r="C20" s="125">
        <f>E5</f>
        <v>684430</v>
      </c>
      <c r="D20" s="96">
        <f>C20+((C20*$B$20)/100)</f>
        <v>692506.27399999998</v>
      </c>
      <c r="E20" s="96">
        <f t="shared" ref="E20:G20" si="4">D20+((D20*$B$20)/100)</f>
        <v>700677.84803320002</v>
      </c>
      <c r="F20" s="96">
        <f t="shared" si="4"/>
        <v>708945.84663999174</v>
      </c>
      <c r="G20" s="96">
        <f t="shared" si="4"/>
        <v>717311.40763034369</v>
      </c>
    </row>
    <row r="21" spans="1:22">
      <c r="A21" s="110" t="s">
        <v>428</v>
      </c>
      <c r="B21">
        <v>1.18</v>
      </c>
      <c r="C21" s="125">
        <f>G20</f>
        <v>717311.40763034369</v>
      </c>
      <c r="D21" s="96">
        <f>C21+((C21*$B$21)/100)</f>
        <v>725775.68224038172</v>
      </c>
      <c r="E21" s="96">
        <f t="shared" ref="E21:V21" si="5">D21+((D21*$B$21)/100)</f>
        <v>734339.83529081824</v>
      </c>
      <c r="F21" s="96">
        <f t="shared" si="5"/>
        <v>743005.04534724995</v>
      </c>
      <c r="G21" s="96">
        <f t="shared" si="5"/>
        <v>751772.50488234754</v>
      </c>
      <c r="H21" s="96">
        <f t="shared" si="5"/>
        <v>760643.42043995927</v>
      </c>
      <c r="I21" s="96">
        <f t="shared" si="5"/>
        <v>769619.01280115079</v>
      </c>
      <c r="J21" s="96">
        <f t="shared" si="5"/>
        <v>778700.51715220441</v>
      </c>
      <c r="K21" s="96">
        <f t="shared" si="5"/>
        <v>787889.18325460039</v>
      </c>
      <c r="L21" s="96">
        <f t="shared" si="5"/>
        <v>797186.27561700472</v>
      </c>
      <c r="M21" s="96">
        <f t="shared" si="5"/>
        <v>806593.0736692854</v>
      </c>
      <c r="N21" s="96">
        <f t="shared" si="5"/>
        <v>816110.87193858298</v>
      </c>
      <c r="O21" s="96">
        <f t="shared" si="5"/>
        <v>825740.98022745829</v>
      </c>
      <c r="P21" s="96">
        <f t="shared" si="5"/>
        <v>835484.72379414225</v>
      </c>
      <c r="Q21" s="96">
        <f t="shared" si="5"/>
        <v>845343.44353491312</v>
      </c>
      <c r="R21" s="96">
        <f t="shared" si="5"/>
        <v>855318.49616862508</v>
      </c>
      <c r="S21" s="96">
        <f t="shared" si="5"/>
        <v>865411.25442341482</v>
      </c>
      <c r="T21" s="96">
        <f t="shared" si="5"/>
        <v>875623.10722561111</v>
      </c>
      <c r="U21" s="96">
        <f t="shared" si="5"/>
        <v>885955.45989087329</v>
      </c>
      <c r="V21" s="96">
        <f t="shared" si="5"/>
        <v>896409.73431758559</v>
      </c>
    </row>
    <row r="22" spans="1:22">
      <c r="A22" s="110" t="s">
        <v>429</v>
      </c>
      <c r="B22">
        <v>1.03</v>
      </c>
      <c r="C22" s="125">
        <f>G20</f>
        <v>717311.40763034369</v>
      </c>
      <c r="D22" s="96">
        <f>C22+((C22*$B$22)/100)</f>
        <v>724699.71512893622</v>
      </c>
      <c r="E22" s="96">
        <f t="shared" ref="E22:V22" si="6">D22+((D22*$B$22)/100)</f>
        <v>732164.12219476432</v>
      </c>
      <c r="F22" s="96">
        <f t="shared" si="6"/>
        <v>739705.41265337041</v>
      </c>
      <c r="G22" s="96">
        <f t="shared" si="6"/>
        <v>747324.37840370007</v>
      </c>
      <c r="H22" s="96">
        <f t="shared" si="6"/>
        <v>755021.8195012582</v>
      </c>
      <c r="I22" s="96">
        <f t="shared" si="6"/>
        <v>762798.54424212116</v>
      </c>
      <c r="J22" s="96">
        <f t="shared" si="6"/>
        <v>770655.36924781499</v>
      </c>
      <c r="K22" s="96">
        <f t="shared" si="6"/>
        <v>778593.11955106747</v>
      </c>
      <c r="L22" s="96">
        <f t="shared" si="6"/>
        <v>786612.62868244352</v>
      </c>
      <c r="M22" s="96">
        <f t="shared" si="6"/>
        <v>794714.73875787272</v>
      </c>
      <c r="N22" s="96">
        <f t="shared" si="6"/>
        <v>802900.30056707875</v>
      </c>
      <c r="O22" s="96">
        <f t="shared" si="6"/>
        <v>811170.17366291967</v>
      </c>
      <c r="P22" s="96">
        <f t="shared" si="6"/>
        <v>819525.2264516477</v>
      </c>
      <c r="Q22" s="96">
        <f t="shared" si="6"/>
        <v>827966.33628409973</v>
      </c>
      <c r="R22" s="96">
        <f t="shared" si="6"/>
        <v>836494.38954782591</v>
      </c>
      <c r="S22" s="96">
        <f t="shared" si="6"/>
        <v>845110.28176016849</v>
      </c>
      <c r="T22" s="96">
        <f t="shared" si="6"/>
        <v>853814.91766229819</v>
      </c>
      <c r="U22" s="96">
        <f t="shared" si="6"/>
        <v>862609.21131421987</v>
      </c>
      <c r="V22" s="96">
        <f t="shared" si="6"/>
        <v>871494.08619075629</v>
      </c>
    </row>
    <row r="23" spans="1:22">
      <c r="A23" t="s">
        <v>2</v>
      </c>
    </row>
    <row r="24" spans="1:22">
      <c r="A24" s="110" t="s">
        <v>427</v>
      </c>
      <c r="B24">
        <v>1.18</v>
      </c>
      <c r="C24" s="125">
        <f>E6</f>
        <v>59515</v>
      </c>
      <c r="D24" s="96">
        <f>C24+((C24*$B$24)/100)</f>
        <v>60217.277000000002</v>
      </c>
      <c r="E24" s="96">
        <f t="shared" ref="E24:G24" si="7">D24+((D24*$B$24)/100)</f>
        <v>60927.840868600004</v>
      </c>
      <c r="F24" s="96">
        <f t="shared" si="7"/>
        <v>61646.789390849481</v>
      </c>
      <c r="G24" s="96">
        <f t="shared" si="7"/>
        <v>62374.221505661502</v>
      </c>
    </row>
    <row r="25" spans="1:22">
      <c r="A25" s="110" t="s">
        <v>428</v>
      </c>
      <c r="B25">
        <v>1.18</v>
      </c>
      <c r="C25" s="125">
        <f>G24</f>
        <v>62374.221505661502</v>
      </c>
      <c r="D25" s="96">
        <f>C25+((C25*$B$25)/100)</f>
        <v>63110.237319428306</v>
      </c>
      <c r="E25" s="96">
        <f t="shared" ref="E25:V25" si="8">D25+((D25*$B$25)/100)</f>
        <v>63854.93811979756</v>
      </c>
      <c r="F25" s="96">
        <f t="shared" si="8"/>
        <v>64608.426389611173</v>
      </c>
      <c r="G25" s="96">
        <f t="shared" si="8"/>
        <v>65370.805821008587</v>
      </c>
      <c r="H25" s="96">
        <f t="shared" si="8"/>
        <v>66142.181329696483</v>
      </c>
      <c r="I25" s="96">
        <f t="shared" si="8"/>
        <v>66922.659069386908</v>
      </c>
      <c r="J25" s="96">
        <f t="shared" si="8"/>
        <v>67712.346446405674</v>
      </c>
      <c r="K25" s="96">
        <f t="shared" si="8"/>
        <v>68511.352134473258</v>
      </c>
      <c r="L25" s="96">
        <f t="shared" si="8"/>
        <v>69319.786089660047</v>
      </c>
      <c r="M25" s="96">
        <f t="shared" si="8"/>
        <v>70137.759565518034</v>
      </c>
      <c r="N25" s="96">
        <f t="shared" si="8"/>
        <v>70965.38512839115</v>
      </c>
      <c r="O25" s="96">
        <f t="shared" si="8"/>
        <v>71802.77667290617</v>
      </c>
      <c r="P25" s="96">
        <f t="shared" si="8"/>
        <v>72650.049437646463</v>
      </c>
      <c r="Q25" s="96">
        <f t="shared" si="8"/>
        <v>73507.320021010688</v>
      </c>
      <c r="R25" s="96">
        <f t="shared" si="8"/>
        <v>74374.706397258618</v>
      </c>
      <c r="S25" s="96">
        <f t="shared" si="8"/>
        <v>75252.327932746266</v>
      </c>
      <c r="T25" s="96">
        <f t="shared" si="8"/>
        <v>76140.305402352678</v>
      </c>
      <c r="U25" s="96">
        <f t="shared" si="8"/>
        <v>77038.761006100438</v>
      </c>
      <c r="V25" s="96">
        <f t="shared" si="8"/>
        <v>77947.818385972423</v>
      </c>
    </row>
    <row r="26" spans="1:22">
      <c r="A26" s="110" t="s">
        <v>429</v>
      </c>
      <c r="B26">
        <v>1.1499999999999999</v>
      </c>
      <c r="C26" s="125">
        <f>G24</f>
        <v>62374.221505661502</v>
      </c>
      <c r="D26" s="96">
        <f>C26+((C26*$B$26)/100)</f>
        <v>63091.525052976613</v>
      </c>
      <c r="E26" s="96">
        <f t="shared" ref="E26:V26" si="9">D26+((D26*$B$26)/100)</f>
        <v>63817.077591085843</v>
      </c>
      <c r="F26" s="96">
        <f t="shared" si="9"/>
        <v>64550.97398338333</v>
      </c>
      <c r="G26" s="96">
        <f t="shared" si="9"/>
        <v>65293.31018419224</v>
      </c>
      <c r="H26" s="96">
        <f t="shared" si="9"/>
        <v>66044.183251310445</v>
      </c>
      <c r="I26" s="96">
        <f t="shared" si="9"/>
        <v>66803.691358700511</v>
      </c>
      <c r="J26" s="96">
        <f t="shared" si="9"/>
        <v>67571.933809325565</v>
      </c>
      <c r="K26" s="96">
        <f t="shared" si="9"/>
        <v>68349.011048132816</v>
      </c>
      <c r="L26" s="96">
        <f t="shared" si="9"/>
        <v>69135.024675186345</v>
      </c>
      <c r="M26" s="96">
        <f t="shared" si="9"/>
        <v>69930.077458950982</v>
      </c>
      <c r="N26" s="96">
        <f t="shared" si="9"/>
        <v>70734.273349728915</v>
      </c>
      <c r="O26" s="96">
        <f t="shared" si="9"/>
        <v>71547.717493250791</v>
      </c>
      <c r="P26" s="96">
        <f t="shared" si="9"/>
        <v>72370.516244423168</v>
      </c>
      <c r="Q26" s="96">
        <f t="shared" si="9"/>
        <v>73202.777181234036</v>
      </c>
      <c r="R26" s="96">
        <f t="shared" si="9"/>
        <v>74044.609118818233</v>
      </c>
      <c r="S26" s="96">
        <f t="shared" si="9"/>
        <v>74896.122123684647</v>
      </c>
      <c r="T26" s="96">
        <f t="shared" si="9"/>
        <v>75757.427528107015</v>
      </c>
      <c r="U26" s="96">
        <f t="shared" si="9"/>
        <v>76628.637944680246</v>
      </c>
      <c r="V26" s="96">
        <f t="shared" si="9"/>
        <v>77509.867281044062</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7231E-C79B-4119-9E73-9AA3065B6383}">
  <dimension ref="A1:T88"/>
  <sheetViews>
    <sheetView topLeftCell="A4" workbookViewId="0">
      <selection activeCell="N17" sqref="N17"/>
    </sheetView>
  </sheetViews>
  <sheetFormatPr defaultColWidth="8.85546875" defaultRowHeight="14.45"/>
  <cols>
    <col min="1" max="1" width="42.140625" bestFit="1" customWidth="1"/>
    <col min="3" max="3" width="11.28515625" bestFit="1" customWidth="1"/>
    <col min="4" max="4" width="10.28515625" bestFit="1" customWidth="1"/>
    <col min="6" max="6" width="10.28515625" bestFit="1" customWidth="1"/>
    <col min="7" max="7" width="9.28515625" bestFit="1" customWidth="1"/>
    <col min="10" max="10" width="13.85546875" bestFit="1" customWidth="1"/>
    <col min="11" max="12" width="12.85546875" customWidth="1"/>
    <col min="13" max="14" width="12.140625" customWidth="1"/>
    <col min="15" max="16" width="13.7109375" customWidth="1"/>
    <col min="17" max="17" width="13.28515625" customWidth="1"/>
    <col min="18" max="18" width="11.28515625" bestFit="1" customWidth="1"/>
    <col min="20" max="20" width="13.85546875" bestFit="1" customWidth="1"/>
  </cols>
  <sheetData>
    <row r="1" spans="1:20">
      <c r="K1" s="106"/>
      <c r="L1" s="106"/>
      <c r="M1" s="106"/>
      <c r="N1" s="106"/>
      <c r="O1" s="106"/>
      <c r="P1" s="106"/>
      <c r="Q1" s="106"/>
      <c r="R1" s="93"/>
    </row>
    <row r="2" spans="1:20">
      <c r="A2" s="4" t="s">
        <v>75</v>
      </c>
      <c r="B2" s="4"/>
      <c r="C2" s="249" t="s">
        <v>76</v>
      </c>
      <c r="D2" s="249"/>
      <c r="E2" s="249"/>
      <c r="F2" s="249" t="s">
        <v>77</v>
      </c>
      <c r="G2" s="249"/>
      <c r="H2" s="249"/>
      <c r="K2" s="250" t="s">
        <v>76</v>
      </c>
      <c r="L2" s="250"/>
      <c r="M2" s="250"/>
      <c r="N2" s="250"/>
      <c r="O2" s="247" t="s">
        <v>77</v>
      </c>
      <c r="P2" s="247"/>
      <c r="Q2" s="247"/>
      <c r="R2" s="247"/>
      <c r="T2" s="98">
        <f>0.2*K16</f>
        <v>46437.553942208753</v>
      </c>
    </row>
    <row r="3" spans="1:20">
      <c r="A3" s="4" t="s">
        <v>3</v>
      </c>
      <c r="B3" s="4" t="s">
        <v>4</v>
      </c>
      <c r="C3" s="4" t="s">
        <v>78</v>
      </c>
      <c r="D3" s="4" t="s">
        <v>79</v>
      </c>
      <c r="E3" s="4" t="s">
        <v>80</v>
      </c>
      <c r="F3" s="4" t="s">
        <v>78</v>
      </c>
      <c r="G3" s="4" t="s">
        <v>79</v>
      </c>
      <c r="H3" s="4" t="s">
        <v>80</v>
      </c>
      <c r="K3" s="4" t="s">
        <v>81</v>
      </c>
      <c r="L3" s="4" t="s">
        <v>82</v>
      </c>
      <c r="M3" s="4" t="s">
        <v>83</v>
      </c>
      <c r="N3" s="4" t="s">
        <v>82</v>
      </c>
      <c r="O3" s="4" t="s">
        <v>81</v>
      </c>
      <c r="P3" s="4" t="s">
        <v>82</v>
      </c>
      <c r="Q3" s="4" t="s">
        <v>84</v>
      </c>
      <c r="R3" s="4" t="s">
        <v>82</v>
      </c>
      <c r="T3" s="98">
        <f>T2*K15</f>
        <v>14627829.491795758</v>
      </c>
    </row>
    <row r="4" spans="1:20">
      <c r="A4" t="s">
        <v>14</v>
      </c>
      <c r="B4" t="s">
        <v>15</v>
      </c>
      <c r="C4">
        <f>2.5*12</f>
        <v>30</v>
      </c>
      <c r="D4">
        <f>2.5*12</f>
        <v>30</v>
      </c>
      <c r="E4">
        <f>2.5*12</f>
        <v>30</v>
      </c>
      <c r="F4">
        <f>3.8*12</f>
        <v>45.599999999999994</v>
      </c>
      <c r="G4">
        <f>3.8*12</f>
        <v>45.599999999999994</v>
      </c>
      <c r="H4">
        <f>3.8*12</f>
        <v>45.599999999999994</v>
      </c>
      <c r="K4">
        <f>C4</f>
        <v>30</v>
      </c>
      <c r="L4">
        <f>K4</f>
        <v>30</v>
      </c>
      <c r="M4">
        <f>D4</f>
        <v>30</v>
      </c>
      <c r="N4">
        <f>M4</f>
        <v>30</v>
      </c>
      <c r="O4">
        <f>F4</f>
        <v>45.599999999999994</v>
      </c>
      <c r="P4">
        <f>O4*0.8</f>
        <v>36.479999999999997</v>
      </c>
      <c r="Q4">
        <f>G4</f>
        <v>45.599999999999994</v>
      </c>
      <c r="R4">
        <f>Q4*0.8</f>
        <v>36.479999999999997</v>
      </c>
    </row>
    <row r="5" spans="1:20">
      <c r="A5" t="s">
        <v>16</v>
      </c>
      <c r="B5" t="s">
        <v>17</v>
      </c>
      <c r="C5">
        <v>5.3</v>
      </c>
      <c r="D5">
        <v>4.7</v>
      </c>
      <c r="E5">
        <v>6.4</v>
      </c>
      <c r="F5">
        <v>6.7</v>
      </c>
      <c r="G5">
        <v>5.2</v>
      </c>
      <c r="H5">
        <v>5.3</v>
      </c>
      <c r="K5">
        <f t="shared" ref="K5:K88" si="0">C5</f>
        <v>5.3</v>
      </c>
      <c r="L5">
        <f t="shared" ref="L5:L7" si="1">K5</f>
        <v>5.3</v>
      </c>
      <c r="M5">
        <f t="shared" ref="M5:M87" si="2">D5</f>
        <v>4.7</v>
      </c>
      <c r="N5">
        <f t="shared" ref="N5:N7" si="3">M5</f>
        <v>4.7</v>
      </c>
      <c r="O5">
        <f t="shared" ref="O5:O87" si="4">F5</f>
        <v>6.7</v>
      </c>
      <c r="P5">
        <f>O5*0.9</f>
        <v>6.03</v>
      </c>
      <c r="Q5">
        <f t="shared" ref="Q5:Q68" si="5">G5</f>
        <v>5.2</v>
      </c>
      <c r="R5">
        <f>Q5*0.9</f>
        <v>4.6800000000000006</v>
      </c>
      <c r="T5">
        <f>T3/O15</f>
        <v>5466.8147217773549</v>
      </c>
    </row>
    <row r="6" spans="1:20">
      <c r="A6" t="s">
        <v>18</v>
      </c>
      <c r="B6" t="s">
        <v>17</v>
      </c>
      <c r="C6">
        <v>1.7</v>
      </c>
      <c r="D6">
        <v>1.7</v>
      </c>
      <c r="E6">
        <v>1.2</v>
      </c>
      <c r="F6">
        <v>1.7</v>
      </c>
      <c r="G6">
        <v>5.7</v>
      </c>
      <c r="H6">
        <v>0.6</v>
      </c>
      <c r="K6">
        <f t="shared" si="0"/>
        <v>1.7</v>
      </c>
      <c r="L6">
        <f t="shared" si="1"/>
        <v>1.7</v>
      </c>
      <c r="M6">
        <f t="shared" si="2"/>
        <v>1.7</v>
      </c>
      <c r="N6">
        <f t="shared" si="3"/>
        <v>1.7</v>
      </c>
      <c r="O6">
        <f t="shared" si="4"/>
        <v>1.7</v>
      </c>
      <c r="P6">
        <f>O6</f>
        <v>1.7</v>
      </c>
      <c r="Q6">
        <f t="shared" si="5"/>
        <v>5.7</v>
      </c>
      <c r="R6">
        <f t="shared" ref="R6:R7" si="6">Q6*0.9</f>
        <v>5.13</v>
      </c>
      <c r="T6" s="98"/>
    </row>
    <row r="7" spans="1:20">
      <c r="A7" t="s">
        <v>19</v>
      </c>
      <c r="B7" t="s">
        <v>17</v>
      </c>
      <c r="C7">
        <v>1.9</v>
      </c>
      <c r="D7">
        <v>1.9</v>
      </c>
      <c r="E7">
        <v>1.5</v>
      </c>
      <c r="F7">
        <v>0.8</v>
      </c>
      <c r="G7">
        <v>8.8000000000000007</v>
      </c>
      <c r="H7">
        <v>1.6</v>
      </c>
      <c r="K7">
        <f t="shared" si="0"/>
        <v>1.9</v>
      </c>
      <c r="L7">
        <f t="shared" si="1"/>
        <v>1.9</v>
      </c>
      <c r="M7">
        <f t="shared" si="2"/>
        <v>1.9</v>
      </c>
      <c r="N7">
        <f t="shared" si="3"/>
        <v>1.9</v>
      </c>
      <c r="O7">
        <f t="shared" si="4"/>
        <v>0.8</v>
      </c>
      <c r="P7">
        <f>O7</f>
        <v>0.8</v>
      </c>
      <c r="Q7">
        <f t="shared" si="5"/>
        <v>8.8000000000000007</v>
      </c>
      <c r="R7">
        <f t="shared" si="6"/>
        <v>7.9200000000000008</v>
      </c>
      <c r="T7" s="98">
        <f>M16*0.2</f>
        <v>15291.853748210284</v>
      </c>
    </row>
    <row r="8" spans="1:20">
      <c r="A8" t="s">
        <v>20</v>
      </c>
      <c r="B8" t="s">
        <v>17</v>
      </c>
      <c r="C8">
        <v>55</v>
      </c>
      <c r="D8">
        <v>55</v>
      </c>
      <c r="E8">
        <v>55</v>
      </c>
      <c r="F8">
        <v>65</v>
      </c>
      <c r="G8">
        <v>65</v>
      </c>
      <c r="H8">
        <v>65</v>
      </c>
      <c r="K8">
        <f t="shared" si="0"/>
        <v>55</v>
      </c>
      <c r="L8">
        <f>K8*1.1</f>
        <v>60.500000000000007</v>
      </c>
      <c r="M8">
        <f t="shared" si="2"/>
        <v>55</v>
      </c>
      <c r="N8">
        <f>M8*1.1</f>
        <v>60.500000000000007</v>
      </c>
      <c r="O8">
        <f t="shared" si="4"/>
        <v>65</v>
      </c>
      <c r="P8">
        <f>O8*1.1</f>
        <v>71.5</v>
      </c>
      <c r="Q8">
        <f t="shared" si="5"/>
        <v>65</v>
      </c>
      <c r="R8">
        <f>Q8*1.1</f>
        <v>71.5</v>
      </c>
      <c r="T8" s="98">
        <f>T7*M15</f>
        <v>4771058.3694416089</v>
      </c>
    </row>
    <row r="9" spans="1:20">
      <c r="A9" t="s">
        <v>21</v>
      </c>
      <c r="B9" t="s">
        <v>22</v>
      </c>
      <c r="C9">
        <v>200</v>
      </c>
      <c r="D9">
        <v>200</v>
      </c>
      <c r="E9">
        <v>200</v>
      </c>
      <c r="F9">
        <v>250</v>
      </c>
      <c r="G9">
        <v>250</v>
      </c>
      <c r="H9">
        <v>250</v>
      </c>
      <c r="K9">
        <f t="shared" si="0"/>
        <v>200</v>
      </c>
      <c r="L9">
        <f>K9*1.2</f>
        <v>240</v>
      </c>
      <c r="M9">
        <f t="shared" si="2"/>
        <v>200</v>
      </c>
      <c r="N9">
        <f>M9*1.2</f>
        <v>240</v>
      </c>
      <c r="O9">
        <f t="shared" si="4"/>
        <v>250</v>
      </c>
      <c r="P9">
        <f>O9*1.2</f>
        <v>300</v>
      </c>
      <c r="Q9">
        <f t="shared" si="5"/>
        <v>250</v>
      </c>
      <c r="R9">
        <f>Q9*1.2</f>
        <v>300</v>
      </c>
    </row>
    <row r="10" spans="1:20">
      <c r="A10" t="s">
        <v>23</v>
      </c>
      <c r="B10" t="s">
        <v>22</v>
      </c>
      <c r="C10">
        <v>350</v>
      </c>
      <c r="D10">
        <v>350</v>
      </c>
      <c r="E10">
        <v>350</v>
      </c>
      <c r="F10">
        <v>350</v>
      </c>
      <c r="G10">
        <v>350</v>
      </c>
      <c r="H10">
        <v>350</v>
      </c>
      <c r="K10">
        <f t="shared" si="0"/>
        <v>350</v>
      </c>
      <c r="L10">
        <f>K10*1.2</f>
        <v>420</v>
      </c>
      <c r="M10">
        <f t="shared" si="2"/>
        <v>350</v>
      </c>
      <c r="N10">
        <f>M10*1.2</f>
        <v>420</v>
      </c>
      <c r="O10">
        <f t="shared" si="4"/>
        <v>350</v>
      </c>
      <c r="P10">
        <f>O10*1.2</f>
        <v>420</v>
      </c>
      <c r="Q10">
        <f t="shared" si="5"/>
        <v>350</v>
      </c>
      <c r="R10">
        <f>Q10*1.2</f>
        <v>420</v>
      </c>
      <c r="T10">
        <f>T8/Q15</f>
        <v>2279.8033063871026</v>
      </c>
    </row>
    <row r="11" spans="1:20">
      <c r="A11" t="s">
        <v>24</v>
      </c>
      <c r="B11" t="s">
        <v>22</v>
      </c>
      <c r="C11">
        <v>189.5</v>
      </c>
      <c r="D11">
        <v>190.5</v>
      </c>
      <c r="E11">
        <v>190.1</v>
      </c>
      <c r="F11">
        <v>241</v>
      </c>
      <c r="G11">
        <v>235</v>
      </c>
      <c r="H11">
        <v>22</v>
      </c>
      <c r="K11">
        <f t="shared" si="0"/>
        <v>189.5</v>
      </c>
      <c r="L11">
        <f>K11</f>
        <v>189.5</v>
      </c>
      <c r="M11">
        <f t="shared" si="2"/>
        <v>190.5</v>
      </c>
      <c r="N11">
        <f>M11</f>
        <v>190.5</v>
      </c>
      <c r="O11">
        <f t="shared" si="4"/>
        <v>241</v>
      </c>
      <c r="P11">
        <f>O11</f>
        <v>241</v>
      </c>
      <c r="Q11">
        <f t="shared" si="5"/>
        <v>235</v>
      </c>
      <c r="R11">
        <f>Q11</f>
        <v>235</v>
      </c>
    </row>
    <row r="12" spans="1:20">
      <c r="A12" t="s">
        <v>25</v>
      </c>
      <c r="B12" t="s">
        <v>22</v>
      </c>
      <c r="C12">
        <v>338</v>
      </c>
      <c r="D12">
        <v>338</v>
      </c>
      <c r="E12">
        <v>346</v>
      </c>
      <c r="F12">
        <v>343</v>
      </c>
      <c r="G12">
        <v>343</v>
      </c>
      <c r="H12">
        <v>350</v>
      </c>
      <c r="K12">
        <f t="shared" si="0"/>
        <v>338</v>
      </c>
      <c r="L12">
        <f>K12</f>
        <v>338</v>
      </c>
      <c r="M12">
        <f t="shared" si="2"/>
        <v>338</v>
      </c>
      <c r="N12">
        <f t="shared" ref="N12:N14" si="7">M12</f>
        <v>338</v>
      </c>
      <c r="O12">
        <f t="shared" si="4"/>
        <v>343</v>
      </c>
      <c r="P12">
        <f t="shared" ref="P12:P14" si="8">O12</f>
        <v>343</v>
      </c>
      <c r="Q12">
        <f t="shared" si="5"/>
        <v>343</v>
      </c>
      <c r="R12">
        <f t="shared" ref="R12:R14" si="9">Q12</f>
        <v>343</v>
      </c>
    </row>
    <row r="13" spans="1:20">
      <c r="A13" t="s">
        <v>26</v>
      </c>
      <c r="B13" t="s">
        <v>17</v>
      </c>
      <c r="C13">
        <v>4</v>
      </c>
      <c r="D13">
        <v>4</v>
      </c>
      <c r="E13">
        <v>4</v>
      </c>
      <c r="F13">
        <v>4</v>
      </c>
      <c r="G13">
        <v>4</v>
      </c>
      <c r="H13">
        <v>4</v>
      </c>
      <c r="K13">
        <f t="shared" si="0"/>
        <v>4</v>
      </c>
      <c r="L13">
        <f>K13</f>
        <v>4</v>
      </c>
      <c r="M13">
        <f t="shared" si="2"/>
        <v>4</v>
      </c>
      <c r="N13">
        <f t="shared" si="7"/>
        <v>4</v>
      </c>
      <c r="O13">
        <f t="shared" si="4"/>
        <v>4</v>
      </c>
      <c r="P13">
        <f t="shared" si="8"/>
        <v>4</v>
      </c>
      <c r="Q13">
        <f t="shared" si="5"/>
        <v>4</v>
      </c>
      <c r="R13">
        <f t="shared" si="9"/>
        <v>4</v>
      </c>
    </row>
    <row r="14" spans="1:20">
      <c r="A14" t="s">
        <v>27</v>
      </c>
      <c r="B14" t="s">
        <v>17</v>
      </c>
      <c r="C14">
        <v>3.5</v>
      </c>
      <c r="D14">
        <v>3.5</v>
      </c>
      <c r="E14">
        <v>3.5</v>
      </c>
      <c r="F14">
        <v>3.5</v>
      </c>
      <c r="G14">
        <v>3.5</v>
      </c>
      <c r="H14">
        <v>3.5</v>
      </c>
      <c r="K14">
        <f t="shared" si="0"/>
        <v>3.5</v>
      </c>
      <c r="L14">
        <f>K14</f>
        <v>3.5</v>
      </c>
      <c r="M14">
        <f t="shared" si="2"/>
        <v>3.5</v>
      </c>
      <c r="N14">
        <f t="shared" si="7"/>
        <v>3.5</v>
      </c>
      <c r="O14">
        <f t="shared" si="4"/>
        <v>3.5</v>
      </c>
      <c r="P14">
        <f t="shared" si="8"/>
        <v>3.5</v>
      </c>
      <c r="Q14">
        <f t="shared" si="5"/>
        <v>3.5</v>
      </c>
      <c r="R14">
        <f t="shared" si="9"/>
        <v>3.5</v>
      </c>
    </row>
    <row r="15" spans="1:20">
      <c r="A15" t="s">
        <v>28</v>
      </c>
      <c r="B15" t="s">
        <v>22</v>
      </c>
      <c r="C15">
        <f>3*105</f>
        <v>315</v>
      </c>
      <c r="D15">
        <f>3*104</f>
        <v>312</v>
      </c>
      <c r="E15">
        <f>3*105</f>
        <v>315</v>
      </c>
      <c r="F15">
        <f>9.73*275</f>
        <v>2675.75</v>
      </c>
      <c r="G15">
        <f>7.61*275</f>
        <v>2092.75</v>
      </c>
      <c r="H15">
        <f>7.47*275</f>
        <v>2054.25</v>
      </c>
      <c r="K15">
        <f>C15</f>
        <v>315</v>
      </c>
      <c r="L15">
        <f>3*180</f>
        <v>540</v>
      </c>
      <c r="M15">
        <f t="shared" si="2"/>
        <v>312</v>
      </c>
      <c r="N15">
        <f>3*180</f>
        <v>540</v>
      </c>
      <c r="O15" s="95">
        <f t="shared" si="4"/>
        <v>2675.75</v>
      </c>
      <c r="P15" s="95">
        <f>(9.73*1.35)*275</f>
        <v>3612.2625000000007</v>
      </c>
      <c r="Q15" s="95">
        <f t="shared" si="5"/>
        <v>2092.75</v>
      </c>
      <c r="R15" s="95">
        <f>(7.47*1.35)*275</f>
        <v>2773.2375000000002</v>
      </c>
    </row>
    <row r="16" spans="1:20">
      <c r="A16" t="s">
        <v>29</v>
      </c>
      <c r="B16" t="s">
        <v>30</v>
      </c>
      <c r="C16" s="98">
        <f>'HH &amp; Animal Numbers'!W16</f>
        <v>232187.76971104374</v>
      </c>
      <c r="D16" s="98">
        <f>'HH &amp; Animal Numbers'!W18</f>
        <v>76459.268741051419</v>
      </c>
      <c r="E16" s="100"/>
      <c r="F16" s="98">
        <f>'HH &amp; Animal Numbers'!X16</f>
        <v>35533.810823321168</v>
      </c>
      <c r="G16" s="98">
        <f>'HH &amp; Animal Numbers'!X18</f>
        <v>2040.474305485845</v>
      </c>
      <c r="H16" s="100"/>
      <c r="K16" s="117">
        <f t="shared" si="0"/>
        <v>232187.76971104374</v>
      </c>
      <c r="L16" s="117">
        <f>K16*0.8</f>
        <v>185750.21576883501</v>
      </c>
      <c r="M16" s="117">
        <f t="shared" si="2"/>
        <v>76459.268741051419</v>
      </c>
      <c r="N16" s="117">
        <f>M16*0.8</f>
        <v>61167.414992841135</v>
      </c>
      <c r="O16" s="117">
        <f t="shared" si="4"/>
        <v>35533.810823321168</v>
      </c>
      <c r="P16" s="117">
        <f>O16+T5</f>
        <v>41000.625545098519</v>
      </c>
      <c r="Q16" s="117">
        <f t="shared" si="5"/>
        <v>2040.474305485845</v>
      </c>
      <c r="R16" s="121">
        <f>Q16+T10</f>
        <v>4320.2776118729471</v>
      </c>
    </row>
    <row r="17" spans="1:18">
      <c r="A17" t="s">
        <v>31</v>
      </c>
      <c r="B17" t="s">
        <v>30</v>
      </c>
      <c r="C17" s="98">
        <f>'HH &amp; Animal Numbers'!W17</f>
        <v>69079.235093127165</v>
      </c>
      <c r="D17" s="98">
        <f>'HH &amp; Animal Numbers'!W19</f>
        <v>31967.74875531223</v>
      </c>
      <c r="E17" s="100"/>
      <c r="F17" s="98">
        <f>'HH &amp; Animal Numbers'!X17</f>
        <v>4381.5408163855318</v>
      </c>
      <c r="G17" s="98">
        <f>'HH &amp; Animal Numbers'!X19</f>
        <v>545.21729576125267</v>
      </c>
      <c r="H17" s="100"/>
      <c r="K17" s="117">
        <f t="shared" si="0"/>
        <v>69079.235093127165</v>
      </c>
      <c r="L17" s="117">
        <f>K17*0.8</f>
        <v>55263.388074501738</v>
      </c>
      <c r="M17" s="117">
        <f t="shared" si="2"/>
        <v>31967.74875531223</v>
      </c>
      <c r="N17" s="117">
        <f>M17*0.8</f>
        <v>25574.199004249786</v>
      </c>
      <c r="O17" s="117">
        <f t="shared" si="4"/>
        <v>4381.5408163855318</v>
      </c>
      <c r="P17" s="117">
        <f>O17</f>
        <v>4381.5408163855318</v>
      </c>
      <c r="Q17" s="117">
        <f t="shared" si="5"/>
        <v>545.21729576125267</v>
      </c>
      <c r="R17" s="121">
        <f>Q17</f>
        <v>545.21729576125267</v>
      </c>
    </row>
    <row r="18" spans="1:18">
      <c r="A18" t="s">
        <v>32</v>
      </c>
      <c r="B18" t="s">
        <v>17</v>
      </c>
      <c r="C18">
        <v>12.8</v>
      </c>
      <c r="D18">
        <v>14</v>
      </c>
      <c r="E18">
        <v>13.3</v>
      </c>
      <c r="F18">
        <v>22</v>
      </c>
      <c r="G18">
        <v>24</v>
      </c>
      <c r="H18">
        <v>21.3</v>
      </c>
      <c r="K18">
        <f t="shared" si="0"/>
        <v>12.8</v>
      </c>
      <c r="L18">
        <f>K18</f>
        <v>12.8</v>
      </c>
      <c r="M18">
        <f t="shared" si="2"/>
        <v>14</v>
      </c>
      <c r="N18">
        <f>M18</f>
        <v>14</v>
      </c>
      <c r="O18">
        <f t="shared" si="4"/>
        <v>22</v>
      </c>
      <c r="P18" s="117">
        <f>O18</f>
        <v>22</v>
      </c>
      <c r="Q18">
        <f t="shared" si="5"/>
        <v>24</v>
      </c>
      <c r="R18" s="121">
        <f>Q18</f>
        <v>24</v>
      </c>
    </row>
    <row r="19" spans="1:18">
      <c r="A19" t="s">
        <v>33</v>
      </c>
      <c r="B19" t="s">
        <v>22</v>
      </c>
      <c r="C19">
        <v>17</v>
      </c>
      <c r="D19">
        <v>17</v>
      </c>
      <c r="E19">
        <v>17</v>
      </c>
      <c r="F19">
        <v>20</v>
      </c>
      <c r="G19">
        <v>20</v>
      </c>
      <c r="H19">
        <v>20</v>
      </c>
      <c r="K19">
        <f t="shared" si="0"/>
        <v>17</v>
      </c>
      <c r="L19">
        <f>K19*1.2</f>
        <v>20.399999999999999</v>
      </c>
      <c r="M19">
        <f t="shared" si="2"/>
        <v>17</v>
      </c>
      <c r="N19">
        <f>M19*1.2</f>
        <v>20.399999999999999</v>
      </c>
      <c r="O19">
        <f t="shared" si="4"/>
        <v>20</v>
      </c>
      <c r="P19">
        <f>O19*1.2</f>
        <v>24</v>
      </c>
      <c r="Q19">
        <f t="shared" si="5"/>
        <v>20</v>
      </c>
      <c r="R19">
        <f>Q19*1.2</f>
        <v>24</v>
      </c>
    </row>
    <row r="20" spans="1:18">
      <c r="A20" s="4" t="s">
        <v>34</v>
      </c>
    </row>
    <row r="21" spans="1:18">
      <c r="A21" t="s">
        <v>35</v>
      </c>
      <c r="B21" t="s">
        <v>17</v>
      </c>
      <c r="C21">
        <v>0</v>
      </c>
      <c r="D21">
        <v>0</v>
      </c>
      <c r="E21">
        <v>0</v>
      </c>
      <c r="F21">
        <v>0</v>
      </c>
      <c r="G21">
        <v>0</v>
      </c>
      <c r="H21">
        <v>0</v>
      </c>
      <c r="K21">
        <f t="shared" si="0"/>
        <v>0</v>
      </c>
      <c r="L21">
        <f>K21</f>
        <v>0</v>
      </c>
      <c r="M21">
        <f t="shared" si="2"/>
        <v>0</v>
      </c>
      <c r="N21">
        <f>M21</f>
        <v>0</v>
      </c>
      <c r="O21">
        <f t="shared" si="4"/>
        <v>0</v>
      </c>
      <c r="P21">
        <f>O21</f>
        <v>0</v>
      </c>
      <c r="Q21">
        <f t="shared" si="5"/>
        <v>0</v>
      </c>
      <c r="R21">
        <f>Q21</f>
        <v>0</v>
      </c>
    </row>
    <row r="22" spans="1:18">
      <c r="A22" t="s">
        <v>36</v>
      </c>
      <c r="B22" t="s">
        <v>17</v>
      </c>
      <c r="C22">
        <v>0</v>
      </c>
      <c r="D22">
        <v>0</v>
      </c>
      <c r="E22">
        <v>0</v>
      </c>
      <c r="F22">
        <v>0</v>
      </c>
      <c r="G22">
        <v>0</v>
      </c>
      <c r="H22">
        <v>0</v>
      </c>
      <c r="K22">
        <f t="shared" si="0"/>
        <v>0</v>
      </c>
      <c r="L22">
        <f t="shared" ref="L22:L37" si="10">K22</f>
        <v>0</v>
      </c>
      <c r="M22">
        <f t="shared" si="2"/>
        <v>0</v>
      </c>
      <c r="N22">
        <f t="shared" ref="N22:N85" si="11">M22</f>
        <v>0</v>
      </c>
      <c r="O22">
        <f t="shared" si="4"/>
        <v>0</v>
      </c>
      <c r="P22">
        <f t="shared" ref="P22:P85" si="12">O22</f>
        <v>0</v>
      </c>
      <c r="Q22">
        <f t="shared" si="5"/>
        <v>0</v>
      </c>
      <c r="R22">
        <f t="shared" ref="R22:R78" si="13">Q22</f>
        <v>0</v>
      </c>
    </row>
    <row r="23" spans="1:18">
      <c r="A23" t="s">
        <v>37</v>
      </c>
      <c r="B23" t="s">
        <v>17</v>
      </c>
      <c r="C23">
        <v>0</v>
      </c>
      <c r="D23">
        <v>0</v>
      </c>
      <c r="E23">
        <v>0</v>
      </c>
      <c r="F23">
        <v>0</v>
      </c>
      <c r="G23">
        <v>0</v>
      </c>
      <c r="H23">
        <v>0</v>
      </c>
      <c r="K23">
        <f t="shared" si="0"/>
        <v>0</v>
      </c>
      <c r="L23">
        <f t="shared" si="10"/>
        <v>0</v>
      </c>
      <c r="M23">
        <f t="shared" si="2"/>
        <v>0</v>
      </c>
      <c r="N23">
        <f t="shared" si="11"/>
        <v>0</v>
      </c>
      <c r="O23">
        <f t="shared" si="4"/>
        <v>0</v>
      </c>
      <c r="P23">
        <f t="shared" si="12"/>
        <v>0</v>
      </c>
      <c r="Q23">
        <f t="shared" si="5"/>
        <v>0</v>
      </c>
      <c r="R23">
        <f t="shared" si="13"/>
        <v>0</v>
      </c>
    </row>
    <row r="24" spans="1:18">
      <c r="A24" t="s">
        <v>38</v>
      </c>
      <c r="B24" t="s">
        <v>17</v>
      </c>
      <c r="C24">
        <v>0</v>
      </c>
      <c r="D24">
        <v>0</v>
      </c>
      <c r="E24">
        <v>0</v>
      </c>
      <c r="F24">
        <v>0</v>
      </c>
      <c r="G24">
        <v>0</v>
      </c>
      <c r="H24">
        <v>0</v>
      </c>
      <c r="K24">
        <f t="shared" si="0"/>
        <v>0</v>
      </c>
      <c r="L24">
        <f t="shared" si="10"/>
        <v>0</v>
      </c>
      <c r="M24">
        <f t="shared" si="2"/>
        <v>0</v>
      </c>
      <c r="N24">
        <f t="shared" si="11"/>
        <v>0</v>
      </c>
      <c r="O24">
        <f t="shared" si="4"/>
        <v>0</v>
      </c>
      <c r="P24">
        <f t="shared" si="12"/>
        <v>0</v>
      </c>
      <c r="Q24">
        <f t="shared" si="5"/>
        <v>0</v>
      </c>
      <c r="R24">
        <f t="shared" si="13"/>
        <v>0</v>
      </c>
    </row>
    <row r="25" spans="1:18">
      <c r="A25" t="s">
        <v>39</v>
      </c>
      <c r="B25" t="s">
        <v>17</v>
      </c>
      <c r="C25">
        <v>20</v>
      </c>
      <c r="D25">
        <v>20</v>
      </c>
      <c r="E25">
        <v>20</v>
      </c>
      <c r="F25">
        <v>20</v>
      </c>
      <c r="G25">
        <v>20</v>
      </c>
      <c r="H25">
        <v>20</v>
      </c>
      <c r="K25">
        <f t="shared" si="0"/>
        <v>20</v>
      </c>
      <c r="L25">
        <f>K25-10</f>
        <v>10</v>
      </c>
      <c r="M25">
        <f t="shared" si="2"/>
        <v>20</v>
      </c>
      <c r="N25">
        <f>M25-10</f>
        <v>10</v>
      </c>
      <c r="O25">
        <f t="shared" si="4"/>
        <v>20</v>
      </c>
      <c r="P25">
        <f>O25-10</f>
        <v>10</v>
      </c>
      <c r="Q25">
        <f t="shared" si="5"/>
        <v>20</v>
      </c>
      <c r="R25">
        <f>Q25-10</f>
        <v>10</v>
      </c>
    </row>
    <row r="26" spans="1:18">
      <c r="A26" t="s">
        <v>40</v>
      </c>
      <c r="B26" t="s">
        <v>17</v>
      </c>
      <c r="C26">
        <v>0</v>
      </c>
      <c r="D26">
        <v>0</v>
      </c>
      <c r="E26">
        <v>0</v>
      </c>
      <c r="F26">
        <v>0</v>
      </c>
      <c r="G26">
        <v>0</v>
      </c>
      <c r="H26">
        <v>0</v>
      </c>
      <c r="K26">
        <f t="shared" si="0"/>
        <v>0</v>
      </c>
      <c r="L26">
        <f t="shared" si="10"/>
        <v>0</v>
      </c>
      <c r="M26">
        <f t="shared" si="2"/>
        <v>0</v>
      </c>
      <c r="N26">
        <f t="shared" si="11"/>
        <v>0</v>
      </c>
      <c r="O26">
        <f t="shared" si="4"/>
        <v>0</v>
      </c>
      <c r="P26">
        <f t="shared" si="12"/>
        <v>0</v>
      </c>
      <c r="Q26">
        <f t="shared" si="5"/>
        <v>0</v>
      </c>
      <c r="R26">
        <f t="shared" si="13"/>
        <v>0</v>
      </c>
    </row>
    <row r="27" spans="1:18">
      <c r="A27" t="s">
        <v>41</v>
      </c>
      <c r="B27" t="s">
        <v>17</v>
      </c>
      <c r="C27">
        <v>0</v>
      </c>
      <c r="D27">
        <v>0</v>
      </c>
      <c r="E27">
        <v>0</v>
      </c>
      <c r="F27">
        <v>0</v>
      </c>
      <c r="G27">
        <v>0</v>
      </c>
      <c r="H27">
        <v>0</v>
      </c>
      <c r="K27">
        <f t="shared" si="0"/>
        <v>0</v>
      </c>
      <c r="L27">
        <f t="shared" si="10"/>
        <v>0</v>
      </c>
      <c r="M27">
        <f t="shared" si="2"/>
        <v>0</v>
      </c>
      <c r="N27">
        <f t="shared" si="11"/>
        <v>0</v>
      </c>
      <c r="O27">
        <f t="shared" si="4"/>
        <v>0</v>
      </c>
      <c r="P27">
        <f t="shared" si="12"/>
        <v>0</v>
      </c>
      <c r="Q27">
        <f t="shared" si="5"/>
        <v>0</v>
      </c>
      <c r="R27">
        <f t="shared" si="13"/>
        <v>0</v>
      </c>
    </row>
    <row r="28" spans="1:18">
      <c r="A28" t="s">
        <v>42</v>
      </c>
      <c r="B28" t="s">
        <v>17</v>
      </c>
      <c r="C28">
        <v>0</v>
      </c>
      <c r="D28">
        <v>0</v>
      </c>
      <c r="E28">
        <v>0</v>
      </c>
      <c r="F28">
        <v>0</v>
      </c>
      <c r="G28">
        <v>0</v>
      </c>
      <c r="H28">
        <v>0</v>
      </c>
      <c r="K28">
        <f t="shared" si="0"/>
        <v>0</v>
      </c>
      <c r="L28">
        <f t="shared" si="10"/>
        <v>0</v>
      </c>
      <c r="M28">
        <f t="shared" si="2"/>
        <v>0</v>
      </c>
      <c r="N28">
        <f t="shared" si="11"/>
        <v>0</v>
      </c>
      <c r="O28">
        <f t="shared" si="4"/>
        <v>0</v>
      </c>
      <c r="P28">
        <f t="shared" si="12"/>
        <v>0</v>
      </c>
      <c r="Q28">
        <f t="shared" si="5"/>
        <v>0</v>
      </c>
      <c r="R28">
        <f t="shared" si="13"/>
        <v>0</v>
      </c>
    </row>
    <row r="29" spans="1:18">
      <c r="A29" t="s">
        <v>43</v>
      </c>
      <c r="B29" t="s">
        <v>17</v>
      </c>
      <c r="C29">
        <v>0</v>
      </c>
      <c r="D29">
        <v>0</v>
      </c>
      <c r="E29">
        <v>0</v>
      </c>
      <c r="F29">
        <v>0</v>
      </c>
      <c r="G29">
        <v>0</v>
      </c>
      <c r="H29">
        <v>0</v>
      </c>
      <c r="K29">
        <f t="shared" si="0"/>
        <v>0</v>
      </c>
      <c r="L29">
        <f t="shared" si="10"/>
        <v>0</v>
      </c>
      <c r="M29">
        <f t="shared" si="2"/>
        <v>0</v>
      </c>
      <c r="N29">
        <f t="shared" si="11"/>
        <v>0</v>
      </c>
      <c r="O29">
        <f t="shared" si="4"/>
        <v>0</v>
      </c>
      <c r="P29">
        <f t="shared" si="12"/>
        <v>0</v>
      </c>
      <c r="Q29">
        <f t="shared" si="5"/>
        <v>0</v>
      </c>
      <c r="R29">
        <f t="shared" si="13"/>
        <v>0</v>
      </c>
    </row>
    <row r="30" spans="1:18">
      <c r="A30" t="s">
        <v>44</v>
      </c>
      <c r="B30" t="s">
        <v>17</v>
      </c>
      <c r="C30">
        <v>0</v>
      </c>
      <c r="D30">
        <v>0</v>
      </c>
      <c r="E30">
        <v>0</v>
      </c>
      <c r="F30">
        <v>0</v>
      </c>
      <c r="G30">
        <v>0</v>
      </c>
      <c r="H30">
        <v>0</v>
      </c>
      <c r="K30">
        <f t="shared" si="0"/>
        <v>0</v>
      </c>
      <c r="L30">
        <f t="shared" si="10"/>
        <v>0</v>
      </c>
      <c r="M30">
        <f t="shared" si="2"/>
        <v>0</v>
      </c>
      <c r="N30">
        <f t="shared" si="11"/>
        <v>0</v>
      </c>
      <c r="O30">
        <f t="shared" si="4"/>
        <v>0</v>
      </c>
      <c r="P30">
        <f t="shared" si="12"/>
        <v>0</v>
      </c>
      <c r="Q30">
        <f t="shared" si="5"/>
        <v>0</v>
      </c>
      <c r="R30">
        <f t="shared" si="13"/>
        <v>0</v>
      </c>
    </row>
    <row r="31" spans="1:18">
      <c r="A31" t="s">
        <v>45</v>
      </c>
      <c r="B31" t="s">
        <v>17</v>
      </c>
      <c r="C31">
        <v>0</v>
      </c>
      <c r="D31">
        <v>0</v>
      </c>
      <c r="E31">
        <v>0</v>
      </c>
      <c r="F31">
        <v>0</v>
      </c>
      <c r="G31">
        <v>0</v>
      </c>
      <c r="H31">
        <v>0</v>
      </c>
      <c r="K31">
        <f t="shared" si="0"/>
        <v>0</v>
      </c>
      <c r="L31">
        <f t="shared" si="10"/>
        <v>0</v>
      </c>
      <c r="M31">
        <f t="shared" si="2"/>
        <v>0</v>
      </c>
      <c r="N31">
        <f t="shared" si="11"/>
        <v>0</v>
      </c>
      <c r="O31">
        <f t="shared" si="4"/>
        <v>0</v>
      </c>
      <c r="P31">
        <f t="shared" si="12"/>
        <v>0</v>
      </c>
      <c r="Q31">
        <f t="shared" si="5"/>
        <v>0</v>
      </c>
      <c r="R31">
        <f t="shared" si="13"/>
        <v>0</v>
      </c>
    </row>
    <row r="32" spans="1:18">
      <c r="A32" t="s">
        <v>46</v>
      </c>
      <c r="B32" t="s">
        <v>17</v>
      </c>
      <c r="C32">
        <v>0</v>
      </c>
      <c r="D32">
        <v>0</v>
      </c>
      <c r="E32">
        <v>0</v>
      </c>
      <c r="F32">
        <v>0</v>
      </c>
      <c r="G32">
        <v>0</v>
      </c>
      <c r="H32">
        <v>0</v>
      </c>
      <c r="K32">
        <f t="shared" si="0"/>
        <v>0</v>
      </c>
      <c r="L32">
        <f t="shared" si="10"/>
        <v>0</v>
      </c>
      <c r="M32">
        <f t="shared" si="2"/>
        <v>0</v>
      </c>
      <c r="N32">
        <f t="shared" si="11"/>
        <v>0</v>
      </c>
      <c r="O32">
        <f t="shared" si="4"/>
        <v>0</v>
      </c>
      <c r="P32">
        <f t="shared" si="12"/>
        <v>0</v>
      </c>
      <c r="Q32">
        <f t="shared" si="5"/>
        <v>0</v>
      </c>
      <c r="R32">
        <f t="shared" si="13"/>
        <v>0</v>
      </c>
    </row>
    <row r="33" spans="1:18">
      <c r="A33" t="s">
        <v>47</v>
      </c>
      <c r="B33" t="s">
        <v>17</v>
      </c>
      <c r="C33">
        <v>0</v>
      </c>
      <c r="D33">
        <v>0</v>
      </c>
      <c r="E33">
        <v>0</v>
      </c>
      <c r="F33">
        <v>0</v>
      </c>
      <c r="G33">
        <v>0</v>
      </c>
      <c r="H33">
        <v>0</v>
      </c>
      <c r="K33">
        <f t="shared" si="0"/>
        <v>0</v>
      </c>
      <c r="L33">
        <f t="shared" si="10"/>
        <v>0</v>
      </c>
      <c r="M33">
        <f t="shared" si="2"/>
        <v>0</v>
      </c>
      <c r="N33">
        <f t="shared" si="11"/>
        <v>0</v>
      </c>
      <c r="O33">
        <f t="shared" si="4"/>
        <v>0</v>
      </c>
      <c r="P33">
        <f t="shared" si="12"/>
        <v>0</v>
      </c>
      <c r="Q33">
        <f t="shared" si="5"/>
        <v>0</v>
      </c>
      <c r="R33">
        <f t="shared" si="13"/>
        <v>0</v>
      </c>
    </row>
    <row r="34" spans="1:18">
      <c r="A34" t="s">
        <v>48</v>
      </c>
      <c r="B34" t="s">
        <v>17</v>
      </c>
      <c r="C34">
        <v>80</v>
      </c>
      <c r="D34">
        <v>80</v>
      </c>
      <c r="E34">
        <v>80</v>
      </c>
      <c r="F34">
        <v>40</v>
      </c>
      <c r="G34">
        <v>40</v>
      </c>
      <c r="H34">
        <v>40</v>
      </c>
      <c r="K34">
        <f t="shared" si="0"/>
        <v>80</v>
      </c>
      <c r="L34">
        <f>K34</f>
        <v>80</v>
      </c>
      <c r="M34">
        <f t="shared" si="2"/>
        <v>80</v>
      </c>
      <c r="N34">
        <f>M34</f>
        <v>80</v>
      </c>
      <c r="O34">
        <f t="shared" si="4"/>
        <v>40</v>
      </c>
      <c r="P34">
        <f t="shared" si="12"/>
        <v>40</v>
      </c>
      <c r="Q34">
        <f t="shared" si="5"/>
        <v>40</v>
      </c>
      <c r="R34">
        <f t="shared" si="13"/>
        <v>40</v>
      </c>
    </row>
    <row r="35" spans="1:18">
      <c r="A35" t="s">
        <v>49</v>
      </c>
      <c r="B35" t="s">
        <v>17</v>
      </c>
      <c r="C35">
        <v>0</v>
      </c>
      <c r="D35">
        <v>0</v>
      </c>
      <c r="E35">
        <v>0</v>
      </c>
      <c r="F35">
        <v>0</v>
      </c>
      <c r="G35">
        <v>0</v>
      </c>
      <c r="H35">
        <v>0</v>
      </c>
      <c r="K35">
        <f t="shared" si="0"/>
        <v>0</v>
      </c>
      <c r="L35">
        <f>K35+10</f>
        <v>10</v>
      </c>
      <c r="M35">
        <f t="shared" si="2"/>
        <v>0</v>
      </c>
      <c r="N35">
        <f>M35+10</f>
        <v>10</v>
      </c>
      <c r="O35">
        <f t="shared" si="4"/>
        <v>0</v>
      </c>
      <c r="P35">
        <f>O35+10</f>
        <v>10</v>
      </c>
      <c r="Q35">
        <f t="shared" si="5"/>
        <v>0</v>
      </c>
      <c r="R35">
        <f>Q35+10</f>
        <v>10</v>
      </c>
    </row>
    <row r="36" spans="1:18">
      <c r="A36" t="s">
        <v>50</v>
      </c>
      <c r="B36" t="s">
        <v>17</v>
      </c>
      <c r="C36">
        <v>0</v>
      </c>
      <c r="D36">
        <v>0</v>
      </c>
      <c r="E36">
        <v>0</v>
      </c>
      <c r="F36">
        <v>0</v>
      </c>
      <c r="G36">
        <v>0</v>
      </c>
      <c r="H36">
        <v>0</v>
      </c>
      <c r="K36">
        <f t="shared" si="0"/>
        <v>0</v>
      </c>
      <c r="L36">
        <f t="shared" si="10"/>
        <v>0</v>
      </c>
      <c r="M36">
        <f t="shared" si="2"/>
        <v>0</v>
      </c>
      <c r="N36">
        <f t="shared" si="11"/>
        <v>0</v>
      </c>
      <c r="O36">
        <f t="shared" si="4"/>
        <v>0</v>
      </c>
      <c r="P36">
        <f t="shared" si="12"/>
        <v>0</v>
      </c>
      <c r="Q36">
        <f t="shared" si="5"/>
        <v>0</v>
      </c>
      <c r="R36">
        <f t="shared" si="13"/>
        <v>0</v>
      </c>
    </row>
    <row r="37" spans="1:18">
      <c r="A37" t="s">
        <v>51</v>
      </c>
      <c r="B37" t="s">
        <v>17</v>
      </c>
      <c r="C37">
        <v>0</v>
      </c>
      <c r="D37">
        <v>0</v>
      </c>
      <c r="E37">
        <v>0</v>
      </c>
      <c r="F37">
        <v>0</v>
      </c>
      <c r="G37">
        <v>0</v>
      </c>
      <c r="H37">
        <v>0</v>
      </c>
      <c r="K37">
        <f t="shared" si="0"/>
        <v>0</v>
      </c>
      <c r="L37">
        <f t="shared" si="10"/>
        <v>0</v>
      </c>
      <c r="M37">
        <f t="shared" si="2"/>
        <v>0</v>
      </c>
      <c r="N37">
        <f t="shared" si="11"/>
        <v>0</v>
      </c>
      <c r="O37">
        <f t="shared" si="4"/>
        <v>0</v>
      </c>
      <c r="P37">
        <f t="shared" si="12"/>
        <v>0</v>
      </c>
      <c r="Q37">
        <f t="shared" si="5"/>
        <v>0</v>
      </c>
      <c r="R37">
        <f t="shared" si="13"/>
        <v>0</v>
      </c>
    </row>
    <row r="38" spans="1:18">
      <c r="A38" t="s">
        <v>52</v>
      </c>
      <c r="B38" t="s">
        <v>17</v>
      </c>
      <c r="C38">
        <v>0</v>
      </c>
      <c r="D38">
        <v>0</v>
      </c>
      <c r="E38">
        <v>0</v>
      </c>
      <c r="F38">
        <v>0</v>
      </c>
      <c r="G38">
        <v>0</v>
      </c>
      <c r="H38">
        <v>0</v>
      </c>
      <c r="K38">
        <f t="shared" si="0"/>
        <v>0</v>
      </c>
      <c r="L38">
        <f t="shared" ref="L38:N53" si="14">K38</f>
        <v>0</v>
      </c>
      <c r="M38">
        <f t="shared" si="2"/>
        <v>0</v>
      </c>
      <c r="N38">
        <f t="shared" si="11"/>
        <v>0</v>
      </c>
      <c r="O38">
        <f t="shared" si="4"/>
        <v>0</v>
      </c>
      <c r="P38">
        <f t="shared" si="12"/>
        <v>0</v>
      </c>
      <c r="Q38">
        <f t="shared" si="5"/>
        <v>0</v>
      </c>
      <c r="R38">
        <f t="shared" si="13"/>
        <v>0</v>
      </c>
    </row>
    <row r="39" spans="1:18">
      <c r="A39" t="s">
        <v>53</v>
      </c>
      <c r="B39" t="s">
        <v>17</v>
      </c>
      <c r="C39">
        <v>0</v>
      </c>
      <c r="D39">
        <v>0</v>
      </c>
      <c r="E39">
        <v>0</v>
      </c>
      <c r="F39">
        <v>40</v>
      </c>
      <c r="G39">
        <v>40</v>
      </c>
      <c r="H39">
        <v>40</v>
      </c>
      <c r="K39">
        <f t="shared" si="0"/>
        <v>0</v>
      </c>
      <c r="L39">
        <f t="shared" si="14"/>
        <v>0</v>
      </c>
      <c r="M39">
        <f t="shared" si="2"/>
        <v>0</v>
      </c>
      <c r="N39">
        <f t="shared" si="11"/>
        <v>0</v>
      </c>
      <c r="O39">
        <f t="shared" si="4"/>
        <v>40</v>
      </c>
      <c r="P39">
        <f t="shared" si="12"/>
        <v>40</v>
      </c>
      <c r="Q39">
        <f t="shared" si="5"/>
        <v>40</v>
      </c>
      <c r="R39">
        <f t="shared" si="13"/>
        <v>40</v>
      </c>
    </row>
    <row r="40" spans="1:18">
      <c r="A40" t="s">
        <v>54</v>
      </c>
      <c r="B40" t="s">
        <v>17</v>
      </c>
      <c r="C40">
        <v>0</v>
      </c>
      <c r="D40">
        <v>0</v>
      </c>
      <c r="E40">
        <v>0</v>
      </c>
      <c r="F40">
        <v>0</v>
      </c>
      <c r="G40">
        <v>0</v>
      </c>
      <c r="H40">
        <v>0</v>
      </c>
      <c r="K40">
        <f t="shared" si="0"/>
        <v>0</v>
      </c>
      <c r="L40">
        <f t="shared" si="14"/>
        <v>0</v>
      </c>
      <c r="M40">
        <f t="shared" si="2"/>
        <v>0</v>
      </c>
      <c r="N40">
        <f t="shared" si="11"/>
        <v>0</v>
      </c>
      <c r="O40">
        <f t="shared" si="4"/>
        <v>0</v>
      </c>
      <c r="P40">
        <f t="shared" si="12"/>
        <v>0</v>
      </c>
      <c r="Q40">
        <f t="shared" si="5"/>
        <v>0</v>
      </c>
      <c r="R40">
        <f t="shared" si="13"/>
        <v>0</v>
      </c>
    </row>
    <row r="41" spans="1:18">
      <c r="A41" t="s">
        <v>55</v>
      </c>
      <c r="B41" t="s">
        <v>17</v>
      </c>
      <c r="C41">
        <v>0</v>
      </c>
      <c r="D41">
        <v>0</v>
      </c>
      <c r="E41">
        <v>0</v>
      </c>
      <c r="F41">
        <v>0</v>
      </c>
      <c r="G41">
        <v>0</v>
      </c>
      <c r="H41">
        <v>0</v>
      </c>
      <c r="K41">
        <f t="shared" si="0"/>
        <v>0</v>
      </c>
      <c r="L41">
        <f t="shared" si="14"/>
        <v>0</v>
      </c>
      <c r="M41">
        <f t="shared" si="2"/>
        <v>0</v>
      </c>
      <c r="N41">
        <f t="shared" si="11"/>
        <v>0</v>
      </c>
      <c r="O41">
        <f t="shared" si="4"/>
        <v>0</v>
      </c>
      <c r="P41">
        <f t="shared" si="12"/>
        <v>0</v>
      </c>
      <c r="Q41">
        <f t="shared" si="5"/>
        <v>0</v>
      </c>
      <c r="R41">
        <f t="shared" si="13"/>
        <v>0</v>
      </c>
    </row>
    <row r="42" spans="1:18">
      <c r="A42" t="s">
        <v>56</v>
      </c>
      <c r="B42" t="s">
        <v>17</v>
      </c>
      <c r="C42">
        <v>0</v>
      </c>
      <c r="D42">
        <v>0</v>
      </c>
      <c r="E42">
        <v>0</v>
      </c>
      <c r="F42">
        <v>0</v>
      </c>
      <c r="G42">
        <v>0</v>
      </c>
      <c r="H42">
        <v>0</v>
      </c>
      <c r="K42">
        <f t="shared" si="0"/>
        <v>0</v>
      </c>
      <c r="L42">
        <f t="shared" si="14"/>
        <v>0</v>
      </c>
      <c r="M42">
        <f t="shared" si="2"/>
        <v>0</v>
      </c>
      <c r="N42">
        <f t="shared" si="11"/>
        <v>0</v>
      </c>
      <c r="O42">
        <f t="shared" si="4"/>
        <v>0</v>
      </c>
      <c r="P42">
        <f t="shared" si="12"/>
        <v>0</v>
      </c>
      <c r="Q42">
        <f t="shared" si="5"/>
        <v>0</v>
      </c>
      <c r="R42">
        <f t="shared" si="13"/>
        <v>0</v>
      </c>
    </row>
    <row r="43" spans="1:18">
      <c r="A43" t="s">
        <v>57</v>
      </c>
      <c r="B43" t="s">
        <v>17</v>
      </c>
      <c r="C43">
        <v>0</v>
      </c>
      <c r="D43">
        <v>0</v>
      </c>
      <c r="E43">
        <v>0</v>
      </c>
      <c r="F43">
        <v>0</v>
      </c>
      <c r="G43">
        <v>0</v>
      </c>
      <c r="H43">
        <v>0</v>
      </c>
      <c r="K43">
        <f t="shared" si="0"/>
        <v>0</v>
      </c>
      <c r="L43">
        <f t="shared" si="14"/>
        <v>0</v>
      </c>
      <c r="M43">
        <f t="shared" si="2"/>
        <v>0</v>
      </c>
      <c r="N43">
        <f t="shared" si="11"/>
        <v>0</v>
      </c>
      <c r="O43">
        <f t="shared" si="4"/>
        <v>0</v>
      </c>
      <c r="P43">
        <f t="shared" si="12"/>
        <v>0</v>
      </c>
      <c r="Q43">
        <f t="shared" si="5"/>
        <v>0</v>
      </c>
      <c r="R43">
        <f t="shared" si="13"/>
        <v>0</v>
      </c>
    </row>
    <row r="44" spans="1:18">
      <c r="A44" t="s">
        <v>58</v>
      </c>
      <c r="B44" t="s">
        <v>17</v>
      </c>
      <c r="C44">
        <v>0</v>
      </c>
      <c r="D44">
        <v>0</v>
      </c>
      <c r="E44">
        <v>0</v>
      </c>
      <c r="F44">
        <v>0</v>
      </c>
      <c r="G44">
        <v>0</v>
      </c>
      <c r="H44">
        <v>0</v>
      </c>
      <c r="K44">
        <f t="shared" si="0"/>
        <v>0</v>
      </c>
      <c r="L44">
        <f t="shared" si="14"/>
        <v>0</v>
      </c>
      <c r="M44">
        <f t="shared" si="2"/>
        <v>0</v>
      </c>
      <c r="N44">
        <f t="shared" si="11"/>
        <v>0</v>
      </c>
      <c r="O44">
        <f t="shared" si="4"/>
        <v>0</v>
      </c>
      <c r="P44">
        <f t="shared" si="12"/>
        <v>0</v>
      </c>
      <c r="Q44">
        <f t="shared" si="5"/>
        <v>0</v>
      </c>
      <c r="R44">
        <f t="shared" si="13"/>
        <v>0</v>
      </c>
    </row>
    <row r="45" spans="1:18">
      <c r="A45" t="s">
        <v>59</v>
      </c>
      <c r="B45" t="s">
        <v>17</v>
      </c>
      <c r="C45">
        <v>0</v>
      </c>
      <c r="D45">
        <v>0</v>
      </c>
      <c r="E45">
        <v>0</v>
      </c>
      <c r="F45">
        <v>0</v>
      </c>
      <c r="G45">
        <v>0</v>
      </c>
      <c r="H45">
        <v>0</v>
      </c>
      <c r="K45">
        <f t="shared" si="0"/>
        <v>0</v>
      </c>
      <c r="L45">
        <f t="shared" si="14"/>
        <v>0</v>
      </c>
      <c r="M45">
        <f t="shared" si="2"/>
        <v>0</v>
      </c>
      <c r="N45">
        <f t="shared" si="11"/>
        <v>0</v>
      </c>
      <c r="O45">
        <f t="shared" si="4"/>
        <v>0</v>
      </c>
      <c r="P45">
        <f t="shared" si="12"/>
        <v>0</v>
      </c>
      <c r="Q45">
        <f t="shared" si="5"/>
        <v>0</v>
      </c>
      <c r="R45">
        <f t="shared" si="13"/>
        <v>0</v>
      </c>
    </row>
    <row r="46" spans="1:18">
      <c r="A46" t="s">
        <v>60</v>
      </c>
      <c r="B46" t="s">
        <v>17</v>
      </c>
      <c r="C46">
        <v>0</v>
      </c>
      <c r="D46">
        <v>0</v>
      </c>
      <c r="E46">
        <v>0</v>
      </c>
      <c r="F46">
        <v>0</v>
      </c>
      <c r="G46">
        <v>0</v>
      </c>
      <c r="H46">
        <v>0</v>
      </c>
      <c r="K46">
        <f t="shared" si="0"/>
        <v>0</v>
      </c>
      <c r="L46">
        <f t="shared" si="14"/>
        <v>0</v>
      </c>
      <c r="M46">
        <f t="shared" si="2"/>
        <v>0</v>
      </c>
      <c r="N46">
        <f t="shared" si="11"/>
        <v>0</v>
      </c>
      <c r="O46">
        <f t="shared" si="4"/>
        <v>0</v>
      </c>
      <c r="P46">
        <f t="shared" si="12"/>
        <v>0</v>
      </c>
      <c r="Q46">
        <f t="shared" si="5"/>
        <v>0</v>
      </c>
      <c r="R46">
        <f t="shared" si="13"/>
        <v>0</v>
      </c>
    </row>
    <row r="47" spans="1:18">
      <c r="A47" t="s">
        <v>61</v>
      </c>
      <c r="B47" t="s">
        <v>17</v>
      </c>
      <c r="C47">
        <v>0</v>
      </c>
      <c r="D47">
        <v>0</v>
      </c>
      <c r="E47">
        <v>0</v>
      </c>
      <c r="F47">
        <v>0</v>
      </c>
      <c r="G47">
        <v>0</v>
      </c>
      <c r="H47">
        <v>0</v>
      </c>
      <c r="K47">
        <f t="shared" si="0"/>
        <v>0</v>
      </c>
      <c r="L47">
        <f t="shared" si="14"/>
        <v>0</v>
      </c>
      <c r="M47">
        <f t="shared" si="2"/>
        <v>0</v>
      </c>
      <c r="N47">
        <f t="shared" si="11"/>
        <v>0</v>
      </c>
      <c r="O47">
        <f t="shared" si="4"/>
        <v>0</v>
      </c>
      <c r="P47">
        <f t="shared" si="12"/>
        <v>0</v>
      </c>
      <c r="Q47">
        <f t="shared" si="5"/>
        <v>0</v>
      </c>
      <c r="R47">
        <f t="shared" si="13"/>
        <v>0</v>
      </c>
    </row>
    <row r="48" spans="1:18">
      <c r="A48" t="s">
        <v>62</v>
      </c>
      <c r="B48" t="s">
        <v>17</v>
      </c>
      <c r="C48">
        <v>0</v>
      </c>
      <c r="D48">
        <v>0</v>
      </c>
      <c r="E48">
        <v>0</v>
      </c>
      <c r="F48">
        <v>0</v>
      </c>
      <c r="G48">
        <v>0</v>
      </c>
      <c r="H48">
        <v>0</v>
      </c>
      <c r="K48">
        <f t="shared" si="0"/>
        <v>0</v>
      </c>
      <c r="L48">
        <f t="shared" si="14"/>
        <v>0</v>
      </c>
      <c r="M48">
        <f t="shared" si="2"/>
        <v>0</v>
      </c>
      <c r="N48">
        <f t="shared" si="11"/>
        <v>0</v>
      </c>
      <c r="O48">
        <f t="shared" si="4"/>
        <v>0</v>
      </c>
      <c r="P48">
        <f t="shared" si="12"/>
        <v>0</v>
      </c>
      <c r="Q48">
        <f t="shared" si="5"/>
        <v>0</v>
      </c>
      <c r="R48">
        <f t="shared" si="13"/>
        <v>0</v>
      </c>
    </row>
    <row r="49" spans="1:18">
      <c r="A49" t="s">
        <v>63</v>
      </c>
      <c r="B49" t="s">
        <v>17</v>
      </c>
      <c r="C49">
        <v>0</v>
      </c>
      <c r="D49">
        <v>0</v>
      </c>
      <c r="E49">
        <v>0</v>
      </c>
      <c r="F49">
        <v>0</v>
      </c>
      <c r="G49">
        <v>0</v>
      </c>
      <c r="H49">
        <v>0</v>
      </c>
      <c r="K49">
        <f t="shared" si="0"/>
        <v>0</v>
      </c>
      <c r="L49">
        <f t="shared" si="14"/>
        <v>0</v>
      </c>
      <c r="M49">
        <f t="shared" si="2"/>
        <v>0</v>
      </c>
      <c r="N49">
        <f t="shared" si="11"/>
        <v>0</v>
      </c>
      <c r="O49">
        <f t="shared" si="4"/>
        <v>0</v>
      </c>
      <c r="P49">
        <f t="shared" si="12"/>
        <v>0</v>
      </c>
      <c r="Q49">
        <f t="shared" si="5"/>
        <v>0</v>
      </c>
      <c r="R49">
        <f t="shared" si="13"/>
        <v>0</v>
      </c>
    </row>
    <row r="50" spans="1:18">
      <c r="A50" t="s">
        <v>35</v>
      </c>
      <c r="B50" t="s">
        <v>17</v>
      </c>
      <c r="C50">
        <v>0</v>
      </c>
      <c r="D50">
        <v>0</v>
      </c>
      <c r="E50">
        <v>0</v>
      </c>
      <c r="F50">
        <v>0</v>
      </c>
      <c r="G50">
        <v>0</v>
      </c>
      <c r="H50">
        <v>0</v>
      </c>
      <c r="K50">
        <f t="shared" si="0"/>
        <v>0</v>
      </c>
      <c r="L50">
        <f>K50</f>
        <v>0</v>
      </c>
      <c r="M50">
        <f t="shared" si="2"/>
        <v>0</v>
      </c>
      <c r="N50">
        <f>M50</f>
        <v>0</v>
      </c>
      <c r="O50">
        <f t="shared" si="4"/>
        <v>0</v>
      </c>
      <c r="P50">
        <f>O50</f>
        <v>0</v>
      </c>
      <c r="Q50">
        <f t="shared" si="5"/>
        <v>0</v>
      </c>
      <c r="R50">
        <f>Q50</f>
        <v>0</v>
      </c>
    </row>
    <row r="51" spans="1:18">
      <c r="A51" t="s">
        <v>36</v>
      </c>
      <c r="B51" t="s">
        <v>17</v>
      </c>
      <c r="C51">
        <v>0</v>
      </c>
      <c r="D51">
        <v>0</v>
      </c>
      <c r="E51">
        <v>0</v>
      </c>
      <c r="F51">
        <v>0</v>
      </c>
      <c r="G51">
        <v>0</v>
      </c>
      <c r="H51">
        <v>0</v>
      </c>
      <c r="K51">
        <f t="shared" si="0"/>
        <v>0</v>
      </c>
      <c r="L51">
        <f t="shared" si="14"/>
        <v>0</v>
      </c>
      <c r="M51">
        <f t="shared" si="2"/>
        <v>0</v>
      </c>
      <c r="N51">
        <f t="shared" si="14"/>
        <v>0</v>
      </c>
      <c r="O51">
        <f t="shared" si="4"/>
        <v>0</v>
      </c>
      <c r="P51">
        <f t="shared" si="12"/>
        <v>0</v>
      </c>
      <c r="Q51">
        <f t="shared" si="5"/>
        <v>0</v>
      </c>
      <c r="R51">
        <f t="shared" si="13"/>
        <v>0</v>
      </c>
    </row>
    <row r="52" spans="1:18">
      <c r="A52" t="s">
        <v>37</v>
      </c>
      <c r="B52" t="s">
        <v>17</v>
      </c>
      <c r="C52">
        <v>0</v>
      </c>
      <c r="D52">
        <v>0</v>
      </c>
      <c r="E52">
        <v>0</v>
      </c>
      <c r="F52">
        <v>0</v>
      </c>
      <c r="G52">
        <v>0</v>
      </c>
      <c r="H52">
        <v>0</v>
      </c>
      <c r="K52">
        <f t="shared" si="0"/>
        <v>0</v>
      </c>
      <c r="L52">
        <f t="shared" si="14"/>
        <v>0</v>
      </c>
      <c r="M52">
        <f t="shared" si="2"/>
        <v>0</v>
      </c>
      <c r="N52">
        <f t="shared" si="14"/>
        <v>0</v>
      </c>
      <c r="O52">
        <f t="shared" si="4"/>
        <v>0</v>
      </c>
      <c r="P52">
        <f t="shared" si="12"/>
        <v>0</v>
      </c>
      <c r="Q52">
        <f t="shared" si="5"/>
        <v>0</v>
      </c>
      <c r="R52">
        <f t="shared" si="13"/>
        <v>0</v>
      </c>
    </row>
    <row r="53" spans="1:18">
      <c r="A53" t="s">
        <v>38</v>
      </c>
      <c r="B53" t="s">
        <v>17</v>
      </c>
      <c r="C53">
        <v>0</v>
      </c>
      <c r="D53">
        <v>0</v>
      </c>
      <c r="E53">
        <v>0</v>
      </c>
      <c r="F53">
        <v>0</v>
      </c>
      <c r="G53">
        <v>0</v>
      </c>
      <c r="H53">
        <v>0</v>
      </c>
      <c r="K53">
        <f t="shared" si="0"/>
        <v>0</v>
      </c>
      <c r="L53">
        <f t="shared" si="14"/>
        <v>0</v>
      </c>
      <c r="M53">
        <f t="shared" si="2"/>
        <v>0</v>
      </c>
      <c r="N53">
        <f t="shared" si="14"/>
        <v>0</v>
      </c>
      <c r="O53">
        <f t="shared" si="4"/>
        <v>0</v>
      </c>
      <c r="P53">
        <f t="shared" si="12"/>
        <v>0</v>
      </c>
      <c r="Q53">
        <f t="shared" si="5"/>
        <v>0</v>
      </c>
      <c r="R53">
        <f t="shared" si="13"/>
        <v>0</v>
      </c>
    </row>
    <row r="54" spans="1:18">
      <c r="A54" t="s">
        <v>39</v>
      </c>
      <c r="B54" t="s">
        <v>17</v>
      </c>
      <c r="C54">
        <v>20</v>
      </c>
      <c r="D54">
        <v>20</v>
      </c>
      <c r="E54">
        <v>20</v>
      </c>
      <c r="F54">
        <v>20</v>
      </c>
      <c r="G54">
        <v>20</v>
      </c>
      <c r="H54">
        <v>20</v>
      </c>
      <c r="K54">
        <f t="shared" si="0"/>
        <v>20</v>
      </c>
      <c r="L54">
        <f>K54-10</f>
        <v>10</v>
      </c>
      <c r="M54">
        <f t="shared" si="2"/>
        <v>20</v>
      </c>
      <c r="N54">
        <f>M54-10</f>
        <v>10</v>
      </c>
      <c r="O54">
        <f t="shared" si="4"/>
        <v>20</v>
      </c>
      <c r="P54">
        <f>O54-10</f>
        <v>10</v>
      </c>
      <c r="Q54">
        <f t="shared" si="5"/>
        <v>20</v>
      </c>
      <c r="R54">
        <f>Q54-10</f>
        <v>10</v>
      </c>
    </row>
    <row r="55" spans="1:18">
      <c r="A55" t="s">
        <v>40</v>
      </c>
      <c r="B55" t="s">
        <v>17</v>
      </c>
      <c r="C55">
        <v>0</v>
      </c>
      <c r="D55">
        <v>0</v>
      </c>
      <c r="E55">
        <v>0</v>
      </c>
      <c r="F55">
        <v>0</v>
      </c>
      <c r="G55">
        <v>0</v>
      </c>
      <c r="H55">
        <v>0</v>
      </c>
      <c r="K55">
        <f t="shared" si="0"/>
        <v>0</v>
      </c>
      <c r="L55">
        <f t="shared" ref="L55:N70" si="15">K55</f>
        <v>0</v>
      </c>
      <c r="M55">
        <f t="shared" si="2"/>
        <v>0</v>
      </c>
      <c r="N55">
        <f t="shared" si="15"/>
        <v>0</v>
      </c>
      <c r="O55">
        <f t="shared" si="4"/>
        <v>0</v>
      </c>
      <c r="P55">
        <f t="shared" si="12"/>
        <v>0</v>
      </c>
      <c r="Q55">
        <f t="shared" si="5"/>
        <v>0</v>
      </c>
      <c r="R55">
        <f t="shared" si="13"/>
        <v>0</v>
      </c>
    </row>
    <row r="56" spans="1:18">
      <c r="A56" t="s">
        <v>41</v>
      </c>
      <c r="B56" t="s">
        <v>17</v>
      </c>
      <c r="C56">
        <v>0</v>
      </c>
      <c r="D56">
        <v>0</v>
      </c>
      <c r="E56">
        <v>0</v>
      </c>
      <c r="F56">
        <v>0</v>
      </c>
      <c r="G56">
        <v>0</v>
      </c>
      <c r="H56">
        <v>0</v>
      </c>
      <c r="K56">
        <f t="shared" si="0"/>
        <v>0</v>
      </c>
      <c r="L56">
        <f t="shared" si="15"/>
        <v>0</v>
      </c>
      <c r="M56">
        <f t="shared" si="2"/>
        <v>0</v>
      </c>
      <c r="N56">
        <f t="shared" si="15"/>
        <v>0</v>
      </c>
      <c r="O56">
        <f t="shared" si="4"/>
        <v>0</v>
      </c>
      <c r="P56">
        <f t="shared" si="12"/>
        <v>0</v>
      </c>
      <c r="Q56">
        <f t="shared" si="5"/>
        <v>0</v>
      </c>
      <c r="R56">
        <f t="shared" si="13"/>
        <v>0</v>
      </c>
    </row>
    <row r="57" spans="1:18">
      <c r="A57" t="s">
        <v>42</v>
      </c>
      <c r="B57" t="s">
        <v>17</v>
      </c>
      <c r="C57">
        <v>0</v>
      </c>
      <c r="D57">
        <v>0</v>
      </c>
      <c r="E57">
        <v>0</v>
      </c>
      <c r="F57">
        <v>0</v>
      </c>
      <c r="G57">
        <v>0</v>
      </c>
      <c r="H57">
        <v>0</v>
      </c>
      <c r="K57">
        <f t="shared" si="0"/>
        <v>0</v>
      </c>
      <c r="L57">
        <f t="shared" si="15"/>
        <v>0</v>
      </c>
      <c r="M57">
        <f t="shared" si="2"/>
        <v>0</v>
      </c>
      <c r="N57">
        <f t="shared" si="15"/>
        <v>0</v>
      </c>
      <c r="O57">
        <f t="shared" si="4"/>
        <v>0</v>
      </c>
      <c r="P57">
        <f t="shared" si="12"/>
        <v>0</v>
      </c>
      <c r="Q57">
        <f t="shared" si="5"/>
        <v>0</v>
      </c>
      <c r="R57">
        <f t="shared" si="13"/>
        <v>0</v>
      </c>
    </row>
    <row r="58" spans="1:18">
      <c r="A58" t="s">
        <v>43</v>
      </c>
      <c r="B58" t="s">
        <v>17</v>
      </c>
      <c r="C58">
        <v>0</v>
      </c>
      <c r="D58">
        <v>0</v>
      </c>
      <c r="E58">
        <v>0</v>
      </c>
      <c r="F58">
        <v>0</v>
      </c>
      <c r="G58">
        <v>0</v>
      </c>
      <c r="H58">
        <v>0</v>
      </c>
      <c r="K58">
        <f t="shared" si="0"/>
        <v>0</v>
      </c>
      <c r="L58">
        <f t="shared" si="15"/>
        <v>0</v>
      </c>
      <c r="M58">
        <f t="shared" si="2"/>
        <v>0</v>
      </c>
      <c r="N58">
        <f t="shared" si="15"/>
        <v>0</v>
      </c>
      <c r="O58">
        <f t="shared" si="4"/>
        <v>0</v>
      </c>
      <c r="P58">
        <f t="shared" si="12"/>
        <v>0</v>
      </c>
      <c r="Q58">
        <f t="shared" si="5"/>
        <v>0</v>
      </c>
      <c r="R58">
        <f t="shared" si="13"/>
        <v>0</v>
      </c>
    </row>
    <row r="59" spans="1:18">
      <c r="A59" t="s">
        <v>44</v>
      </c>
      <c r="B59" t="s">
        <v>17</v>
      </c>
      <c r="C59">
        <v>0</v>
      </c>
      <c r="D59">
        <v>0</v>
      </c>
      <c r="E59">
        <v>0</v>
      </c>
      <c r="F59">
        <v>0</v>
      </c>
      <c r="G59">
        <v>0</v>
      </c>
      <c r="H59">
        <v>0</v>
      </c>
      <c r="K59">
        <f t="shared" si="0"/>
        <v>0</v>
      </c>
      <c r="L59">
        <f t="shared" si="15"/>
        <v>0</v>
      </c>
      <c r="M59">
        <f t="shared" si="2"/>
        <v>0</v>
      </c>
      <c r="N59">
        <f t="shared" si="15"/>
        <v>0</v>
      </c>
      <c r="O59">
        <f t="shared" si="4"/>
        <v>0</v>
      </c>
      <c r="P59">
        <f t="shared" si="12"/>
        <v>0</v>
      </c>
      <c r="Q59">
        <f t="shared" si="5"/>
        <v>0</v>
      </c>
      <c r="R59">
        <f t="shared" si="13"/>
        <v>0</v>
      </c>
    </row>
    <row r="60" spans="1:18">
      <c r="A60" t="s">
        <v>45</v>
      </c>
      <c r="B60" t="s">
        <v>17</v>
      </c>
      <c r="C60">
        <v>0</v>
      </c>
      <c r="D60">
        <v>0</v>
      </c>
      <c r="E60">
        <v>0</v>
      </c>
      <c r="F60">
        <v>0</v>
      </c>
      <c r="G60">
        <v>0</v>
      </c>
      <c r="H60">
        <v>0</v>
      </c>
      <c r="K60">
        <f t="shared" si="0"/>
        <v>0</v>
      </c>
      <c r="L60">
        <f t="shared" si="15"/>
        <v>0</v>
      </c>
      <c r="M60">
        <f t="shared" si="2"/>
        <v>0</v>
      </c>
      <c r="N60">
        <f t="shared" si="15"/>
        <v>0</v>
      </c>
      <c r="O60">
        <f t="shared" si="4"/>
        <v>0</v>
      </c>
      <c r="P60">
        <f t="shared" si="12"/>
        <v>0</v>
      </c>
      <c r="Q60">
        <f t="shared" si="5"/>
        <v>0</v>
      </c>
      <c r="R60">
        <f t="shared" si="13"/>
        <v>0</v>
      </c>
    </row>
    <row r="61" spans="1:18">
      <c r="A61" t="s">
        <v>46</v>
      </c>
      <c r="B61" t="s">
        <v>17</v>
      </c>
      <c r="C61">
        <v>0</v>
      </c>
      <c r="D61">
        <v>0</v>
      </c>
      <c r="E61">
        <v>0</v>
      </c>
      <c r="F61">
        <v>0</v>
      </c>
      <c r="G61">
        <v>0</v>
      </c>
      <c r="H61">
        <v>0</v>
      </c>
      <c r="K61">
        <f t="shared" si="0"/>
        <v>0</v>
      </c>
      <c r="L61">
        <f t="shared" si="15"/>
        <v>0</v>
      </c>
      <c r="M61">
        <f t="shared" si="2"/>
        <v>0</v>
      </c>
      <c r="N61">
        <f t="shared" si="15"/>
        <v>0</v>
      </c>
      <c r="O61">
        <f t="shared" si="4"/>
        <v>0</v>
      </c>
      <c r="P61">
        <f t="shared" si="12"/>
        <v>0</v>
      </c>
      <c r="Q61">
        <f t="shared" si="5"/>
        <v>0</v>
      </c>
      <c r="R61">
        <f t="shared" si="13"/>
        <v>0</v>
      </c>
    </row>
    <row r="62" spans="1:18">
      <c r="A62" t="s">
        <v>47</v>
      </c>
      <c r="B62" t="s">
        <v>17</v>
      </c>
      <c r="C62">
        <v>0</v>
      </c>
      <c r="D62">
        <v>0</v>
      </c>
      <c r="E62">
        <v>0</v>
      </c>
      <c r="F62">
        <v>0</v>
      </c>
      <c r="G62">
        <v>0</v>
      </c>
      <c r="H62">
        <v>0</v>
      </c>
      <c r="K62">
        <f t="shared" si="0"/>
        <v>0</v>
      </c>
      <c r="L62">
        <f t="shared" si="15"/>
        <v>0</v>
      </c>
      <c r="M62">
        <f t="shared" si="2"/>
        <v>0</v>
      </c>
      <c r="N62">
        <f t="shared" si="15"/>
        <v>0</v>
      </c>
      <c r="O62">
        <f t="shared" si="4"/>
        <v>0</v>
      </c>
      <c r="P62">
        <f t="shared" si="12"/>
        <v>0</v>
      </c>
      <c r="Q62">
        <f t="shared" si="5"/>
        <v>0</v>
      </c>
      <c r="R62">
        <f t="shared" si="13"/>
        <v>0</v>
      </c>
    </row>
    <row r="63" spans="1:18">
      <c r="A63" t="s">
        <v>48</v>
      </c>
      <c r="B63" t="s">
        <v>17</v>
      </c>
      <c r="C63">
        <v>80</v>
      </c>
      <c r="D63">
        <v>80</v>
      </c>
      <c r="E63">
        <v>80</v>
      </c>
      <c r="F63">
        <v>40</v>
      </c>
      <c r="G63">
        <v>40</v>
      </c>
      <c r="H63">
        <v>40</v>
      </c>
      <c r="K63">
        <f t="shared" si="0"/>
        <v>80</v>
      </c>
      <c r="L63">
        <f>K63</f>
        <v>80</v>
      </c>
      <c r="M63">
        <f t="shared" si="2"/>
        <v>80</v>
      </c>
      <c r="N63">
        <f>M63</f>
        <v>80</v>
      </c>
      <c r="O63">
        <f t="shared" si="4"/>
        <v>40</v>
      </c>
      <c r="P63">
        <f t="shared" si="12"/>
        <v>40</v>
      </c>
      <c r="Q63">
        <f t="shared" si="5"/>
        <v>40</v>
      </c>
      <c r="R63">
        <f t="shared" si="13"/>
        <v>40</v>
      </c>
    </row>
    <row r="64" spans="1:18">
      <c r="A64" t="s">
        <v>49</v>
      </c>
      <c r="B64" t="s">
        <v>17</v>
      </c>
      <c r="C64">
        <v>0</v>
      </c>
      <c r="D64">
        <v>0</v>
      </c>
      <c r="E64">
        <v>0</v>
      </c>
      <c r="F64">
        <v>0</v>
      </c>
      <c r="G64">
        <v>0</v>
      </c>
      <c r="H64">
        <v>0</v>
      </c>
      <c r="K64">
        <f t="shared" si="0"/>
        <v>0</v>
      </c>
      <c r="L64">
        <f>K64+10</f>
        <v>10</v>
      </c>
      <c r="M64">
        <f t="shared" si="2"/>
        <v>0</v>
      </c>
      <c r="N64">
        <f>M64+10</f>
        <v>10</v>
      </c>
      <c r="O64">
        <f t="shared" si="4"/>
        <v>0</v>
      </c>
      <c r="P64">
        <f>O64+10</f>
        <v>10</v>
      </c>
      <c r="Q64">
        <f t="shared" si="5"/>
        <v>0</v>
      </c>
      <c r="R64">
        <f>Q64+10</f>
        <v>10</v>
      </c>
    </row>
    <row r="65" spans="1:18">
      <c r="A65" t="s">
        <v>50</v>
      </c>
      <c r="B65" t="s">
        <v>17</v>
      </c>
      <c r="C65">
        <v>0</v>
      </c>
      <c r="D65">
        <v>0</v>
      </c>
      <c r="E65">
        <v>0</v>
      </c>
      <c r="F65">
        <v>0</v>
      </c>
      <c r="G65">
        <v>0</v>
      </c>
      <c r="H65">
        <v>0</v>
      </c>
      <c r="K65">
        <f t="shared" si="0"/>
        <v>0</v>
      </c>
      <c r="L65">
        <f t="shared" si="15"/>
        <v>0</v>
      </c>
      <c r="M65">
        <f t="shared" si="2"/>
        <v>0</v>
      </c>
      <c r="N65">
        <f t="shared" si="15"/>
        <v>0</v>
      </c>
      <c r="O65">
        <f t="shared" si="4"/>
        <v>0</v>
      </c>
      <c r="P65">
        <f t="shared" si="12"/>
        <v>0</v>
      </c>
      <c r="Q65">
        <f t="shared" si="5"/>
        <v>0</v>
      </c>
      <c r="R65">
        <f t="shared" si="13"/>
        <v>0</v>
      </c>
    </row>
    <row r="66" spans="1:18">
      <c r="A66" t="s">
        <v>51</v>
      </c>
      <c r="B66" t="s">
        <v>17</v>
      </c>
      <c r="C66">
        <v>0</v>
      </c>
      <c r="D66">
        <v>0</v>
      </c>
      <c r="E66">
        <v>0</v>
      </c>
      <c r="F66">
        <v>0</v>
      </c>
      <c r="G66">
        <v>0</v>
      </c>
      <c r="H66">
        <v>0</v>
      </c>
      <c r="K66">
        <f t="shared" si="0"/>
        <v>0</v>
      </c>
      <c r="L66">
        <f t="shared" si="15"/>
        <v>0</v>
      </c>
      <c r="M66">
        <f t="shared" si="2"/>
        <v>0</v>
      </c>
      <c r="N66">
        <f t="shared" si="15"/>
        <v>0</v>
      </c>
      <c r="O66">
        <f t="shared" si="4"/>
        <v>0</v>
      </c>
      <c r="P66">
        <f t="shared" si="12"/>
        <v>0</v>
      </c>
      <c r="Q66">
        <f t="shared" si="5"/>
        <v>0</v>
      </c>
      <c r="R66">
        <f t="shared" si="13"/>
        <v>0</v>
      </c>
    </row>
    <row r="67" spans="1:18">
      <c r="A67" t="s">
        <v>52</v>
      </c>
      <c r="B67" t="s">
        <v>17</v>
      </c>
      <c r="C67">
        <v>0</v>
      </c>
      <c r="D67">
        <v>0</v>
      </c>
      <c r="E67">
        <v>0</v>
      </c>
      <c r="F67">
        <v>0</v>
      </c>
      <c r="G67">
        <v>0</v>
      </c>
      <c r="H67">
        <v>0</v>
      </c>
      <c r="K67">
        <f t="shared" si="0"/>
        <v>0</v>
      </c>
      <c r="L67">
        <f t="shared" si="15"/>
        <v>0</v>
      </c>
      <c r="M67">
        <f t="shared" si="2"/>
        <v>0</v>
      </c>
      <c r="N67">
        <f t="shared" si="15"/>
        <v>0</v>
      </c>
      <c r="O67">
        <f t="shared" si="4"/>
        <v>0</v>
      </c>
      <c r="P67">
        <f t="shared" si="12"/>
        <v>0</v>
      </c>
      <c r="Q67">
        <f t="shared" si="5"/>
        <v>0</v>
      </c>
      <c r="R67">
        <f t="shared" si="13"/>
        <v>0</v>
      </c>
    </row>
    <row r="68" spans="1:18">
      <c r="A68" t="s">
        <v>53</v>
      </c>
      <c r="B68" t="s">
        <v>17</v>
      </c>
      <c r="C68">
        <v>0</v>
      </c>
      <c r="D68">
        <v>0</v>
      </c>
      <c r="E68">
        <v>0</v>
      </c>
      <c r="F68">
        <v>40</v>
      </c>
      <c r="G68">
        <v>40</v>
      </c>
      <c r="H68">
        <v>40</v>
      </c>
      <c r="K68">
        <f t="shared" si="0"/>
        <v>0</v>
      </c>
      <c r="L68">
        <f t="shared" si="15"/>
        <v>0</v>
      </c>
      <c r="M68">
        <f t="shared" si="2"/>
        <v>0</v>
      </c>
      <c r="N68">
        <f t="shared" si="15"/>
        <v>0</v>
      </c>
      <c r="O68">
        <f t="shared" si="4"/>
        <v>40</v>
      </c>
      <c r="P68">
        <f t="shared" si="12"/>
        <v>40</v>
      </c>
      <c r="Q68">
        <f t="shared" si="5"/>
        <v>40</v>
      </c>
      <c r="R68">
        <f t="shared" si="13"/>
        <v>40</v>
      </c>
    </row>
    <row r="69" spans="1:18">
      <c r="A69" t="s">
        <v>54</v>
      </c>
      <c r="B69" t="s">
        <v>17</v>
      </c>
      <c r="C69">
        <v>0</v>
      </c>
      <c r="D69">
        <v>0</v>
      </c>
      <c r="E69">
        <v>0</v>
      </c>
      <c r="F69">
        <v>0</v>
      </c>
      <c r="G69">
        <v>0</v>
      </c>
      <c r="H69">
        <v>0</v>
      </c>
      <c r="K69">
        <f t="shared" si="0"/>
        <v>0</v>
      </c>
      <c r="L69">
        <f t="shared" si="15"/>
        <v>0</v>
      </c>
      <c r="M69">
        <f t="shared" si="2"/>
        <v>0</v>
      </c>
      <c r="N69">
        <f t="shared" si="15"/>
        <v>0</v>
      </c>
      <c r="O69">
        <f t="shared" si="4"/>
        <v>0</v>
      </c>
      <c r="P69">
        <f t="shared" si="12"/>
        <v>0</v>
      </c>
      <c r="Q69">
        <f t="shared" ref="Q69:Q78" si="16">G69</f>
        <v>0</v>
      </c>
      <c r="R69">
        <f t="shared" si="13"/>
        <v>0</v>
      </c>
    </row>
    <row r="70" spans="1:18">
      <c r="A70" t="s">
        <v>55</v>
      </c>
      <c r="B70" t="s">
        <v>17</v>
      </c>
      <c r="C70">
        <v>0</v>
      </c>
      <c r="D70">
        <v>0</v>
      </c>
      <c r="E70">
        <v>0</v>
      </c>
      <c r="F70">
        <v>0</v>
      </c>
      <c r="G70">
        <v>0</v>
      </c>
      <c r="H70">
        <v>0</v>
      </c>
      <c r="K70">
        <f t="shared" si="0"/>
        <v>0</v>
      </c>
      <c r="L70">
        <f t="shared" si="15"/>
        <v>0</v>
      </c>
      <c r="M70">
        <f t="shared" si="2"/>
        <v>0</v>
      </c>
      <c r="N70">
        <f t="shared" si="15"/>
        <v>0</v>
      </c>
      <c r="O70">
        <f t="shared" si="4"/>
        <v>0</v>
      </c>
      <c r="P70">
        <f t="shared" si="12"/>
        <v>0</v>
      </c>
      <c r="Q70">
        <f t="shared" si="16"/>
        <v>0</v>
      </c>
      <c r="R70">
        <f t="shared" si="13"/>
        <v>0</v>
      </c>
    </row>
    <row r="71" spans="1:18">
      <c r="A71" t="s">
        <v>56</v>
      </c>
      <c r="B71" t="s">
        <v>17</v>
      </c>
      <c r="C71">
        <v>0</v>
      </c>
      <c r="D71">
        <v>0</v>
      </c>
      <c r="E71">
        <v>0</v>
      </c>
      <c r="F71">
        <v>0</v>
      </c>
      <c r="G71">
        <v>0</v>
      </c>
      <c r="H71">
        <v>0</v>
      </c>
      <c r="K71">
        <f t="shared" si="0"/>
        <v>0</v>
      </c>
      <c r="L71">
        <f t="shared" ref="L71:N86" si="17">K71</f>
        <v>0</v>
      </c>
      <c r="M71">
        <f t="shared" si="2"/>
        <v>0</v>
      </c>
      <c r="N71">
        <f t="shared" si="17"/>
        <v>0</v>
      </c>
      <c r="O71">
        <f t="shared" si="4"/>
        <v>0</v>
      </c>
      <c r="P71">
        <f t="shared" si="12"/>
        <v>0</v>
      </c>
      <c r="Q71">
        <f t="shared" si="16"/>
        <v>0</v>
      </c>
      <c r="R71">
        <f t="shared" si="13"/>
        <v>0</v>
      </c>
    </row>
    <row r="72" spans="1:18">
      <c r="A72" t="s">
        <v>57</v>
      </c>
      <c r="B72" t="s">
        <v>17</v>
      </c>
      <c r="C72">
        <v>0</v>
      </c>
      <c r="D72">
        <v>0</v>
      </c>
      <c r="E72">
        <v>0</v>
      </c>
      <c r="F72">
        <v>0</v>
      </c>
      <c r="G72">
        <v>0</v>
      </c>
      <c r="H72">
        <v>0</v>
      </c>
      <c r="K72">
        <f t="shared" si="0"/>
        <v>0</v>
      </c>
      <c r="L72">
        <f t="shared" si="17"/>
        <v>0</v>
      </c>
      <c r="M72">
        <f t="shared" si="2"/>
        <v>0</v>
      </c>
      <c r="N72">
        <f t="shared" si="17"/>
        <v>0</v>
      </c>
      <c r="O72">
        <f t="shared" si="4"/>
        <v>0</v>
      </c>
      <c r="P72">
        <f t="shared" si="12"/>
        <v>0</v>
      </c>
      <c r="Q72">
        <f t="shared" si="16"/>
        <v>0</v>
      </c>
      <c r="R72">
        <f t="shared" si="13"/>
        <v>0</v>
      </c>
    </row>
    <row r="73" spans="1:18">
      <c r="A73" t="s">
        <v>58</v>
      </c>
      <c r="B73" t="s">
        <v>17</v>
      </c>
      <c r="C73">
        <v>0</v>
      </c>
      <c r="D73">
        <v>0</v>
      </c>
      <c r="E73">
        <v>0</v>
      </c>
      <c r="F73">
        <v>0</v>
      </c>
      <c r="G73">
        <v>0</v>
      </c>
      <c r="H73">
        <v>0</v>
      </c>
      <c r="K73">
        <f t="shared" si="0"/>
        <v>0</v>
      </c>
      <c r="L73">
        <f t="shared" si="17"/>
        <v>0</v>
      </c>
      <c r="M73">
        <f t="shared" si="2"/>
        <v>0</v>
      </c>
      <c r="N73">
        <f t="shared" si="17"/>
        <v>0</v>
      </c>
      <c r="O73">
        <f t="shared" si="4"/>
        <v>0</v>
      </c>
      <c r="P73">
        <f t="shared" si="12"/>
        <v>0</v>
      </c>
      <c r="Q73">
        <f t="shared" si="16"/>
        <v>0</v>
      </c>
      <c r="R73">
        <f t="shared" si="13"/>
        <v>0</v>
      </c>
    </row>
    <row r="74" spans="1:18">
      <c r="A74" t="s">
        <v>59</v>
      </c>
      <c r="B74" t="s">
        <v>17</v>
      </c>
      <c r="C74">
        <v>0</v>
      </c>
      <c r="D74">
        <v>0</v>
      </c>
      <c r="E74">
        <v>0</v>
      </c>
      <c r="F74">
        <v>0</v>
      </c>
      <c r="G74">
        <v>0</v>
      </c>
      <c r="H74">
        <v>0</v>
      </c>
      <c r="K74">
        <f t="shared" si="0"/>
        <v>0</v>
      </c>
      <c r="L74">
        <f t="shared" si="17"/>
        <v>0</v>
      </c>
      <c r="M74">
        <f t="shared" si="2"/>
        <v>0</v>
      </c>
      <c r="N74">
        <f t="shared" si="17"/>
        <v>0</v>
      </c>
      <c r="O74">
        <f t="shared" si="4"/>
        <v>0</v>
      </c>
      <c r="P74">
        <f t="shared" si="12"/>
        <v>0</v>
      </c>
      <c r="Q74">
        <f t="shared" si="16"/>
        <v>0</v>
      </c>
      <c r="R74">
        <f t="shared" si="13"/>
        <v>0</v>
      </c>
    </row>
    <row r="75" spans="1:18">
      <c r="A75" t="s">
        <v>60</v>
      </c>
      <c r="B75" t="s">
        <v>17</v>
      </c>
      <c r="C75">
        <v>0</v>
      </c>
      <c r="D75">
        <v>0</v>
      </c>
      <c r="E75">
        <v>0</v>
      </c>
      <c r="F75">
        <v>0</v>
      </c>
      <c r="G75">
        <v>0</v>
      </c>
      <c r="H75">
        <v>0</v>
      </c>
      <c r="K75">
        <f t="shared" si="0"/>
        <v>0</v>
      </c>
      <c r="L75">
        <f t="shared" si="17"/>
        <v>0</v>
      </c>
      <c r="M75">
        <f t="shared" si="2"/>
        <v>0</v>
      </c>
      <c r="N75">
        <f t="shared" si="17"/>
        <v>0</v>
      </c>
      <c r="O75">
        <f t="shared" si="4"/>
        <v>0</v>
      </c>
      <c r="P75">
        <f t="shared" si="12"/>
        <v>0</v>
      </c>
      <c r="Q75">
        <f t="shared" si="16"/>
        <v>0</v>
      </c>
      <c r="R75">
        <f t="shared" si="13"/>
        <v>0</v>
      </c>
    </row>
    <row r="76" spans="1:18">
      <c r="A76" t="s">
        <v>61</v>
      </c>
      <c r="B76" t="s">
        <v>17</v>
      </c>
      <c r="C76">
        <v>0</v>
      </c>
      <c r="D76">
        <v>0</v>
      </c>
      <c r="E76">
        <v>0</v>
      </c>
      <c r="F76">
        <v>0</v>
      </c>
      <c r="G76">
        <v>0</v>
      </c>
      <c r="H76">
        <v>0</v>
      </c>
      <c r="K76">
        <f t="shared" si="0"/>
        <v>0</v>
      </c>
      <c r="L76">
        <f t="shared" si="17"/>
        <v>0</v>
      </c>
      <c r="M76">
        <f t="shared" si="2"/>
        <v>0</v>
      </c>
      <c r="N76">
        <f t="shared" si="17"/>
        <v>0</v>
      </c>
      <c r="O76">
        <f t="shared" si="4"/>
        <v>0</v>
      </c>
      <c r="P76">
        <f t="shared" si="12"/>
        <v>0</v>
      </c>
      <c r="Q76">
        <f t="shared" si="16"/>
        <v>0</v>
      </c>
      <c r="R76">
        <f t="shared" si="13"/>
        <v>0</v>
      </c>
    </row>
    <row r="77" spans="1:18">
      <c r="A77" t="s">
        <v>62</v>
      </c>
      <c r="B77" t="s">
        <v>17</v>
      </c>
      <c r="C77">
        <v>0</v>
      </c>
      <c r="D77">
        <v>0</v>
      </c>
      <c r="E77">
        <v>0</v>
      </c>
      <c r="F77">
        <v>0</v>
      </c>
      <c r="G77">
        <v>0</v>
      </c>
      <c r="H77">
        <v>0</v>
      </c>
      <c r="K77">
        <f t="shared" si="0"/>
        <v>0</v>
      </c>
      <c r="L77">
        <f t="shared" si="17"/>
        <v>0</v>
      </c>
      <c r="M77">
        <f t="shared" si="2"/>
        <v>0</v>
      </c>
      <c r="N77">
        <f t="shared" si="17"/>
        <v>0</v>
      </c>
      <c r="O77">
        <f t="shared" si="4"/>
        <v>0</v>
      </c>
      <c r="P77">
        <f t="shared" si="12"/>
        <v>0</v>
      </c>
      <c r="Q77">
        <f t="shared" si="16"/>
        <v>0</v>
      </c>
      <c r="R77">
        <f t="shared" si="13"/>
        <v>0</v>
      </c>
    </row>
    <row r="78" spans="1:18">
      <c r="A78" t="s">
        <v>63</v>
      </c>
      <c r="B78" t="s">
        <v>17</v>
      </c>
      <c r="C78">
        <v>0</v>
      </c>
      <c r="D78">
        <v>0</v>
      </c>
      <c r="E78">
        <v>0</v>
      </c>
      <c r="F78">
        <v>0</v>
      </c>
      <c r="G78">
        <v>0</v>
      </c>
      <c r="H78">
        <v>0</v>
      </c>
      <c r="K78">
        <f t="shared" si="0"/>
        <v>0</v>
      </c>
      <c r="L78">
        <f t="shared" si="17"/>
        <v>0</v>
      </c>
      <c r="M78">
        <f t="shared" si="2"/>
        <v>0</v>
      </c>
      <c r="N78">
        <f t="shared" si="17"/>
        <v>0</v>
      </c>
      <c r="O78">
        <f t="shared" si="4"/>
        <v>0</v>
      </c>
      <c r="P78">
        <f t="shared" si="12"/>
        <v>0</v>
      </c>
      <c r="Q78">
        <f t="shared" si="16"/>
        <v>0</v>
      </c>
      <c r="R78">
        <f t="shared" si="13"/>
        <v>0</v>
      </c>
    </row>
    <row r="79" spans="1:18">
      <c r="A79" s="4" t="s">
        <v>64</v>
      </c>
    </row>
    <row r="80" spans="1:18">
      <c r="A80" t="s">
        <v>65</v>
      </c>
      <c r="B80" t="s">
        <v>17</v>
      </c>
      <c r="C80">
        <v>0</v>
      </c>
      <c r="D80">
        <v>0</v>
      </c>
      <c r="E80">
        <v>0</v>
      </c>
      <c r="F80">
        <v>0</v>
      </c>
      <c r="G80">
        <v>0</v>
      </c>
      <c r="H80">
        <v>0</v>
      </c>
      <c r="K80">
        <f t="shared" si="0"/>
        <v>0</v>
      </c>
      <c r="L80">
        <f t="shared" si="17"/>
        <v>0</v>
      </c>
      <c r="M80">
        <f t="shared" si="2"/>
        <v>0</v>
      </c>
      <c r="N80">
        <f t="shared" si="11"/>
        <v>0</v>
      </c>
      <c r="O80">
        <f t="shared" si="4"/>
        <v>0</v>
      </c>
      <c r="P80">
        <f>O80+20</f>
        <v>20</v>
      </c>
      <c r="Q80">
        <f t="shared" ref="Q80:Q87" si="18">G80</f>
        <v>0</v>
      </c>
      <c r="R80">
        <f>Q80+20</f>
        <v>20</v>
      </c>
    </row>
    <row r="81" spans="1:18">
      <c r="A81" t="s">
        <v>66</v>
      </c>
      <c r="B81" t="s">
        <v>17</v>
      </c>
      <c r="C81">
        <v>0</v>
      </c>
      <c r="D81">
        <v>0</v>
      </c>
      <c r="E81">
        <v>20</v>
      </c>
      <c r="F81">
        <v>0</v>
      </c>
      <c r="G81">
        <v>0</v>
      </c>
      <c r="H81">
        <v>20</v>
      </c>
      <c r="K81">
        <f t="shared" si="0"/>
        <v>0</v>
      </c>
      <c r="L81">
        <f t="shared" si="17"/>
        <v>0</v>
      </c>
      <c r="M81">
        <f t="shared" si="2"/>
        <v>0</v>
      </c>
      <c r="N81">
        <f t="shared" si="11"/>
        <v>0</v>
      </c>
      <c r="O81">
        <f t="shared" si="4"/>
        <v>0</v>
      </c>
      <c r="P81">
        <f t="shared" si="12"/>
        <v>0</v>
      </c>
      <c r="Q81">
        <f t="shared" si="18"/>
        <v>0</v>
      </c>
      <c r="R81">
        <f>Q81</f>
        <v>0</v>
      </c>
    </row>
    <row r="82" spans="1:18">
      <c r="A82" t="s">
        <v>67</v>
      </c>
      <c r="B82" t="s">
        <v>17</v>
      </c>
      <c r="C82">
        <v>0</v>
      </c>
      <c r="D82">
        <v>0</v>
      </c>
      <c r="E82">
        <v>0</v>
      </c>
      <c r="F82">
        <v>0</v>
      </c>
      <c r="G82">
        <v>0</v>
      </c>
      <c r="H82">
        <v>0</v>
      </c>
      <c r="K82">
        <f t="shared" si="0"/>
        <v>0</v>
      </c>
      <c r="L82">
        <f>K82+20</f>
        <v>20</v>
      </c>
      <c r="M82">
        <f t="shared" si="2"/>
        <v>0</v>
      </c>
      <c r="N82">
        <f>M82+20</f>
        <v>20</v>
      </c>
      <c r="O82">
        <f t="shared" si="4"/>
        <v>0</v>
      </c>
      <c r="P82">
        <f>O82+20</f>
        <v>20</v>
      </c>
      <c r="Q82">
        <f t="shared" si="18"/>
        <v>0</v>
      </c>
      <c r="R82">
        <f>Q82+10</f>
        <v>10</v>
      </c>
    </row>
    <row r="83" spans="1:18">
      <c r="A83" t="s">
        <v>68</v>
      </c>
      <c r="B83" t="s">
        <v>17</v>
      </c>
      <c r="C83">
        <v>0</v>
      </c>
      <c r="D83">
        <v>0</v>
      </c>
      <c r="E83">
        <v>0</v>
      </c>
      <c r="F83">
        <v>0</v>
      </c>
      <c r="G83">
        <v>0</v>
      </c>
      <c r="H83">
        <v>0</v>
      </c>
      <c r="K83">
        <f t="shared" si="0"/>
        <v>0</v>
      </c>
      <c r="L83">
        <f t="shared" si="17"/>
        <v>0</v>
      </c>
      <c r="M83">
        <f t="shared" si="2"/>
        <v>0</v>
      </c>
      <c r="N83">
        <f t="shared" si="11"/>
        <v>0</v>
      </c>
      <c r="O83">
        <f t="shared" si="4"/>
        <v>0</v>
      </c>
      <c r="P83">
        <f>O83+5</f>
        <v>5</v>
      </c>
      <c r="Q83">
        <f t="shared" si="18"/>
        <v>0</v>
      </c>
      <c r="R83">
        <f>Q83+5</f>
        <v>5</v>
      </c>
    </row>
    <row r="84" spans="1:18">
      <c r="A84" t="s">
        <v>69</v>
      </c>
      <c r="B84" t="s">
        <v>17</v>
      </c>
      <c r="C84">
        <v>0</v>
      </c>
      <c r="D84">
        <v>25</v>
      </c>
      <c r="E84">
        <v>20</v>
      </c>
      <c r="F84">
        <v>0</v>
      </c>
      <c r="G84">
        <v>60</v>
      </c>
      <c r="H84">
        <v>48</v>
      </c>
      <c r="K84">
        <f t="shared" si="0"/>
        <v>0</v>
      </c>
      <c r="L84">
        <f t="shared" si="17"/>
        <v>0</v>
      </c>
      <c r="M84">
        <f t="shared" si="2"/>
        <v>25</v>
      </c>
      <c r="N84">
        <f t="shared" si="11"/>
        <v>25</v>
      </c>
      <c r="O84">
        <f t="shared" si="4"/>
        <v>0</v>
      </c>
      <c r="P84">
        <f t="shared" si="12"/>
        <v>0</v>
      </c>
      <c r="Q84">
        <f t="shared" si="18"/>
        <v>60</v>
      </c>
      <c r="R84">
        <f>Q84-25</f>
        <v>35</v>
      </c>
    </row>
    <row r="85" spans="1:18">
      <c r="A85" t="s">
        <v>70</v>
      </c>
      <c r="B85" t="s">
        <v>17</v>
      </c>
      <c r="C85">
        <v>0</v>
      </c>
      <c r="D85">
        <v>0</v>
      </c>
      <c r="E85">
        <v>0</v>
      </c>
      <c r="F85">
        <v>0</v>
      </c>
      <c r="G85">
        <v>0</v>
      </c>
      <c r="H85">
        <v>0</v>
      </c>
      <c r="K85">
        <f t="shared" si="0"/>
        <v>0</v>
      </c>
      <c r="L85">
        <f t="shared" si="17"/>
        <v>0</v>
      </c>
      <c r="M85">
        <f t="shared" si="2"/>
        <v>0</v>
      </c>
      <c r="N85">
        <f t="shared" si="11"/>
        <v>0</v>
      </c>
      <c r="O85">
        <f t="shared" si="4"/>
        <v>0</v>
      </c>
      <c r="P85">
        <f t="shared" si="12"/>
        <v>0</v>
      </c>
      <c r="Q85">
        <f t="shared" si="18"/>
        <v>0</v>
      </c>
      <c r="R85">
        <f>Q85</f>
        <v>0</v>
      </c>
    </row>
    <row r="86" spans="1:18">
      <c r="A86" t="s">
        <v>71</v>
      </c>
      <c r="B86" t="s">
        <v>17</v>
      </c>
      <c r="C86">
        <v>33</v>
      </c>
      <c r="D86">
        <v>75</v>
      </c>
      <c r="E86">
        <v>60</v>
      </c>
      <c r="F86">
        <v>25</v>
      </c>
      <c r="G86">
        <v>40</v>
      </c>
      <c r="H86">
        <v>32</v>
      </c>
      <c r="K86">
        <f t="shared" si="0"/>
        <v>33</v>
      </c>
      <c r="L86">
        <f t="shared" si="17"/>
        <v>33</v>
      </c>
      <c r="M86">
        <f t="shared" si="2"/>
        <v>75</v>
      </c>
      <c r="N86">
        <f>M86-20</f>
        <v>55</v>
      </c>
      <c r="O86">
        <f t="shared" si="4"/>
        <v>25</v>
      </c>
      <c r="P86">
        <f t="shared" ref="P86" si="19">O86</f>
        <v>25</v>
      </c>
      <c r="Q86">
        <f t="shared" si="18"/>
        <v>40</v>
      </c>
      <c r="R86">
        <f>Q86-10</f>
        <v>30</v>
      </c>
    </row>
    <row r="87" spans="1:18">
      <c r="A87" t="s">
        <v>72</v>
      </c>
      <c r="B87" t="s">
        <v>17</v>
      </c>
      <c r="C87">
        <v>67</v>
      </c>
      <c r="D87">
        <v>0</v>
      </c>
      <c r="E87">
        <v>0</v>
      </c>
      <c r="F87">
        <v>75</v>
      </c>
      <c r="G87">
        <v>0</v>
      </c>
      <c r="H87">
        <v>0</v>
      </c>
      <c r="K87">
        <f t="shared" si="0"/>
        <v>67</v>
      </c>
      <c r="L87">
        <f>K87-20</f>
        <v>47</v>
      </c>
      <c r="M87">
        <f t="shared" si="2"/>
        <v>0</v>
      </c>
      <c r="N87">
        <f t="shared" ref="N87" si="20">M87</f>
        <v>0</v>
      </c>
      <c r="O87">
        <f t="shared" si="4"/>
        <v>75</v>
      </c>
      <c r="P87">
        <f>O87-25-20</f>
        <v>30</v>
      </c>
      <c r="Q87">
        <f t="shared" si="18"/>
        <v>0</v>
      </c>
      <c r="R87">
        <f>Q87</f>
        <v>0</v>
      </c>
    </row>
    <row r="88" spans="1:18">
      <c r="A88" t="s">
        <v>73</v>
      </c>
      <c r="B88" t="s">
        <v>17</v>
      </c>
      <c r="C88">
        <v>0</v>
      </c>
      <c r="D88">
        <v>0</v>
      </c>
      <c r="E88">
        <v>0</v>
      </c>
      <c r="F88">
        <v>0</v>
      </c>
      <c r="G88">
        <v>0</v>
      </c>
      <c r="H88">
        <v>0</v>
      </c>
      <c r="K88">
        <f t="shared" si="0"/>
        <v>0</v>
      </c>
      <c r="L88">
        <f>K88</f>
        <v>0</v>
      </c>
      <c r="M88">
        <v>0</v>
      </c>
      <c r="N88">
        <v>0</v>
      </c>
      <c r="O88">
        <v>0</v>
      </c>
      <c r="P88">
        <v>0</v>
      </c>
      <c r="Q88">
        <v>0</v>
      </c>
      <c r="R88">
        <v>0</v>
      </c>
    </row>
  </sheetData>
  <mergeCells count="4">
    <mergeCell ref="C2:E2"/>
    <mergeCell ref="F2:H2"/>
    <mergeCell ref="K2:N2"/>
    <mergeCell ref="O2:R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FF0A6-1EC9-4AA7-9FF4-7B652C23C77D}">
  <dimension ref="A1:V75"/>
  <sheetViews>
    <sheetView workbookViewId="0">
      <selection activeCell="T1" sqref="T1"/>
    </sheetView>
  </sheetViews>
  <sheetFormatPr defaultColWidth="8.85546875" defaultRowHeight="14.45"/>
  <cols>
    <col min="6" max="6" width="68.28515625" bestFit="1" customWidth="1"/>
    <col min="7" max="7" width="26.85546875" bestFit="1" customWidth="1"/>
    <col min="8" max="8" width="25.28515625" bestFit="1" customWidth="1"/>
    <col min="10" max="10" width="26.28515625" bestFit="1" customWidth="1"/>
    <col min="12" max="12" width="24.5703125" bestFit="1" customWidth="1"/>
    <col min="14" max="14" width="25.7109375" bestFit="1" customWidth="1"/>
    <col min="16" max="16" width="23.85546875" bestFit="1" customWidth="1"/>
    <col min="18" max="18" width="25.140625" bestFit="1" customWidth="1"/>
    <col min="20" max="20" width="23.28515625" bestFit="1" customWidth="1"/>
  </cols>
  <sheetData>
    <row r="1" spans="1:22">
      <c r="A1" t="s">
        <v>430</v>
      </c>
      <c r="B1" t="s">
        <v>431</v>
      </c>
      <c r="C1" t="s">
        <v>432</v>
      </c>
      <c r="D1" t="s">
        <v>433</v>
      </c>
      <c r="E1" t="s">
        <v>434</v>
      </c>
      <c r="F1" t="s">
        <v>371</v>
      </c>
      <c r="G1" t="s">
        <v>435</v>
      </c>
      <c r="H1" t="s">
        <v>436</v>
      </c>
      <c r="I1" t="s">
        <v>437</v>
      </c>
      <c r="J1" t="s">
        <v>438</v>
      </c>
      <c r="K1" t="s">
        <v>437</v>
      </c>
      <c r="L1" t="s">
        <v>439</v>
      </c>
      <c r="M1" t="s">
        <v>437</v>
      </c>
      <c r="N1" t="s">
        <v>440</v>
      </c>
      <c r="O1" t="s">
        <v>437</v>
      </c>
      <c r="P1" t="s">
        <v>441</v>
      </c>
      <c r="Q1" t="s">
        <v>437</v>
      </c>
      <c r="R1" t="s">
        <v>442</v>
      </c>
      <c r="S1" t="s">
        <v>437</v>
      </c>
      <c r="T1" t="s">
        <v>443</v>
      </c>
      <c r="U1" t="s">
        <v>437</v>
      </c>
      <c r="V1" t="s">
        <v>372</v>
      </c>
    </row>
    <row r="2" spans="1:22">
      <c r="A2" t="s">
        <v>354</v>
      </c>
      <c r="B2">
        <v>0</v>
      </c>
      <c r="C2" t="s">
        <v>444</v>
      </c>
      <c r="D2" t="s">
        <v>444</v>
      </c>
      <c r="F2" t="s">
        <v>445</v>
      </c>
      <c r="G2" s="122">
        <v>292499728.39999998</v>
      </c>
      <c r="H2" s="122">
        <v>300704763.81999999</v>
      </c>
      <c r="I2" s="123">
        <v>2.81E-2</v>
      </c>
      <c r="J2" s="122">
        <v>257934151.40000001</v>
      </c>
      <c r="K2" s="123">
        <v>-0.1182</v>
      </c>
      <c r="L2" s="122">
        <v>260429830.83000001</v>
      </c>
      <c r="M2" s="123">
        <v>-0.1096</v>
      </c>
      <c r="N2" s="122">
        <v>258209940.49000001</v>
      </c>
      <c r="O2" s="123">
        <v>-0.1172</v>
      </c>
      <c r="P2" s="122">
        <v>261229805.62</v>
      </c>
      <c r="Q2" s="123">
        <v>-0.1069</v>
      </c>
      <c r="R2" s="122">
        <v>238692777.09999999</v>
      </c>
      <c r="S2" s="123">
        <v>-0.184</v>
      </c>
      <c r="T2" s="122">
        <v>238812294.59999999</v>
      </c>
      <c r="U2" s="123">
        <v>-0.1835</v>
      </c>
      <c r="V2" t="s">
        <v>446</v>
      </c>
    </row>
    <row r="3" spans="1:22">
      <c r="A3" t="s">
        <v>354</v>
      </c>
      <c r="B3">
        <v>0</v>
      </c>
      <c r="C3" t="s">
        <v>444</v>
      </c>
      <c r="D3" t="s">
        <v>444</v>
      </c>
      <c r="F3" t="s">
        <v>447</v>
      </c>
      <c r="G3" s="122">
        <v>16761071.460000001</v>
      </c>
      <c r="H3" s="122">
        <v>16484227.16</v>
      </c>
      <c r="I3" s="123">
        <v>-1.6500000000000001E-2</v>
      </c>
      <c r="J3" s="122">
        <v>13874573.109999999</v>
      </c>
      <c r="K3" s="123">
        <v>-0.17219999999999999</v>
      </c>
      <c r="L3" s="122">
        <v>13983930.109999999</v>
      </c>
      <c r="M3" s="123">
        <v>-0.16569999999999999</v>
      </c>
      <c r="N3" s="122">
        <v>14936102.67</v>
      </c>
      <c r="O3" s="123">
        <v>-0.1089</v>
      </c>
      <c r="P3" s="122">
        <v>14907687.51</v>
      </c>
      <c r="Q3" s="123">
        <v>-0.1106</v>
      </c>
      <c r="R3" s="122">
        <v>13614239.939999999</v>
      </c>
      <c r="S3" s="123">
        <v>-0.18770000000000001</v>
      </c>
      <c r="T3" s="122">
        <v>13637563.76</v>
      </c>
      <c r="U3" s="123">
        <v>-0.18640000000000001</v>
      </c>
      <c r="V3" t="s">
        <v>446</v>
      </c>
    </row>
    <row r="4" spans="1:22">
      <c r="A4" t="s">
        <v>354</v>
      </c>
      <c r="B4">
        <v>0</v>
      </c>
      <c r="C4" t="s">
        <v>444</v>
      </c>
      <c r="D4" t="s">
        <v>444</v>
      </c>
      <c r="F4" t="s">
        <v>448</v>
      </c>
      <c r="G4" s="122">
        <v>1119.6099999999999</v>
      </c>
      <c r="H4" s="122">
        <v>1154.3900000000001</v>
      </c>
      <c r="I4" s="123">
        <v>3.1099999999999999E-2</v>
      </c>
      <c r="J4" s="122">
        <v>1105.8900000000001</v>
      </c>
      <c r="K4" s="123">
        <v>-1.23E-2</v>
      </c>
      <c r="L4" s="122">
        <v>1120.25</v>
      </c>
      <c r="M4" s="123">
        <v>5.9999999999999995E-4</v>
      </c>
      <c r="N4" s="122">
        <v>1142.23</v>
      </c>
      <c r="O4" s="123">
        <v>2.0199999999999999E-2</v>
      </c>
      <c r="P4" s="122">
        <v>1160.73</v>
      </c>
      <c r="Q4" s="123">
        <v>3.6700000000000003E-2</v>
      </c>
      <c r="R4" s="122">
        <v>1097.47</v>
      </c>
      <c r="S4" s="123">
        <v>-1.9800000000000002E-2</v>
      </c>
      <c r="T4" s="122">
        <v>1098.3499999999999</v>
      </c>
      <c r="U4" s="123">
        <v>-1.9E-2</v>
      </c>
      <c r="V4" t="s">
        <v>449</v>
      </c>
    </row>
    <row r="5" spans="1:22">
      <c r="A5" t="s">
        <v>354</v>
      </c>
      <c r="B5">
        <v>0</v>
      </c>
      <c r="C5" t="s">
        <v>444</v>
      </c>
      <c r="D5" t="s">
        <v>444</v>
      </c>
      <c r="F5" t="s">
        <v>450</v>
      </c>
      <c r="G5" s="122">
        <v>26914480.739999998</v>
      </c>
      <c r="H5" s="122">
        <v>37908268.57</v>
      </c>
      <c r="I5" s="123">
        <v>0.40849999999999997</v>
      </c>
      <c r="J5" s="122">
        <v>16543253.220000001</v>
      </c>
      <c r="K5" s="123">
        <v>-0.38529999999999998</v>
      </c>
      <c r="L5" s="122">
        <v>20211769.890000001</v>
      </c>
      <c r="M5" s="123">
        <v>-0.249</v>
      </c>
      <c r="N5" s="122">
        <v>31531605.489999998</v>
      </c>
      <c r="O5" s="123">
        <v>0.17150000000000001</v>
      </c>
      <c r="P5" s="122">
        <v>38534543.689999998</v>
      </c>
      <c r="Q5" s="123">
        <v>0.43169999999999997</v>
      </c>
      <c r="R5" s="122">
        <v>12421795.939999999</v>
      </c>
      <c r="S5" s="123">
        <v>-0.53849999999999998</v>
      </c>
      <c r="T5" s="122">
        <v>12713995.460000001</v>
      </c>
      <c r="U5" s="123">
        <v>-0.52759999999999996</v>
      </c>
      <c r="V5" t="s">
        <v>451</v>
      </c>
    </row>
    <row r="6" spans="1:22">
      <c r="A6" t="s">
        <v>354</v>
      </c>
      <c r="B6">
        <v>0</v>
      </c>
      <c r="C6" t="s">
        <v>444</v>
      </c>
      <c r="D6" t="s">
        <v>444</v>
      </c>
      <c r="F6" t="s">
        <v>452</v>
      </c>
      <c r="G6" s="122">
        <v>7854888.9299999997</v>
      </c>
      <c r="H6" s="122">
        <v>8329076.9699999997</v>
      </c>
      <c r="I6" s="123">
        <v>6.0400000000000002E-2</v>
      </c>
      <c r="J6" s="122">
        <v>6145222.2800000003</v>
      </c>
      <c r="K6" s="123">
        <v>-0.2177</v>
      </c>
      <c r="L6" s="122">
        <v>6323302.6299999999</v>
      </c>
      <c r="M6" s="123">
        <v>-0.19500000000000001</v>
      </c>
      <c r="N6" s="122">
        <v>5740474.9699999997</v>
      </c>
      <c r="O6" s="123">
        <v>-0.26919999999999999</v>
      </c>
      <c r="P6" s="122">
        <v>5882101.8399999999</v>
      </c>
      <c r="Q6" s="123">
        <v>-0.25119999999999998</v>
      </c>
      <c r="R6" s="122">
        <v>5274364.1900000004</v>
      </c>
      <c r="S6" s="123">
        <v>-0.32850000000000001</v>
      </c>
      <c r="T6" s="122">
        <v>5282649.82</v>
      </c>
      <c r="U6" s="123">
        <v>-0.32750000000000001</v>
      </c>
      <c r="V6" t="s">
        <v>451</v>
      </c>
    </row>
    <row r="7" spans="1:22">
      <c r="A7" t="s">
        <v>354</v>
      </c>
      <c r="B7">
        <v>0</v>
      </c>
      <c r="C7" t="s">
        <v>444</v>
      </c>
      <c r="D7" t="s">
        <v>444</v>
      </c>
      <c r="F7" t="s">
        <v>453</v>
      </c>
      <c r="G7" s="122">
        <v>310235392.39999998</v>
      </c>
      <c r="H7" s="122">
        <v>309992580.82999998</v>
      </c>
      <c r="I7" s="123">
        <v>-8.0000000000000004E-4</v>
      </c>
      <c r="J7" s="122">
        <v>279792356.70999998</v>
      </c>
      <c r="K7" s="123">
        <v>-9.8100000000000007E-2</v>
      </c>
      <c r="L7" s="122">
        <v>279608590.20999998</v>
      </c>
      <c r="M7" s="123">
        <v>-9.8699999999999996E-2</v>
      </c>
      <c r="N7" s="122">
        <v>283470608.79000002</v>
      </c>
      <c r="O7" s="123">
        <v>-8.6300000000000002E-2</v>
      </c>
      <c r="P7" s="122">
        <v>282524404.37</v>
      </c>
      <c r="Q7" s="123">
        <v>-8.9300000000000004E-2</v>
      </c>
      <c r="R7" s="122">
        <v>266430693.02000001</v>
      </c>
      <c r="S7" s="123">
        <v>-0.14119999999999999</v>
      </c>
      <c r="T7" s="122">
        <v>266358404.59999999</v>
      </c>
      <c r="U7" s="123">
        <v>-0.1414</v>
      </c>
      <c r="V7" t="s">
        <v>451</v>
      </c>
    </row>
    <row r="8" spans="1:22">
      <c r="A8" t="s">
        <v>354</v>
      </c>
      <c r="B8">
        <v>0</v>
      </c>
      <c r="C8" t="s">
        <v>444</v>
      </c>
      <c r="D8" t="s">
        <v>444</v>
      </c>
      <c r="F8" t="s">
        <v>454</v>
      </c>
      <c r="G8" s="122">
        <v>1013565.17</v>
      </c>
      <c r="H8" s="122">
        <v>1013753.02</v>
      </c>
      <c r="I8" s="123">
        <v>2.0000000000000001E-4</v>
      </c>
      <c r="J8" s="122">
        <v>991784.35</v>
      </c>
      <c r="K8" s="123">
        <v>-2.1499999999999998E-2</v>
      </c>
      <c r="L8" s="122">
        <v>992076.09</v>
      </c>
      <c r="M8" s="123">
        <v>-2.12E-2</v>
      </c>
      <c r="N8" s="122">
        <v>992739.8</v>
      </c>
      <c r="O8" s="123">
        <v>-2.0500000000000001E-2</v>
      </c>
      <c r="P8" s="122">
        <v>991208.82</v>
      </c>
      <c r="Q8" s="123">
        <v>-2.2100000000000002E-2</v>
      </c>
      <c r="R8" s="122">
        <v>983330.12</v>
      </c>
      <c r="S8" s="123">
        <v>-2.98E-2</v>
      </c>
      <c r="T8" s="122">
        <v>983248.82</v>
      </c>
      <c r="U8" s="123">
        <v>-2.9899999999999999E-2</v>
      </c>
      <c r="V8" t="s">
        <v>451</v>
      </c>
    </row>
    <row r="9" spans="1:22">
      <c r="A9" t="s">
        <v>354</v>
      </c>
      <c r="B9">
        <v>0</v>
      </c>
      <c r="C9" t="s">
        <v>444</v>
      </c>
      <c r="D9" t="s">
        <v>444</v>
      </c>
      <c r="F9" t="s">
        <v>455</v>
      </c>
      <c r="G9" s="122">
        <v>8052781.9100000001</v>
      </c>
      <c r="H9" s="122">
        <v>8060675.4199999999</v>
      </c>
      <c r="I9" s="123">
        <v>1E-3</v>
      </c>
      <c r="J9" s="122">
        <v>7137517.6100000003</v>
      </c>
      <c r="K9" s="123">
        <v>-0.1137</v>
      </c>
      <c r="L9" s="122">
        <v>7149777.2999999998</v>
      </c>
      <c r="M9" s="123">
        <v>-0.11210000000000001</v>
      </c>
      <c r="N9" s="122">
        <v>7177667.2999999998</v>
      </c>
      <c r="O9" s="123">
        <v>-0.1087</v>
      </c>
      <c r="P9" s="122">
        <v>7113332.96</v>
      </c>
      <c r="Q9" s="123">
        <v>-0.1167</v>
      </c>
      <c r="R9" s="122">
        <v>6782258.0199999996</v>
      </c>
      <c r="S9" s="123">
        <v>-0.1578</v>
      </c>
      <c r="T9" s="122">
        <v>6778841.6100000003</v>
      </c>
      <c r="U9" s="123">
        <v>-0.15820000000000001</v>
      </c>
      <c r="V9" t="s">
        <v>451</v>
      </c>
    </row>
    <row r="10" spans="1:22">
      <c r="A10" t="s">
        <v>354</v>
      </c>
      <c r="B10">
        <v>0</v>
      </c>
      <c r="C10" t="s">
        <v>444</v>
      </c>
      <c r="D10" t="s">
        <v>444</v>
      </c>
      <c r="F10" t="s">
        <v>456</v>
      </c>
      <c r="G10" s="122">
        <v>1340330.1200000001</v>
      </c>
      <c r="H10" s="122">
        <v>1364964.27</v>
      </c>
      <c r="I10" s="123">
        <v>1.84E-2</v>
      </c>
      <c r="J10" s="122">
        <v>1175117.27</v>
      </c>
      <c r="K10" s="123">
        <v>-0.12330000000000001</v>
      </c>
      <c r="L10" s="122">
        <v>1181665.9099999999</v>
      </c>
      <c r="M10" s="123">
        <v>-0.11840000000000001</v>
      </c>
      <c r="N10" s="122">
        <v>1175414.5900000001</v>
      </c>
      <c r="O10" s="123">
        <v>-0.123</v>
      </c>
      <c r="P10" s="122">
        <v>1183603.74</v>
      </c>
      <c r="Q10" s="123">
        <v>-0.1169</v>
      </c>
      <c r="R10" s="122">
        <v>1083751.1599999999</v>
      </c>
      <c r="S10" s="123">
        <v>-0.19139999999999999</v>
      </c>
      <c r="T10" s="122">
        <v>1084003.96</v>
      </c>
      <c r="U10" s="123">
        <v>-0.19120000000000001</v>
      </c>
      <c r="V10" t="s">
        <v>457</v>
      </c>
    </row>
    <row r="11" spans="1:22">
      <c r="A11" t="s">
        <v>354</v>
      </c>
      <c r="B11">
        <v>0</v>
      </c>
      <c r="C11" t="s">
        <v>444</v>
      </c>
      <c r="D11" t="s">
        <v>444</v>
      </c>
      <c r="F11" t="s">
        <v>458</v>
      </c>
      <c r="G11" s="122">
        <v>5409098.2599999998</v>
      </c>
      <c r="H11" s="122">
        <v>6074378.5899999999</v>
      </c>
      <c r="I11" s="123">
        <v>0.123</v>
      </c>
      <c r="J11" s="122">
        <v>4197061.8499999996</v>
      </c>
      <c r="K11" s="123">
        <v>-0.22409999999999999</v>
      </c>
      <c r="L11" s="122">
        <v>4425603.8</v>
      </c>
      <c r="M11" s="123">
        <v>-0.18179999999999999</v>
      </c>
      <c r="N11" s="122">
        <v>3763197.94</v>
      </c>
      <c r="O11" s="123">
        <v>-0.30430000000000001</v>
      </c>
      <c r="P11" s="122">
        <v>3925997.17</v>
      </c>
      <c r="Q11" s="123">
        <v>-0.2742</v>
      </c>
      <c r="R11" s="122">
        <v>3452491.51</v>
      </c>
      <c r="S11" s="123">
        <v>-0.36170000000000002</v>
      </c>
      <c r="T11" s="122">
        <v>3460822.88</v>
      </c>
      <c r="U11" s="123">
        <v>-0.36020000000000002</v>
      </c>
      <c r="V11" t="s">
        <v>457</v>
      </c>
    </row>
    <row r="12" spans="1:22">
      <c r="A12" t="s">
        <v>354</v>
      </c>
      <c r="B12">
        <v>0</v>
      </c>
      <c r="C12" t="s">
        <v>444</v>
      </c>
      <c r="D12" t="s">
        <v>444</v>
      </c>
      <c r="F12" t="s">
        <v>459</v>
      </c>
      <c r="G12">
        <v>142.91</v>
      </c>
      <c r="H12">
        <v>137.13999999999999</v>
      </c>
      <c r="I12" s="123">
        <v>-4.0399999999999998E-2</v>
      </c>
      <c r="J12">
        <v>151.71</v>
      </c>
      <c r="K12" s="123">
        <v>6.1600000000000002E-2</v>
      </c>
      <c r="L12">
        <v>149.26</v>
      </c>
      <c r="M12" s="123">
        <v>4.4499999999999998E-2</v>
      </c>
      <c r="N12">
        <v>158.27000000000001</v>
      </c>
      <c r="O12" s="123">
        <v>0.1075</v>
      </c>
      <c r="P12">
        <v>154.88</v>
      </c>
      <c r="Q12" s="123">
        <v>8.3799999999999999E-2</v>
      </c>
      <c r="R12">
        <v>159.32</v>
      </c>
      <c r="S12" s="123">
        <v>0.1149</v>
      </c>
      <c r="T12">
        <v>159.12</v>
      </c>
      <c r="U12" s="123">
        <v>0.1134</v>
      </c>
      <c r="V12" t="s">
        <v>460</v>
      </c>
    </row>
    <row r="13" spans="1:22">
      <c r="A13" t="s">
        <v>354</v>
      </c>
      <c r="B13">
        <v>1</v>
      </c>
      <c r="C13" t="s">
        <v>444</v>
      </c>
      <c r="D13" t="s">
        <v>444</v>
      </c>
      <c r="F13" t="s">
        <v>231</v>
      </c>
      <c r="G13">
        <v>0</v>
      </c>
      <c r="H13">
        <v>0</v>
      </c>
      <c r="I13" s="123">
        <v>0</v>
      </c>
      <c r="J13">
        <v>0</v>
      </c>
      <c r="K13" s="123">
        <v>0</v>
      </c>
      <c r="L13">
        <v>0</v>
      </c>
      <c r="M13" s="123">
        <v>0</v>
      </c>
      <c r="N13">
        <v>0</v>
      </c>
      <c r="O13" s="123">
        <v>0</v>
      </c>
      <c r="P13">
        <v>0</v>
      </c>
      <c r="Q13" s="123">
        <v>0</v>
      </c>
      <c r="R13">
        <v>0</v>
      </c>
      <c r="S13" s="123">
        <v>0</v>
      </c>
      <c r="T13">
        <v>0</v>
      </c>
      <c r="U13" s="123">
        <v>0</v>
      </c>
      <c r="V13" t="s">
        <v>381</v>
      </c>
    </row>
    <row r="14" spans="1:22">
      <c r="A14" t="s">
        <v>354</v>
      </c>
      <c r="B14">
        <v>0</v>
      </c>
      <c r="C14" t="s">
        <v>444</v>
      </c>
      <c r="D14" t="s">
        <v>444</v>
      </c>
      <c r="F14" t="s">
        <v>461</v>
      </c>
      <c r="G14">
        <v>174.71</v>
      </c>
      <c r="H14">
        <v>179.69</v>
      </c>
      <c r="I14" s="123">
        <v>2.8500000000000001E-2</v>
      </c>
      <c r="J14">
        <v>141.46</v>
      </c>
      <c r="K14" s="123">
        <v>-0.1903</v>
      </c>
      <c r="L14">
        <v>142.71</v>
      </c>
      <c r="M14" s="123">
        <v>-0.18310000000000001</v>
      </c>
      <c r="N14">
        <v>143.69</v>
      </c>
      <c r="O14" s="123">
        <v>-0.17749999999999999</v>
      </c>
      <c r="P14">
        <v>146.04</v>
      </c>
      <c r="Q14" s="123">
        <v>-0.1641</v>
      </c>
      <c r="R14">
        <v>122.72</v>
      </c>
      <c r="S14" s="123">
        <v>-0.29759999999999998</v>
      </c>
      <c r="T14">
        <v>122.8</v>
      </c>
      <c r="U14" s="123">
        <v>-0.29709999999999998</v>
      </c>
      <c r="V14" t="s">
        <v>457</v>
      </c>
    </row>
    <row r="15" spans="1:22">
      <c r="A15" t="s">
        <v>354</v>
      </c>
      <c r="B15">
        <v>0</v>
      </c>
      <c r="C15" t="s">
        <v>444</v>
      </c>
      <c r="D15" t="s">
        <v>444</v>
      </c>
      <c r="F15" t="s">
        <v>462</v>
      </c>
      <c r="G15" s="122">
        <v>1849172.14</v>
      </c>
      <c r="H15" s="122">
        <v>1915512.04</v>
      </c>
      <c r="I15" s="123">
        <v>3.5900000000000001E-2</v>
      </c>
      <c r="J15" s="122">
        <v>1638175.47</v>
      </c>
      <c r="K15" s="123">
        <v>-0.11409999999999999</v>
      </c>
      <c r="L15" s="122">
        <v>1704715.68</v>
      </c>
      <c r="M15" s="123">
        <v>-7.8100000000000003E-2</v>
      </c>
      <c r="N15" s="122">
        <v>1612779.83</v>
      </c>
      <c r="O15" s="123">
        <v>-0.1278</v>
      </c>
      <c r="P15" s="122">
        <v>1594812.74</v>
      </c>
      <c r="Q15" s="123">
        <v>-0.1376</v>
      </c>
      <c r="R15" s="122">
        <v>1524838.12</v>
      </c>
      <c r="S15" s="123">
        <v>-0.1754</v>
      </c>
      <c r="T15" s="122">
        <v>1522072.48</v>
      </c>
      <c r="U15" s="123">
        <v>-0.1769</v>
      </c>
      <c r="V15" t="s">
        <v>457</v>
      </c>
    </row>
    <row r="16" spans="1:22">
      <c r="A16" t="s">
        <v>354</v>
      </c>
      <c r="B16">
        <v>0</v>
      </c>
      <c r="C16" t="s">
        <v>444</v>
      </c>
      <c r="D16" t="s">
        <v>444</v>
      </c>
      <c r="F16" t="s">
        <v>377</v>
      </c>
      <c r="G16" s="122">
        <v>8225147.0099999998</v>
      </c>
      <c r="H16" s="122">
        <v>8188243.6699999999</v>
      </c>
      <c r="I16" s="123">
        <v>-4.4999999999999997E-3</v>
      </c>
      <c r="J16" s="122">
        <v>7321447.9800000004</v>
      </c>
      <c r="K16" s="123">
        <v>-0.1099</v>
      </c>
      <c r="L16" s="122">
        <v>7309901.2199999997</v>
      </c>
      <c r="M16" s="123">
        <v>-0.1113</v>
      </c>
      <c r="N16" s="122">
        <v>7130084.04</v>
      </c>
      <c r="O16" s="123">
        <v>-0.1331</v>
      </c>
      <c r="P16" s="122">
        <v>7087049.1900000004</v>
      </c>
      <c r="Q16" s="123">
        <v>-0.1384</v>
      </c>
      <c r="R16" s="122">
        <v>6852569.9900000002</v>
      </c>
      <c r="S16" s="123">
        <v>-0.16689999999999999</v>
      </c>
      <c r="T16" s="122">
        <v>6850138.1399999997</v>
      </c>
      <c r="U16" s="123">
        <v>-0.16719999999999999</v>
      </c>
      <c r="V16" t="s">
        <v>30</v>
      </c>
    </row>
    <row r="17" spans="1:22">
      <c r="A17" t="s">
        <v>354</v>
      </c>
      <c r="B17">
        <v>0</v>
      </c>
      <c r="C17" t="s">
        <v>444</v>
      </c>
      <c r="D17" t="s">
        <v>444</v>
      </c>
      <c r="F17" t="s">
        <v>463</v>
      </c>
      <c r="G17" s="122">
        <v>309260799.87</v>
      </c>
      <c r="H17" s="122">
        <v>317188990.97000003</v>
      </c>
      <c r="I17" s="123">
        <v>2.5600000000000001E-2</v>
      </c>
      <c r="J17" s="122">
        <v>271808724.50999999</v>
      </c>
      <c r="K17" s="123">
        <v>-0.1211</v>
      </c>
      <c r="L17" s="122">
        <v>274413760.94</v>
      </c>
      <c r="M17" s="123">
        <v>-0.11269999999999999</v>
      </c>
      <c r="N17" s="122">
        <v>273146043.16000003</v>
      </c>
      <c r="O17" s="123">
        <v>-0.1168</v>
      </c>
      <c r="P17" s="122">
        <v>276137493.13</v>
      </c>
      <c r="Q17" s="123">
        <v>-0.1071</v>
      </c>
      <c r="R17" s="122">
        <v>252307017.03999999</v>
      </c>
      <c r="S17" s="123">
        <v>-0.1842</v>
      </c>
      <c r="T17" s="122">
        <v>252449858.37</v>
      </c>
      <c r="U17" s="123">
        <v>-0.1837</v>
      </c>
      <c r="V17" t="s">
        <v>446</v>
      </c>
    </row>
    <row r="18" spans="1:22">
      <c r="A18" t="s">
        <v>354</v>
      </c>
      <c r="B18">
        <v>0</v>
      </c>
      <c r="C18" t="s">
        <v>444</v>
      </c>
      <c r="D18" t="s">
        <v>444</v>
      </c>
      <c r="F18" t="s">
        <v>464</v>
      </c>
      <c r="G18" s="122">
        <v>354071109.16000003</v>
      </c>
      <c r="H18" s="122">
        <v>365304354.81999999</v>
      </c>
      <c r="I18" s="123">
        <v>3.1699999999999999E-2</v>
      </c>
      <c r="J18" s="122">
        <v>310610134.17000002</v>
      </c>
      <c r="K18" s="123">
        <v>-0.1227</v>
      </c>
      <c r="L18" s="122">
        <v>314285516.13</v>
      </c>
      <c r="M18" s="123">
        <v>-0.1124</v>
      </c>
      <c r="N18" s="122">
        <v>328913096.36000001</v>
      </c>
      <c r="O18" s="123">
        <v>-7.1099999999999997E-2</v>
      </c>
      <c r="P18" s="122">
        <v>335045591.66000003</v>
      </c>
      <c r="Q18" s="123">
        <v>-5.3699999999999998E-2</v>
      </c>
      <c r="R18" s="122">
        <v>291892441.27999997</v>
      </c>
      <c r="S18" s="123">
        <v>-0.17560000000000001</v>
      </c>
      <c r="T18" s="122">
        <v>292117140.31</v>
      </c>
      <c r="U18" s="123">
        <v>-0.17499999999999999</v>
      </c>
      <c r="V18" t="s">
        <v>451</v>
      </c>
    </row>
    <row r="19" spans="1:22">
      <c r="A19" t="s">
        <v>354</v>
      </c>
      <c r="B19">
        <v>0</v>
      </c>
      <c r="C19" t="s">
        <v>444</v>
      </c>
      <c r="D19" t="s">
        <v>444</v>
      </c>
      <c r="F19" t="s">
        <v>465</v>
      </c>
      <c r="G19" s="122">
        <v>9208984393.9400005</v>
      </c>
      <c r="H19" s="122">
        <v>9452390952.9099998</v>
      </c>
      <c r="I19" s="123">
        <v>2.64E-2</v>
      </c>
      <c r="J19" s="122">
        <v>8096706220.04</v>
      </c>
      <c r="K19" s="123">
        <v>-0.1208</v>
      </c>
      <c r="L19" s="122">
        <v>8188883402.6199999</v>
      </c>
      <c r="M19" s="123">
        <v>-0.1108</v>
      </c>
      <c r="N19" s="122">
        <v>8144184381.1800003</v>
      </c>
      <c r="O19" s="123">
        <v>-0.11559999999999999</v>
      </c>
      <c r="P19" s="122">
        <v>8226181652.2399998</v>
      </c>
      <c r="Q19" s="123">
        <v>-0.1067</v>
      </c>
      <c r="R19" s="122">
        <v>7520496209.8400002</v>
      </c>
      <c r="S19" s="123">
        <v>-0.18340000000000001</v>
      </c>
      <c r="T19" s="122">
        <v>7523822626.9499998</v>
      </c>
      <c r="U19" s="123">
        <v>-0.183</v>
      </c>
      <c r="V19" t="s">
        <v>466</v>
      </c>
    </row>
    <row r="20" spans="1:22">
      <c r="A20" t="s">
        <v>354</v>
      </c>
      <c r="B20">
        <v>0</v>
      </c>
      <c r="C20" t="s">
        <v>444</v>
      </c>
      <c r="D20" t="s">
        <v>444</v>
      </c>
      <c r="F20" t="s">
        <v>467</v>
      </c>
      <c r="G20" s="122">
        <v>1849346.84</v>
      </c>
      <c r="H20" s="122">
        <v>1915691.73</v>
      </c>
      <c r="I20" s="123">
        <v>3.5900000000000001E-2</v>
      </c>
      <c r="J20" s="122">
        <v>1638316.94</v>
      </c>
      <c r="K20" s="123">
        <v>-0.11409999999999999</v>
      </c>
      <c r="L20" s="122">
        <v>1704858.39</v>
      </c>
      <c r="M20" s="123">
        <v>-7.8100000000000003E-2</v>
      </c>
      <c r="N20" s="122">
        <v>1612923.51</v>
      </c>
      <c r="O20" s="123">
        <v>-0.1278</v>
      </c>
      <c r="P20" s="122">
        <v>1594958.78</v>
      </c>
      <c r="Q20" s="123">
        <v>-0.1376</v>
      </c>
      <c r="R20" s="122">
        <v>1524960.84</v>
      </c>
      <c r="S20" s="123">
        <v>-0.1754</v>
      </c>
      <c r="T20" s="122">
        <v>1522195.28</v>
      </c>
      <c r="U20" s="123">
        <v>-0.1769</v>
      </c>
      <c r="V20" t="s">
        <v>457</v>
      </c>
    </row>
    <row r="21" spans="1:22">
      <c r="A21" t="s">
        <v>354</v>
      </c>
      <c r="B21">
        <v>0</v>
      </c>
      <c r="C21" t="s">
        <v>468</v>
      </c>
      <c r="D21" t="s">
        <v>469</v>
      </c>
      <c r="F21" t="s">
        <v>445</v>
      </c>
      <c r="G21" s="122">
        <v>54909907.219999999</v>
      </c>
      <c r="H21" s="122">
        <v>63114942.630000003</v>
      </c>
      <c r="I21" s="123">
        <v>0.14940000000000001</v>
      </c>
      <c r="J21" s="122">
        <v>20344330.210000001</v>
      </c>
      <c r="K21" s="123">
        <v>-0.62949999999999995</v>
      </c>
      <c r="L21" s="122">
        <v>22840009.649999999</v>
      </c>
      <c r="M21" s="123">
        <v>-0.58399999999999996</v>
      </c>
      <c r="N21" s="122">
        <v>20620119.309999999</v>
      </c>
      <c r="O21" s="123">
        <v>-0.62450000000000006</v>
      </c>
      <c r="P21" s="122">
        <v>23639984.440000001</v>
      </c>
      <c r="Q21" s="123">
        <v>-0.56950000000000001</v>
      </c>
      <c r="R21" s="122">
        <v>1102955.92</v>
      </c>
      <c r="S21" s="123">
        <v>-0.97989999999999999</v>
      </c>
      <c r="T21" s="122">
        <v>1222473.42</v>
      </c>
      <c r="U21" s="123">
        <v>-0.97770000000000001</v>
      </c>
      <c r="V21" t="s">
        <v>446</v>
      </c>
    </row>
    <row r="22" spans="1:22">
      <c r="A22" t="s">
        <v>354</v>
      </c>
      <c r="B22">
        <v>0</v>
      </c>
      <c r="C22" t="s">
        <v>468</v>
      </c>
      <c r="D22" t="s">
        <v>469</v>
      </c>
      <c r="F22" t="s">
        <v>447</v>
      </c>
      <c r="G22" s="122">
        <v>3172716.88</v>
      </c>
      <c r="H22" s="122">
        <v>2895872.57</v>
      </c>
      <c r="I22" s="123">
        <v>-8.7300000000000003E-2</v>
      </c>
      <c r="J22" s="122">
        <v>286218.52</v>
      </c>
      <c r="K22" s="123">
        <v>-0.90980000000000005</v>
      </c>
      <c r="L22" s="122">
        <v>395575.52</v>
      </c>
      <c r="M22" s="123">
        <v>-0.87529999999999997</v>
      </c>
      <c r="N22" s="122">
        <v>1347748.08</v>
      </c>
      <c r="O22" s="123">
        <v>-0.57520000000000004</v>
      </c>
      <c r="P22" s="122">
        <v>1319332.92</v>
      </c>
      <c r="Q22" s="123">
        <v>-0.58420000000000005</v>
      </c>
      <c r="R22" s="122">
        <v>25885.35</v>
      </c>
      <c r="S22" s="123">
        <v>-0.99180000000000001</v>
      </c>
      <c r="T22" s="122">
        <v>49209.18</v>
      </c>
      <c r="U22" s="123">
        <v>-0.98450000000000004</v>
      </c>
      <c r="V22" t="s">
        <v>446</v>
      </c>
    </row>
    <row r="23" spans="1:22">
      <c r="A23" t="s">
        <v>354</v>
      </c>
      <c r="B23">
        <v>0</v>
      </c>
      <c r="C23" t="s">
        <v>468</v>
      </c>
      <c r="D23" t="s">
        <v>469</v>
      </c>
      <c r="F23" t="s">
        <v>470</v>
      </c>
      <c r="G23">
        <v>0</v>
      </c>
      <c r="H23">
        <v>0</v>
      </c>
      <c r="I23" s="123">
        <v>0</v>
      </c>
      <c r="J23">
        <v>0</v>
      </c>
      <c r="K23" s="123">
        <v>0</v>
      </c>
      <c r="L23">
        <v>0</v>
      </c>
      <c r="M23" s="123">
        <v>0</v>
      </c>
      <c r="N23">
        <v>0</v>
      </c>
      <c r="O23" s="123">
        <v>0</v>
      </c>
      <c r="P23">
        <v>0</v>
      </c>
      <c r="Q23" s="123">
        <v>0</v>
      </c>
      <c r="R23">
        <v>0</v>
      </c>
      <c r="S23" s="123">
        <v>0</v>
      </c>
      <c r="T23">
        <v>0</v>
      </c>
      <c r="U23" s="123">
        <v>0</v>
      </c>
      <c r="V23" t="s">
        <v>451</v>
      </c>
    </row>
    <row r="24" spans="1:22">
      <c r="A24" t="s">
        <v>354</v>
      </c>
      <c r="B24">
        <v>0</v>
      </c>
      <c r="C24" t="s">
        <v>468</v>
      </c>
      <c r="D24" t="s">
        <v>469</v>
      </c>
      <c r="F24" t="s">
        <v>450</v>
      </c>
      <c r="G24" s="122">
        <v>15391302.960000001</v>
      </c>
      <c r="H24" s="122">
        <v>26385090.789999999</v>
      </c>
      <c r="I24" s="123">
        <v>0.71430000000000005</v>
      </c>
      <c r="J24" s="122">
        <v>5020075.4400000004</v>
      </c>
      <c r="K24" s="123">
        <v>-0.67379999999999995</v>
      </c>
      <c r="L24" s="122">
        <v>8688592.1199999992</v>
      </c>
      <c r="M24" s="123">
        <v>-0.4355</v>
      </c>
      <c r="N24" s="122">
        <v>20008427.719999999</v>
      </c>
      <c r="O24" s="123">
        <v>0.3</v>
      </c>
      <c r="P24" s="122">
        <v>27011365.91</v>
      </c>
      <c r="Q24" s="123">
        <v>0.755</v>
      </c>
      <c r="R24" s="122">
        <v>898618.16</v>
      </c>
      <c r="S24" s="123">
        <v>-0.94159999999999999</v>
      </c>
      <c r="T24" s="122">
        <v>1190817.68</v>
      </c>
      <c r="U24" s="123">
        <v>-0.92259999999999998</v>
      </c>
      <c r="V24" t="s">
        <v>451</v>
      </c>
    </row>
    <row r="25" spans="1:22">
      <c r="A25" t="s">
        <v>354</v>
      </c>
      <c r="B25">
        <v>0</v>
      </c>
      <c r="C25" t="s">
        <v>468</v>
      </c>
      <c r="D25" t="s">
        <v>469</v>
      </c>
      <c r="F25" t="s">
        <v>452</v>
      </c>
      <c r="G25" s="122">
        <v>2610202.5099999998</v>
      </c>
      <c r="H25" s="122">
        <v>3084390.55</v>
      </c>
      <c r="I25" s="123">
        <v>0.1817</v>
      </c>
      <c r="J25" s="122">
        <v>900535.86</v>
      </c>
      <c r="K25" s="123">
        <v>-0.65500000000000003</v>
      </c>
      <c r="L25" s="122">
        <v>1078616.21</v>
      </c>
      <c r="M25" s="123">
        <v>-0.58679999999999999</v>
      </c>
      <c r="N25" s="122">
        <v>495788.54</v>
      </c>
      <c r="O25" s="123">
        <v>-0.81010000000000004</v>
      </c>
      <c r="P25" s="122">
        <v>637415.41</v>
      </c>
      <c r="Q25" s="123">
        <v>-0.75580000000000003</v>
      </c>
      <c r="R25" s="122">
        <v>29677.759999999998</v>
      </c>
      <c r="S25" s="123">
        <v>-0.98860000000000003</v>
      </c>
      <c r="T25" s="122">
        <v>37963.39</v>
      </c>
      <c r="U25" s="123">
        <v>-0.98550000000000004</v>
      </c>
      <c r="V25" t="s">
        <v>451</v>
      </c>
    </row>
    <row r="26" spans="1:22">
      <c r="A26" t="s">
        <v>354</v>
      </c>
      <c r="B26">
        <v>0</v>
      </c>
      <c r="C26" t="s">
        <v>468</v>
      </c>
      <c r="D26" t="s">
        <v>469</v>
      </c>
      <c r="F26" t="s">
        <v>453</v>
      </c>
      <c r="G26" s="122">
        <v>44712403.799999997</v>
      </c>
      <c r="H26" s="122">
        <v>44469592.240000002</v>
      </c>
      <c r="I26" s="123">
        <v>-5.4000000000000003E-3</v>
      </c>
      <c r="J26" s="122">
        <v>14269368.109999999</v>
      </c>
      <c r="K26" s="123">
        <v>-0.68089999999999995</v>
      </c>
      <c r="L26" s="122">
        <v>14085601.609999999</v>
      </c>
      <c r="M26" s="123">
        <v>-0.68500000000000005</v>
      </c>
      <c r="N26" s="122">
        <v>17947620.190000001</v>
      </c>
      <c r="O26" s="123">
        <v>-0.59860000000000002</v>
      </c>
      <c r="P26" s="122">
        <v>17001415.77</v>
      </c>
      <c r="Q26" s="123">
        <v>-0.61980000000000002</v>
      </c>
      <c r="R26" s="122">
        <v>907704.42</v>
      </c>
      <c r="S26" s="123">
        <v>-0.97970000000000002</v>
      </c>
      <c r="T26" s="122">
        <v>835416</v>
      </c>
      <c r="U26" s="123">
        <v>-0.98129999999999995</v>
      </c>
      <c r="V26" t="s">
        <v>451</v>
      </c>
    </row>
    <row r="27" spans="1:22">
      <c r="A27" t="s">
        <v>354</v>
      </c>
      <c r="B27">
        <v>0</v>
      </c>
      <c r="C27" t="s">
        <v>468</v>
      </c>
      <c r="D27" t="s">
        <v>469</v>
      </c>
      <c r="F27" t="s">
        <v>454</v>
      </c>
      <c r="G27" s="122">
        <v>30731.55</v>
      </c>
      <c r="H27" s="122">
        <v>30919.39</v>
      </c>
      <c r="I27" s="123">
        <v>6.1000000000000004E-3</v>
      </c>
      <c r="J27" s="122">
        <v>8950.7199999999993</v>
      </c>
      <c r="K27" s="123">
        <v>-0.7087</v>
      </c>
      <c r="L27" s="122">
        <v>9242.4699999999993</v>
      </c>
      <c r="M27" s="123">
        <v>-0.69930000000000003</v>
      </c>
      <c r="N27" s="122">
        <v>9906.17</v>
      </c>
      <c r="O27" s="123">
        <v>-0.67769999999999997</v>
      </c>
      <c r="P27" s="122">
        <v>8375.19</v>
      </c>
      <c r="Q27" s="123">
        <v>-0.72750000000000004</v>
      </c>
      <c r="R27">
        <v>496.5</v>
      </c>
      <c r="S27" s="123">
        <v>-0.98380000000000001</v>
      </c>
      <c r="T27">
        <v>415.19</v>
      </c>
      <c r="U27" s="123">
        <v>-0.98650000000000004</v>
      </c>
      <c r="V27" t="s">
        <v>451</v>
      </c>
    </row>
    <row r="28" spans="1:22">
      <c r="A28" t="s">
        <v>354</v>
      </c>
      <c r="B28">
        <v>0</v>
      </c>
      <c r="C28" t="s">
        <v>468</v>
      </c>
      <c r="D28" t="s">
        <v>469</v>
      </c>
      <c r="F28" t="s">
        <v>455</v>
      </c>
      <c r="G28" s="122">
        <v>1291387.3999999999</v>
      </c>
      <c r="H28" s="122">
        <v>1299280.8999999999</v>
      </c>
      <c r="I28" s="123">
        <v>6.1000000000000004E-3</v>
      </c>
      <c r="J28" s="122">
        <v>376123.09</v>
      </c>
      <c r="K28" s="123">
        <v>-0.7087</v>
      </c>
      <c r="L28" s="122">
        <v>388382.78</v>
      </c>
      <c r="M28" s="123">
        <v>-0.69930000000000003</v>
      </c>
      <c r="N28" s="122">
        <v>416272.79</v>
      </c>
      <c r="O28" s="123">
        <v>-0.67769999999999997</v>
      </c>
      <c r="P28" s="122">
        <v>351938.44</v>
      </c>
      <c r="Q28" s="123">
        <v>-0.72750000000000004</v>
      </c>
      <c r="R28" s="122">
        <v>20863.5</v>
      </c>
      <c r="S28" s="123">
        <v>-0.98380000000000001</v>
      </c>
      <c r="T28" s="122">
        <v>17447.099999999999</v>
      </c>
      <c r="U28" s="123">
        <v>-0.98650000000000004</v>
      </c>
      <c r="V28" t="s">
        <v>451</v>
      </c>
    </row>
    <row r="29" spans="1:22">
      <c r="A29" t="s">
        <v>354</v>
      </c>
      <c r="B29">
        <v>0</v>
      </c>
      <c r="C29" t="s">
        <v>468</v>
      </c>
      <c r="D29" t="s">
        <v>469</v>
      </c>
      <c r="F29" t="s">
        <v>456</v>
      </c>
      <c r="G29" s="122">
        <v>261751.74</v>
      </c>
      <c r="H29" s="122">
        <v>286385.89</v>
      </c>
      <c r="I29" s="123">
        <v>9.4100000000000003E-2</v>
      </c>
      <c r="J29" s="122">
        <v>96538.89</v>
      </c>
      <c r="K29" s="123">
        <v>-0.63119999999999998</v>
      </c>
      <c r="L29" s="122">
        <v>103087.53</v>
      </c>
      <c r="M29" s="123">
        <v>-0.60619999999999996</v>
      </c>
      <c r="N29" s="122">
        <v>96836.21</v>
      </c>
      <c r="O29" s="123">
        <v>-0.63</v>
      </c>
      <c r="P29" s="122">
        <v>105025.36</v>
      </c>
      <c r="Q29" s="123">
        <v>-0.5988</v>
      </c>
      <c r="R29" s="122">
        <v>5172.78</v>
      </c>
      <c r="S29" s="123">
        <v>-0.98019999999999996</v>
      </c>
      <c r="T29" s="122">
        <v>5425.58</v>
      </c>
      <c r="U29" s="123">
        <v>-0.97929999999999995</v>
      </c>
      <c r="V29" t="s">
        <v>457</v>
      </c>
    </row>
    <row r="30" spans="1:22">
      <c r="A30" t="s">
        <v>354</v>
      </c>
      <c r="B30">
        <v>0</v>
      </c>
      <c r="C30" t="s">
        <v>468</v>
      </c>
      <c r="D30" t="s">
        <v>469</v>
      </c>
      <c r="F30" t="s">
        <v>458</v>
      </c>
      <c r="G30" s="122">
        <v>1947916.63</v>
      </c>
      <c r="H30" s="122">
        <v>2607274.86</v>
      </c>
      <c r="I30" s="123">
        <v>0.33850000000000002</v>
      </c>
      <c r="J30" s="122">
        <v>758750.1</v>
      </c>
      <c r="K30" s="123">
        <v>-0.61050000000000004</v>
      </c>
      <c r="L30" s="122">
        <v>982780.72</v>
      </c>
      <c r="M30" s="123">
        <v>-0.4955</v>
      </c>
      <c r="N30" s="122">
        <v>321234.33</v>
      </c>
      <c r="O30" s="123">
        <v>-0.83509999999999995</v>
      </c>
      <c r="P30" s="122">
        <v>482044.66</v>
      </c>
      <c r="Q30" s="123">
        <v>-0.75249999999999995</v>
      </c>
      <c r="R30" s="122">
        <v>18225.849999999999</v>
      </c>
      <c r="S30" s="123">
        <v>-0.99060000000000004</v>
      </c>
      <c r="T30" s="122">
        <v>26426.29</v>
      </c>
      <c r="U30" s="123">
        <v>-0.98640000000000005</v>
      </c>
      <c r="V30" t="s">
        <v>457</v>
      </c>
    </row>
    <row r="31" spans="1:22">
      <c r="A31" t="s">
        <v>354</v>
      </c>
      <c r="B31">
        <v>0</v>
      </c>
      <c r="C31" t="s">
        <v>468</v>
      </c>
      <c r="D31" t="s">
        <v>469</v>
      </c>
      <c r="F31" t="s">
        <v>471</v>
      </c>
      <c r="G31">
        <v>0</v>
      </c>
      <c r="H31">
        <v>0</v>
      </c>
      <c r="I31" s="123">
        <v>0</v>
      </c>
      <c r="J31">
        <v>0</v>
      </c>
      <c r="K31" s="123">
        <v>0</v>
      </c>
      <c r="L31">
        <v>0</v>
      </c>
      <c r="M31" s="123">
        <v>0</v>
      </c>
      <c r="N31">
        <v>0</v>
      </c>
      <c r="O31" s="123">
        <v>0</v>
      </c>
      <c r="P31">
        <v>0</v>
      </c>
      <c r="Q31" s="123">
        <v>0</v>
      </c>
      <c r="R31">
        <v>0</v>
      </c>
      <c r="S31" s="123">
        <v>0</v>
      </c>
      <c r="T31">
        <v>0</v>
      </c>
      <c r="U31" s="123">
        <v>0</v>
      </c>
      <c r="V31" t="s">
        <v>449</v>
      </c>
    </row>
    <row r="32" spans="1:22">
      <c r="A32" t="s">
        <v>354</v>
      </c>
      <c r="B32">
        <v>0</v>
      </c>
      <c r="C32" t="s">
        <v>468</v>
      </c>
      <c r="D32" t="s">
        <v>469</v>
      </c>
      <c r="F32" t="s">
        <v>472</v>
      </c>
      <c r="G32" s="122">
        <v>421502187.82999998</v>
      </c>
      <c r="H32" s="122">
        <v>414257687.33999997</v>
      </c>
      <c r="I32" s="123">
        <v>-1.72E-2</v>
      </c>
      <c r="J32" s="122">
        <v>124347530.95999999</v>
      </c>
      <c r="K32" s="123">
        <v>-0.70499999999999996</v>
      </c>
      <c r="L32" s="122">
        <v>127284733.79000001</v>
      </c>
      <c r="M32" s="123">
        <v>-0.69799999999999995</v>
      </c>
      <c r="N32" s="122">
        <v>129832097.48999999</v>
      </c>
      <c r="O32" s="123">
        <v>-0.69199999999999995</v>
      </c>
      <c r="P32" s="122">
        <v>108167533.95999999</v>
      </c>
      <c r="Q32" s="123">
        <v>-0.74339999999999995</v>
      </c>
      <c r="R32" s="122">
        <v>6866404.6699999999</v>
      </c>
      <c r="S32" s="123">
        <v>-0.98370000000000002</v>
      </c>
      <c r="T32" s="122">
        <v>5667665.9199999999</v>
      </c>
      <c r="U32" s="123">
        <v>-0.98660000000000003</v>
      </c>
      <c r="V32" t="s">
        <v>451</v>
      </c>
    </row>
    <row r="33" spans="1:22">
      <c r="A33" t="s">
        <v>354</v>
      </c>
      <c r="B33">
        <v>0</v>
      </c>
      <c r="C33" t="s">
        <v>468</v>
      </c>
      <c r="D33" t="s">
        <v>469</v>
      </c>
      <c r="F33" t="s">
        <v>473</v>
      </c>
      <c r="G33" s="122">
        <v>949716022.61000001</v>
      </c>
      <c r="H33" s="122">
        <v>1197556701.8699999</v>
      </c>
      <c r="I33" s="123">
        <v>0.26100000000000001</v>
      </c>
      <c r="J33" s="122">
        <v>321707082.12</v>
      </c>
      <c r="K33" s="123">
        <v>-0.6613</v>
      </c>
      <c r="L33" s="122">
        <v>408638523.16000003</v>
      </c>
      <c r="M33" s="123">
        <v>-0.56969999999999998</v>
      </c>
      <c r="N33" s="122">
        <v>505665275.13</v>
      </c>
      <c r="O33" s="123">
        <v>-0.46760000000000002</v>
      </c>
      <c r="P33" s="122">
        <v>609569550</v>
      </c>
      <c r="Q33" s="123">
        <v>-0.35820000000000002</v>
      </c>
      <c r="R33" s="122">
        <v>25685853.050000001</v>
      </c>
      <c r="S33" s="123">
        <v>-0.97299999999999998</v>
      </c>
      <c r="T33" s="122">
        <v>30259224.989999998</v>
      </c>
      <c r="U33" s="123">
        <v>-0.96809999999999996</v>
      </c>
      <c r="V33" t="s">
        <v>451</v>
      </c>
    </row>
    <row r="34" spans="1:22">
      <c r="A34" t="s">
        <v>354</v>
      </c>
      <c r="B34">
        <v>0</v>
      </c>
      <c r="C34" t="s">
        <v>468</v>
      </c>
      <c r="D34" t="s">
        <v>469</v>
      </c>
      <c r="F34" t="s">
        <v>459</v>
      </c>
      <c r="G34">
        <v>109.24</v>
      </c>
      <c r="H34">
        <v>88.56</v>
      </c>
      <c r="I34" s="123">
        <v>-0.1893</v>
      </c>
      <c r="J34">
        <v>104.97</v>
      </c>
      <c r="K34" s="123">
        <v>-3.9100000000000003E-2</v>
      </c>
      <c r="L34">
        <v>85.8</v>
      </c>
      <c r="M34" s="123">
        <v>-0.21460000000000001</v>
      </c>
      <c r="N34">
        <v>142.29</v>
      </c>
      <c r="O34" s="123">
        <v>0.30259999999999998</v>
      </c>
      <c r="P34">
        <v>92.85</v>
      </c>
      <c r="Q34" s="123">
        <v>-0.15010000000000001</v>
      </c>
      <c r="R34">
        <v>133.27000000000001</v>
      </c>
      <c r="S34" s="123">
        <v>0.22</v>
      </c>
      <c r="T34">
        <v>87.21</v>
      </c>
      <c r="U34" s="123">
        <v>-0.20169999999999999</v>
      </c>
      <c r="V34" t="s">
        <v>460</v>
      </c>
    </row>
    <row r="35" spans="1:22">
      <c r="A35" t="s">
        <v>354</v>
      </c>
      <c r="B35">
        <v>1</v>
      </c>
      <c r="C35" t="s">
        <v>468</v>
      </c>
      <c r="D35" t="s">
        <v>469</v>
      </c>
      <c r="F35" t="s">
        <v>474</v>
      </c>
      <c r="G35">
        <v>0</v>
      </c>
      <c r="H35">
        <v>0</v>
      </c>
      <c r="I35" s="123">
        <v>0</v>
      </c>
      <c r="J35">
        <v>0</v>
      </c>
      <c r="K35" s="123">
        <v>0</v>
      </c>
      <c r="L35">
        <v>0</v>
      </c>
      <c r="M35" s="123">
        <v>0</v>
      </c>
      <c r="N35">
        <v>0</v>
      </c>
      <c r="O35" s="123">
        <v>0</v>
      </c>
      <c r="P35">
        <v>0</v>
      </c>
      <c r="Q35" s="123">
        <v>0</v>
      </c>
      <c r="R35">
        <v>0</v>
      </c>
      <c r="S35" s="123">
        <v>0</v>
      </c>
      <c r="T35">
        <v>0</v>
      </c>
      <c r="U35" s="123">
        <v>0</v>
      </c>
      <c r="V35" t="s">
        <v>381</v>
      </c>
    </row>
    <row r="36" spans="1:22">
      <c r="A36" t="s">
        <v>354</v>
      </c>
      <c r="B36">
        <v>1</v>
      </c>
      <c r="C36" t="s">
        <v>468</v>
      </c>
      <c r="D36" t="s">
        <v>469</v>
      </c>
      <c r="F36" t="s">
        <v>475</v>
      </c>
      <c r="G36">
        <v>0</v>
      </c>
      <c r="H36">
        <v>0</v>
      </c>
      <c r="I36" s="123">
        <v>0</v>
      </c>
      <c r="J36">
        <v>0</v>
      </c>
      <c r="K36" s="123">
        <v>0</v>
      </c>
      <c r="L36">
        <v>0</v>
      </c>
      <c r="M36" s="123">
        <v>0</v>
      </c>
      <c r="N36">
        <v>0</v>
      </c>
      <c r="O36" s="123">
        <v>0</v>
      </c>
      <c r="P36">
        <v>0</v>
      </c>
      <c r="Q36" s="123">
        <v>0</v>
      </c>
      <c r="R36">
        <v>0</v>
      </c>
      <c r="S36" s="123">
        <v>0</v>
      </c>
      <c r="T36">
        <v>0</v>
      </c>
      <c r="U36" s="123">
        <v>0</v>
      </c>
      <c r="V36" t="s">
        <v>381</v>
      </c>
    </row>
    <row r="37" spans="1:22">
      <c r="A37" t="s">
        <v>354</v>
      </c>
      <c r="B37">
        <v>1</v>
      </c>
      <c r="C37" t="s">
        <v>468</v>
      </c>
      <c r="D37" t="s">
        <v>469</v>
      </c>
      <c r="F37" t="s">
        <v>476</v>
      </c>
      <c r="G37" s="122">
        <v>6525853.8099999996</v>
      </c>
      <c r="H37" s="122">
        <v>7720567.5099999998</v>
      </c>
      <c r="I37" s="123">
        <v>0.18310000000000001</v>
      </c>
      <c r="J37" s="122">
        <v>2133866.13</v>
      </c>
      <c r="K37" s="123">
        <v>-0.67300000000000004</v>
      </c>
      <c r="L37" s="122">
        <v>2529250.63</v>
      </c>
      <c r="M37" s="123">
        <v>-0.61240000000000006</v>
      </c>
      <c r="N37" s="122">
        <v>714051.65</v>
      </c>
      <c r="O37" s="123">
        <v>-0.89059999999999995</v>
      </c>
      <c r="P37" s="122">
        <v>1199656.6499999999</v>
      </c>
      <c r="Q37" s="123">
        <v>-0.81620000000000004</v>
      </c>
      <c r="R37" s="122">
        <v>38309.42</v>
      </c>
      <c r="S37" s="123">
        <v>-0.99409999999999998</v>
      </c>
      <c r="T37" s="122">
        <v>63694.87</v>
      </c>
      <c r="U37" s="123">
        <v>-0.99019999999999997</v>
      </c>
      <c r="V37" t="s">
        <v>381</v>
      </c>
    </row>
    <row r="38" spans="1:22">
      <c r="A38" t="s">
        <v>354</v>
      </c>
      <c r="B38">
        <v>1</v>
      </c>
      <c r="C38" t="s">
        <v>468</v>
      </c>
      <c r="D38" t="s">
        <v>469</v>
      </c>
      <c r="F38" t="s">
        <v>477</v>
      </c>
      <c r="G38" s="122">
        <v>12831807.35</v>
      </c>
      <c r="H38" s="122">
        <v>15959336.52</v>
      </c>
      <c r="I38" s="123">
        <v>0.2437</v>
      </c>
      <c r="J38" s="122">
        <v>3234525.85</v>
      </c>
      <c r="K38" s="123">
        <v>-0.74790000000000001</v>
      </c>
      <c r="L38" s="122">
        <v>4373973.09</v>
      </c>
      <c r="M38" s="123">
        <v>-0.65910000000000002</v>
      </c>
      <c r="N38" s="122">
        <v>3548847.17</v>
      </c>
      <c r="O38" s="123">
        <v>-0.72340000000000004</v>
      </c>
      <c r="P38" s="122">
        <v>4272339.4400000004</v>
      </c>
      <c r="Q38" s="123">
        <v>-0.66710000000000003</v>
      </c>
      <c r="R38" s="122">
        <v>178957.55</v>
      </c>
      <c r="S38" s="123">
        <v>-0.98609999999999998</v>
      </c>
      <c r="T38" s="122">
        <v>212264.31</v>
      </c>
      <c r="U38" s="123">
        <v>-0.98350000000000004</v>
      </c>
      <c r="V38" t="s">
        <v>381</v>
      </c>
    </row>
    <row r="39" spans="1:22">
      <c r="A39" t="s">
        <v>354</v>
      </c>
      <c r="B39">
        <v>0</v>
      </c>
      <c r="C39" t="s">
        <v>468</v>
      </c>
      <c r="D39" t="s">
        <v>469</v>
      </c>
      <c r="F39" t="s">
        <v>478</v>
      </c>
      <c r="G39">
        <v>47.6</v>
      </c>
      <c r="H39">
        <v>35.01</v>
      </c>
      <c r="I39" s="123">
        <v>-0.26440000000000002</v>
      </c>
      <c r="J39">
        <v>49.44</v>
      </c>
      <c r="K39" s="123">
        <v>3.8600000000000002E-2</v>
      </c>
      <c r="L39">
        <v>36.28</v>
      </c>
      <c r="M39" s="123">
        <v>-0.23780000000000001</v>
      </c>
      <c r="N39">
        <v>19.5</v>
      </c>
      <c r="O39" s="123">
        <v>-0.59040000000000004</v>
      </c>
      <c r="P39">
        <v>17.41</v>
      </c>
      <c r="Q39" s="123">
        <v>-0.63429999999999997</v>
      </c>
      <c r="R39">
        <v>22.05</v>
      </c>
      <c r="S39" s="123">
        <v>-0.53680000000000005</v>
      </c>
      <c r="T39">
        <v>19.600000000000001</v>
      </c>
      <c r="U39" s="123">
        <v>-0.58819999999999995</v>
      </c>
      <c r="V39" t="s">
        <v>460</v>
      </c>
    </row>
    <row r="40" spans="1:22">
      <c r="A40" t="s">
        <v>354</v>
      </c>
      <c r="B40">
        <v>1</v>
      </c>
      <c r="C40" t="s">
        <v>468</v>
      </c>
      <c r="D40" t="s">
        <v>469</v>
      </c>
      <c r="F40" t="s">
        <v>479</v>
      </c>
      <c r="G40" s="122">
        <v>570048257.75</v>
      </c>
      <c r="H40" s="122">
        <v>977225585</v>
      </c>
      <c r="I40" s="123">
        <v>0.71430000000000005</v>
      </c>
      <c r="J40" s="122">
        <v>185928720.16</v>
      </c>
      <c r="K40" s="123">
        <v>-0.67379999999999995</v>
      </c>
      <c r="L40" s="122">
        <v>321799708</v>
      </c>
      <c r="M40" s="123">
        <v>-0.4355</v>
      </c>
      <c r="N40" s="122">
        <v>741052878.37</v>
      </c>
      <c r="O40" s="123">
        <v>0.3</v>
      </c>
      <c r="P40" s="122">
        <v>1000420959.61</v>
      </c>
      <c r="Q40" s="123">
        <v>0.755</v>
      </c>
      <c r="R40" s="122">
        <v>33282154.109999999</v>
      </c>
      <c r="S40" s="123">
        <v>-0.94159999999999999</v>
      </c>
      <c r="T40" s="122">
        <v>44104358.469999999</v>
      </c>
      <c r="U40" s="123">
        <v>-0.92259999999999998</v>
      </c>
      <c r="V40" t="s">
        <v>381</v>
      </c>
    </row>
    <row r="41" spans="1:22">
      <c r="A41" t="s">
        <v>354</v>
      </c>
      <c r="B41">
        <v>0</v>
      </c>
      <c r="C41" t="s">
        <v>468</v>
      </c>
      <c r="D41" t="s">
        <v>469</v>
      </c>
      <c r="F41" t="s">
        <v>461</v>
      </c>
      <c r="G41">
        <v>53.18</v>
      </c>
      <c r="H41">
        <v>58.16</v>
      </c>
      <c r="I41" s="123">
        <v>9.3600000000000003E-2</v>
      </c>
      <c r="J41">
        <v>19.940000000000001</v>
      </c>
      <c r="K41" s="123">
        <v>-0.62509999999999999</v>
      </c>
      <c r="L41">
        <v>21.18</v>
      </c>
      <c r="M41" s="123">
        <v>-0.60160000000000002</v>
      </c>
      <c r="N41">
        <v>22.16</v>
      </c>
      <c r="O41" s="123">
        <v>-0.58330000000000004</v>
      </c>
      <c r="P41">
        <v>24.51</v>
      </c>
      <c r="Q41" s="123">
        <v>-0.53910000000000002</v>
      </c>
      <c r="R41">
        <v>1.19</v>
      </c>
      <c r="S41" s="123">
        <v>-0.97760000000000002</v>
      </c>
      <c r="T41">
        <v>1.27</v>
      </c>
      <c r="U41" s="123">
        <v>-0.97609999999999997</v>
      </c>
      <c r="V41" t="s">
        <v>457</v>
      </c>
    </row>
    <row r="42" spans="1:22">
      <c r="A42" t="s">
        <v>354</v>
      </c>
      <c r="B42">
        <v>0</v>
      </c>
      <c r="C42" t="s">
        <v>468</v>
      </c>
      <c r="D42" t="s">
        <v>469</v>
      </c>
      <c r="F42" t="s">
        <v>462</v>
      </c>
      <c r="G42" s="122">
        <v>336364.04</v>
      </c>
      <c r="H42" s="122">
        <v>402703.94</v>
      </c>
      <c r="I42" s="123">
        <v>0.19719999999999999</v>
      </c>
      <c r="J42" s="122">
        <v>125367.38</v>
      </c>
      <c r="K42" s="123">
        <v>-0.62729999999999997</v>
      </c>
      <c r="L42" s="122">
        <v>191907.58</v>
      </c>
      <c r="M42" s="123">
        <v>-0.42949999999999999</v>
      </c>
      <c r="N42" s="122">
        <v>99971.73</v>
      </c>
      <c r="O42" s="123">
        <v>-0.70279999999999998</v>
      </c>
      <c r="P42" s="122">
        <v>82004.639999999999</v>
      </c>
      <c r="Q42" s="123">
        <v>-0.75619999999999998</v>
      </c>
      <c r="R42" s="122">
        <v>12030.02</v>
      </c>
      <c r="S42" s="123">
        <v>-0.96419999999999995</v>
      </c>
      <c r="T42" s="122">
        <v>9264.3799999999992</v>
      </c>
      <c r="U42" s="123">
        <v>-0.97250000000000003</v>
      </c>
      <c r="V42" t="s">
        <v>457</v>
      </c>
    </row>
    <row r="43" spans="1:22">
      <c r="A43" t="s">
        <v>354</v>
      </c>
      <c r="B43">
        <v>1</v>
      </c>
      <c r="C43" t="s">
        <v>468</v>
      </c>
      <c r="D43" t="s">
        <v>469</v>
      </c>
      <c r="F43" t="s">
        <v>480</v>
      </c>
      <c r="G43">
        <v>0</v>
      </c>
      <c r="H43">
        <v>0</v>
      </c>
      <c r="I43" s="123">
        <v>0</v>
      </c>
      <c r="J43">
        <v>0</v>
      </c>
      <c r="K43" s="123">
        <v>0</v>
      </c>
      <c r="L43">
        <v>0</v>
      </c>
      <c r="M43" s="123">
        <v>0</v>
      </c>
      <c r="N43">
        <v>0</v>
      </c>
      <c r="O43" s="123">
        <v>0</v>
      </c>
      <c r="P43">
        <v>0</v>
      </c>
      <c r="Q43" s="123">
        <v>0</v>
      </c>
      <c r="R43">
        <v>0</v>
      </c>
      <c r="S43" s="123">
        <v>0</v>
      </c>
      <c r="T43">
        <v>0</v>
      </c>
      <c r="U43" s="123">
        <v>0</v>
      </c>
      <c r="V43" t="s">
        <v>30</v>
      </c>
    </row>
    <row r="44" spans="1:22">
      <c r="A44" t="s">
        <v>354</v>
      </c>
      <c r="B44">
        <v>1</v>
      </c>
      <c r="C44" t="s">
        <v>468</v>
      </c>
      <c r="D44" t="s">
        <v>469</v>
      </c>
      <c r="F44" t="s">
        <v>481</v>
      </c>
      <c r="G44">
        <v>0</v>
      </c>
      <c r="H44">
        <v>0</v>
      </c>
      <c r="I44" s="123">
        <v>0</v>
      </c>
      <c r="J44">
        <v>0</v>
      </c>
      <c r="K44" s="123">
        <v>0</v>
      </c>
      <c r="L44">
        <v>0</v>
      </c>
      <c r="M44" s="123">
        <v>0</v>
      </c>
      <c r="N44">
        <v>0</v>
      </c>
      <c r="O44" s="123">
        <v>0</v>
      </c>
      <c r="P44">
        <v>0</v>
      </c>
      <c r="Q44" s="123">
        <v>0</v>
      </c>
      <c r="R44">
        <v>0</v>
      </c>
      <c r="S44" s="123">
        <v>0</v>
      </c>
      <c r="T44">
        <v>0</v>
      </c>
      <c r="U44" s="123">
        <v>0</v>
      </c>
      <c r="V44" t="s">
        <v>30</v>
      </c>
    </row>
    <row r="45" spans="1:22">
      <c r="A45" t="s">
        <v>354</v>
      </c>
      <c r="B45">
        <v>1</v>
      </c>
      <c r="C45" t="s">
        <v>468</v>
      </c>
      <c r="D45" t="s">
        <v>469</v>
      </c>
      <c r="F45" t="s">
        <v>373</v>
      </c>
      <c r="G45" s="122">
        <v>184487.95</v>
      </c>
      <c r="H45" s="122">
        <v>176097.83</v>
      </c>
      <c r="I45" s="123">
        <v>-4.5499999999999999E-2</v>
      </c>
      <c r="J45" s="122">
        <v>59902.69</v>
      </c>
      <c r="K45" s="123">
        <v>-0.67530000000000001</v>
      </c>
      <c r="L45" s="122">
        <v>57375.39</v>
      </c>
      <c r="M45" s="123">
        <v>-0.68899999999999995</v>
      </c>
      <c r="N45" s="122">
        <v>26334.19</v>
      </c>
      <c r="O45" s="123">
        <v>-0.85729999999999995</v>
      </c>
      <c r="P45" s="122">
        <v>27342.91</v>
      </c>
      <c r="Q45" s="123">
        <v>-0.8518</v>
      </c>
      <c r="R45" s="122">
        <v>1360.74</v>
      </c>
      <c r="S45" s="123">
        <v>-0.99260000000000004</v>
      </c>
      <c r="T45" s="122">
        <v>1419.21</v>
      </c>
      <c r="U45" s="123">
        <v>-0.99229999999999996</v>
      </c>
      <c r="V45" t="s">
        <v>30</v>
      </c>
    </row>
    <row r="46" spans="1:22">
      <c r="A46" t="s">
        <v>354</v>
      </c>
      <c r="B46">
        <v>1</v>
      </c>
      <c r="C46" t="s">
        <v>468</v>
      </c>
      <c r="D46" t="s">
        <v>469</v>
      </c>
      <c r="F46" t="s">
        <v>374</v>
      </c>
      <c r="G46" s="122">
        <v>208307.82</v>
      </c>
      <c r="H46" s="122">
        <v>211021.51</v>
      </c>
      <c r="I46" s="123">
        <v>1.2999999999999999E-2</v>
      </c>
      <c r="J46" s="122">
        <v>52085.79</v>
      </c>
      <c r="K46" s="123">
        <v>-0.75</v>
      </c>
      <c r="L46" s="122">
        <v>57454.51</v>
      </c>
      <c r="M46" s="123">
        <v>-0.72419999999999995</v>
      </c>
      <c r="N46" s="122">
        <v>93924.83</v>
      </c>
      <c r="O46" s="123">
        <v>-0.54910000000000003</v>
      </c>
      <c r="P46" s="122">
        <v>70238.33</v>
      </c>
      <c r="Q46" s="123">
        <v>-0.66279999999999994</v>
      </c>
      <c r="R46" s="122">
        <v>4582.45</v>
      </c>
      <c r="S46" s="123">
        <v>-0.97799999999999998</v>
      </c>
      <c r="T46" s="122">
        <v>3425.23</v>
      </c>
      <c r="U46" s="123">
        <v>-0.98360000000000003</v>
      </c>
      <c r="V46" t="s">
        <v>30</v>
      </c>
    </row>
    <row r="47" spans="1:22">
      <c r="A47" t="s">
        <v>354</v>
      </c>
      <c r="B47">
        <v>1</v>
      </c>
      <c r="C47" t="s">
        <v>468</v>
      </c>
      <c r="D47" t="s">
        <v>469</v>
      </c>
      <c r="F47" t="s">
        <v>375</v>
      </c>
      <c r="G47" s="122">
        <v>178728.01</v>
      </c>
      <c r="H47" s="122">
        <v>178728.01</v>
      </c>
      <c r="I47" s="123">
        <v>0</v>
      </c>
      <c r="J47" s="122">
        <v>63821.33</v>
      </c>
      <c r="K47" s="123">
        <v>-0.64290000000000003</v>
      </c>
      <c r="L47" s="122">
        <v>63821.33</v>
      </c>
      <c r="M47" s="123">
        <v>-0.64290000000000003</v>
      </c>
      <c r="N47" s="122">
        <v>76765.820000000007</v>
      </c>
      <c r="O47" s="123">
        <v>-0.57050000000000001</v>
      </c>
      <c r="P47" s="122">
        <v>58865.36</v>
      </c>
      <c r="Q47" s="123">
        <v>-0.67059999999999997</v>
      </c>
      <c r="R47" s="122">
        <v>4645.4399999999996</v>
      </c>
      <c r="S47" s="123">
        <v>-0.97399999999999998</v>
      </c>
      <c r="T47" s="122">
        <v>3599.96</v>
      </c>
      <c r="U47" s="123">
        <v>-0.97989999999999999</v>
      </c>
      <c r="V47" t="s">
        <v>30</v>
      </c>
    </row>
    <row r="48" spans="1:22">
      <c r="A48" t="s">
        <v>354</v>
      </c>
      <c r="B48">
        <v>1</v>
      </c>
      <c r="C48" t="s">
        <v>468</v>
      </c>
      <c r="D48" t="s">
        <v>469</v>
      </c>
      <c r="F48" t="s">
        <v>376</v>
      </c>
      <c r="G48" s="122">
        <v>161626.92000000001</v>
      </c>
      <c r="H48" s="122">
        <v>145464.22</v>
      </c>
      <c r="I48" s="123">
        <v>-0.1</v>
      </c>
      <c r="J48" s="122">
        <v>74170.25</v>
      </c>
      <c r="K48" s="123">
        <v>-0.54110000000000003</v>
      </c>
      <c r="L48" s="122">
        <v>66753.27</v>
      </c>
      <c r="M48" s="123">
        <v>-0.58699999999999997</v>
      </c>
      <c r="N48" s="122">
        <v>10995.38</v>
      </c>
      <c r="O48" s="123">
        <v>-0.93200000000000005</v>
      </c>
      <c r="P48" s="122">
        <v>9494.2900000000009</v>
      </c>
      <c r="Q48" s="123">
        <v>-0.94130000000000003</v>
      </c>
      <c r="R48" s="122">
        <v>1322.75</v>
      </c>
      <c r="S48" s="123">
        <v>-0.99180000000000001</v>
      </c>
      <c r="T48" s="122">
        <v>1154.03</v>
      </c>
      <c r="U48" s="123">
        <v>-0.9929</v>
      </c>
      <c r="V48" t="s">
        <v>30</v>
      </c>
    </row>
    <row r="49" spans="1:22">
      <c r="A49" t="s">
        <v>354</v>
      </c>
      <c r="B49">
        <v>0</v>
      </c>
      <c r="C49" t="s">
        <v>468</v>
      </c>
      <c r="D49" t="s">
        <v>469</v>
      </c>
      <c r="F49" t="s">
        <v>377</v>
      </c>
      <c r="G49" s="122">
        <v>1390127.1</v>
      </c>
      <c r="H49" s="122">
        <v>1353223.76</v>
      </c>
      <c r="I49" s="123">
        <v>-2.6499999999999999E-2</v>
      </c>
      <c r="J49" s="122">
        <v>486428.06</v>
      </c>
      <c r="K49" s="123">
        <v>-0.65010000000000001</v>
      </c>
      <c r="L49" s="122">
        <v>474881.31</v>
      </c>
      <c r="M49" s="123">
        <v>-0.65839999999999999</v>
      </c>
      <c r="N49" s="122">
        <v>295064.13</v>
      </c>
      <c r="O49" s="123">
        <v>-0.78769999999999996</v>
      </c>
      <c r="P49" s="122">
        <v>252029.28</v>
      </c>
      <c r="Q49" s="123">
        <v>-0.81869999999999998</v>
      </c>
      <c r="R49" s="122">
        <v>17550.080000000002</v>
      </c>
      <c r="S49" s="123">
        <v>-0.98740000000000006</v>
      </c>
      <c r="T49" s="122">
        <v>15118.23</v>
      </c>
      <c r="U49" s="123">
        <v>-0.98909999999999998</v>
      </c>
      <c r="V49" t="s">
        <v>30</v>
      </c>
    </row>
    <row r="50" spans="1:22">
      <c r="A50" t="s">
        <v>354</v>
      </c>
      <c r="B50">
        <v>0</v>
      </c>
      <c r="C50" t="s">
        <v>468</v>
      </c>
      <c r="D50" t="s">
        <v>469</v>
      </c>
      <c r="F50" t="s">
        <v>378</v>
      </c>
      <c r="G50" s="122">
        <v>161475.01999999999</v>
      </c>
      <c r="H50" s="122">
        <v>174437.07</v>
      </c>
      <c r="I50" s="123">
        <v>8.0299999999999996E-2</v>
      </c>
      <c r="J50" s="122">
        <v>54427.46</v>
      </c>
      <c r="K50" s="123">
        <v>-0.66290000000000004</v>
      </c>
      <c r="L50" s="122">
        <v>58722.89</v>
      </c>
      <c r="M50" s="123">
        <v>-0.63629999999999998</v>
      </c>
      <c r="N50" s="122">
        <v>31476.05</v>
      </c>
      <c r="O50" s="123">
        <v>-0.80510000000000004</v>
      </c>
      <c r="P50" s="122">
        <v>33968.21</v>
      </c>
      <c r="Q50" s="123">
        <v>-0.78959999999999997</v>
      </c>
      <c r="R50" s="122">
        <v>1796.34</v>
      </c>
      <c r="S50" s="123">
        <v>-0.9889</v>
      </c>
      <c r="T50" s="122">
        <v>1945.1</v>
      </c>
      <c r="U50" s="123">
        <v>-0.98799999999999999</v>
      </c>
      <c r="V50" t="s">
        <v>30</v>
      </c>
    </row>
    <row r="51" spans="1:22">
      <c r="A51" t="s">
        <v>354</v>
      </c>
      <c r="B51">
        <v>0</v>
      </c>
      <c r="C51" t="s">
        <v>468</v>
      </c>
      <c r="D51" t="s">
        <v>469</v>
      </c>
      <c r="F51" t="s">
        <v>379</v>
      </c>
      <c r="G51" s="122">
        <v>161146.49</v>
      </c>
      <c r="H51" s="122">
        <v>174082.16</v>
      </c>
      <c r="I51" s="123">
        <v>8.0299999999999996E-2</v>
      </c>
      <c r="J51" s="122">
        <v>54316.72</v>
      </c>
      <c r="K51" s="123">
        <v>-0.66290000000000004</v>
      </c>
      <c r="L51" s="122">
        <v>58603.42</v>
      </c>
      <c r="M51" s="123">
        <v>-0.63629999999999998</v>
      </c>
      <c r="N51" s="122">
        <v>31764.23</v>
      </c>
      <c r="O51" s="123">
        <v>-0.80289999999999995</v>
      </c>
      <c r="P51" s="122">
        <v>34279.21</v>
      </c>
      <c r="Q51" s="123">
        <v>-0.7873</v>
      </c>
      <c r="R51" s="122">
        <v>1737.28</v>
      </c>
      <c r="S51" s="123">
        <v>-0.98919999999999997</v>
      </c>
      <c r="T51" s="122">
        <v>1887.9</v>
      </c>
      <c r="U51" s="123">
        <v>-0.98829999999999996</v>
      </c>
      <c r="V51" t="s">
        <v>30</v>
      </c>
    </row>
    <row r="52" spans="1:22">
      <c r="A52" t="s">
        <v>354</v>
      </c>
      <c r="B52">
        <v>1</v>
      </c>
      <c r="C52" t="s">
        <v>468</v>
      </c>
      <c r="D52" t="s">
        <v>469</v>
      </c>
      <c r="F52" t="s">
        <v>482</v>
      </c>
      <c r="G52" s="122">
        <v>31700133.82</v>
      </c>
      <c r="H52" s="122">
        <v>37459006.659999996</v>
      </c>
      <c r="I52" s="123">
        <v>0.1817</v>
      </c>
      <c r="J52" s="122">
        <v>10936740.43</v>
      </c>
      <c r="K52" s="123">
        <v>-0.65500000000000003</v>
      </c>
      <c r="L52" s="122">
        <v>13099473.310000001</v>
      </c>
      <c r="M52" s="123">
        <v>-0.58679999999999999</v>
      </c>
      <c r="N52" s="122">
        <v>6021204.5199999996</v>
      </c>
      <c r="O52" s="123">
        <v>-0.81010000000000004</v>
      </c>
      <c r="P52" s="122">
        <v>7741220.7800000003</v>
      </c>
      <c r="Q52" s="123">
        <v>-0.75580000000000003</v>
      </c>
      <c r="R52" s="122">
        <v>360427.63</v>
      </c>
      <c r="S52" s="123">
        <v>-0.98860000000000003</v>
      </c>
      <c r="T52" s="122">
        <v>461054.11</v>
      </c>
      <c r="U52" s="123">
        <v>-0.98550000000000004</v>
      </c>
      <c r="V52" t="s">
        <v>381</v>
      </c>
    </row>
    <row r="53" spans="1:22">
      <c r="A53" t="s">
        <v>354</v>
      </c>
      <c r="B53">
        <v>0</v>
      </c>
      <c r="C53" t="s">
        <v>468</v>
      </c>
      <c r="D53" t="s">
        <v>469</v>
      </c>
      <c r="F53" t="s">
        <v>463</v>
      </c>
      <c r="G53" s="122">
        <v>58082624.100000001</v>
      </c>
      <c r="H53" s="122">
        <v>66010815.210000001</v>
      </c>
      <c r="I53" s="123">
        <v>0.13650000000000001</v>
      </c>
      <c r="J53" s="122">
        <v>20630548.739999998</v>
      </c>
      <c r="K53" s="123">
        <v>-0.64480000000000004</v>
      </c>
      <c r="L53" s="122">
        <v>23235585.170000002</v>
      </c>
      <c r="M53" s="123">
        <v>-0.6</v>
      </c>
      <c r="N53" s="122">
        <v>21967867.390000001</v>
      </c>
      <c r="O53" s="123">
        <v>-0.62180000000000002</v>
      </c>
      <c r="P53" s="122">
        <v>24959317.359999999</v>
      </c>
      <c r="Q53" s="123">
        <v>-0.57030000000000003</v>
      </c>
      <c r="R53" s="122">
        <v>1128841.27</v>
      </c>
      <c r="S53" s="123">
        <v>-0.98060000000000003</v>
      </c>
      <c r="T53" s="122">
        <v>1271682.6000000001</v>
      </c>
      <c r="U53" s="123">
        <v>-0.97809999999999997</v>
      </c>
      <c r="V53" t="s">
        <v>446</v>
      </c>
    </row>
    <row r="54" spans="1:22">
      <c r="A54" t="s">
        <v>354</v>
      </c>
      <c r="B54">
        <v>0</v>
      </c>
      <c r="C54" t="s">
        <v>468</v>
      </c>
      <c r="D54" t="s">
        <v>469</v>
      </c>
      <c r="F54" t="s">
        <v>464</v>
      </c>
      <c r="G54" s="122">
        <v>64036028.210000001</v>
      </c>
      <c r="H54" s="122">
        <v>75269273.870000005</v>
      </c>
      <c r="I54" s="123">
        <v>0.1754</v>
      </c>
      <c r="J54" s="122">
        <v>20575053.23</v>
      </c>
      <c r="K54" s="123">
        <v>-0.67869999999999997</v>
      </c>
      <c r="L54" s="122">
        <v>24250435.18</v>
      </c>
      <c r="M54" s="123">
        <v>-0.62129999999999996</v>
      </c>
      <c r="N54" s="122">
        <v>38878015.409999996</v>
      </c>
      <c r="O54" s="123">
        <v>-0.39290000000000003</v>
      </c>
      <c r="P54" s="122">
        <v>45010510.719999999</v>
      </c>
      <c r="Q54" s="123">
        <v>-0.29709999999999998</v>
      </c>
      <c r="R54" s="122">
        <v>1857360.34</v>
      </c>
      <c r="S54" s="123">
        <v>-0.97099999999999997</v>
      </c>
      <c r="T54" s="122">
        <v>2082059.36</v>
      </c>
      <c r="U54" s="123">
        <v>-0.96750000000000003</v>
      </c>
      <c r="V54" t="s">
        <v>451</v>
      </c>
    </row>
    <row r="55" spans="1:22">
      <c r="A55" t="s">
        <v>354</v>
      </c>
      <c r="B55">
        <v>0</v>
      </c>
      <c r="C55" t="s">
        <v>468</v>
      </c>
      <c r="D55" t="s">
        <v>469</v>
      </c>
      <c r="F55" t="s">
        <v>483</v>
      </c>
      <c r="G55">
        <v>0</v>
      </c>
      <c r="H55">
        <v>0</v>
      </c>
      <c r="I55" s="123">
        <v>0</v>
      </c>
      <c r="J55">
        <v>0</v>
      </c>
      <c r="K55" s="123">
        <v>0</v>
      </c>
      <c r="L55">
        <v>0</v>
      </c>
      <c r="M55" s="123">
        <v>0</v>
      </c>
      <c r="N55">
        <v>0</v>
      </c>
      <c r="O55" s="123">
        <v>0</v>
      </c>
      <c r="P55">
        <v>0</v>
      </c>
      <c r="Q55" s="123">
        <v>0</v>
      </c>
      <c r="R55">
        <v>0</v>
      </c>
      <c r="S55" s="123">
        <v>0</v>
      </c>
      <c r="T55">
        <v>0</v>
      </c>
      <c r="U55" s="123">
        <v>0</v>
      </c>
      <c r="V55" t="s">
        <v>381</v>
      </c>
    </row>
    <row r="56" spans="1:22">
      <c r="A56" t="s">
        <v>354</v>
      </c>
      <c r="B56">
        <v>0</v>
      </c>
      <c r="C56" t="s">
        <v>468</v>
      </c>
      <c r="D56" t="s">
        <v>469</v>
      </c>
      <c r="F56" t="s">
        <v>484</v>
      </c>
      <c r="G56">
        <v>0</v>
      </c>
      <c r="H56">
        <v>0</v>
      </c>
      <c r="I56" s="123">
        <v>0</v>
      </c>
      <c r="J56">
        <v>0</v>
      </c>
      <c r="K56" s="123">
        <v>0</v>
      </c>
      <c r="L56">
        <v>0</v>
      </c>
      <c r="M56" s="123">
        <v>0</v>
      </c>
      <c r="N56">
        <v>0</v>
      </c>
      <c r="O56" s="123">
        <v>0</v>
      </c>
      <c r="P56">
        <v>0</v>
      </c>
      <c r="Q56" s="123">
        <v>0</v>
      </c>
      <c r="R56">
        <v>0</v>
      </c>
      <c r="S56" s="123">
        <v>0</v>
      </c>
      <c r="T56">
        <v>0</v>
      </c>
      <c r="U56" s="123">
        <v>0</v>
      </c>
      <c r="V56" t="s">
        <v>381</v>
      </c>
    </row>
    <row r="57" spans="1:22">
      <c r="A57" t="s">
        <v>354</v>
      </c>
      <c r="B57">
        <v>0</v>
      </c>
      <c r="C57" t="s">
        <v>468</v>
      </c>
      <c r="D57" t="s">
        <v>469</v>
      </c>
      <c r="F57" t="s">
        <v>380</v>
      </c>
      <c r="G57" s="122">
        <v>193375869.46000001</v>
      </c>
      <c r="H57" s="122">
        <v>188013358.87</v>
      </c>
      <c r="I57" s="123">
        <v>-2.7699999999999999E-2</v>
      </c>
      <c r="J57" s="122">
        <v>66099404.399999999</v>
      </c>
      <c r="K57" s="123">
        <v>-0.65820000000000001</v>
      </c>
      <c r="L57" s="122">
        <v>63052118.899999999</v>
      </c>
      <c r="M57" s="123">
        <v>-0.67390000000000005</v>
      </c>
      <c r="N57" s="122">
        <v>29715570.879999999</v>
      </c>
      <c r="O57" s="123">
        <v>-0.84630000000000005</v>
      </c>
      <c r="P57" s="122">
        <v>33250591.329999998</v>
      </c>
      <c r="Q57" s="123">
        <v>-0.82809999999999995</v>
      </c>
      <c r="R57" s="122">
        <v>1536024.27</v>
      </c>
      <c r="S57" s="123">
        <v>-0.99209999999999998</v>
      </c>
      <c r="T57" s="122">
        <v>1704108.58</v>
      </c>
      <c r="U57" s="123">
        <v>-0.99119999999999997</v>
      </c>
      <c r="V57" t="s">
        <v>381</v>
      </c>
    </row>
    <row r="58" spans="1:22">
      <c r="A58" t="s">
        <v>354</v>
      </c>
      <c r="B58">
        <v>0</v>
      </c>
      <c r="C58" t="s">
        <v>468</v>
      </c>
      <c r="D58" t="s">
        <v>469</v>
      </c>
      <c r="F58" t="s">
        <v>382</v>
      </c>
      <c r="G58" s="122">
        <v>348277434.41000003</v>
      </c>
      <c r="H58" s="122">
        <v>356950759.11000001</v>
      </c>
      <c r="I58" s="123">
        <v>2.4899999999999999E-2</v>
      </c>
      <c r="J58" s="122">
        <v>91659851.909999996</v>
      </c>
      <c r="K58" s="123">
        <v>-0.73680000000000001</v>
      </c>
      <c r="L58" s="122">
        <v>99849283.790000007</v>
      </c>
      <c r="M58" s="123">
        <v>-0.71330000000000005</v>
      </c>
      <c r="N58" s="122">
        <v>144883879.97999999</v>
      </c>
      <c r="O58" s="123">
        <v>-0.58399999999999996</v>
      </c>
      <c r="P58" s="122">
        <v>114364771.40000001</v>
      </c>
      <c r="Q58" s="123">
        <v>-0.67159999999999997</v>
      </c>
      <c r="R58" s="122">
        <v>7214862.2199999997</v>
      </c>
      <c r="S58" s="123">
        <v>-0.97929999999999995</v>
      </c>
      <c r="T58" s="122">
        <v>5613816.9000000004</v>
      </c>
      <c r="U58" s="123">
        <v>-0.9839</v>
      </c>
      <c r="V58" t="s">
        <v>381</v>
      </c>
    </row>
    <row r="59" spans="1:22">
      <c r="A59" t="s">
        <v>354</v>
      </c>
      <c r="B59">
        <v>0</v>
      </c>
      <c r="C59" t="s">
        <v>468</v>
      </c>
      <c r="D59" t="s">
        <v>469</v>
      </c>
      <c r="F59" t="s">
        <v>383</v>
      </c>
      <c r="G59" s="122">
        <v>2529731064.3099999</v>
      </c>
      <c r="H59" s="122">
        <v>2916947440.3899999</v>
      </c>
      <c r="I59" s="123">
        <v>0.15310000000000001</v>
      </c>
      <c r="J59" s="122">
        <v>936924659.33000004</v>
      </c>
      <c r="K59" s="123">
        <v>-0.62960000000000005</v>
      </c>
      <c r="L59" s="122">
        <v>1055445458.59</v>
      </c>
      <c r="M59" s="123">
        <v>-0.58279999999999998</v>
      </c>
      <c r="N59" s="122">
        <v>938286983.39999998</v>
      </c>
      <c r="O59" s="123">
        <v>-0.62909999999999999</v>
      </c>
      <c r="P59" s="122">
        <v>1078297601.03</v>
      </c>
      <c r="Q59" s="123">
        <v>-0.57379999999999998</v>
      </c>
      <c r="R59" s="122">
        <v>50174894.210000001</v>
      </c>
      <c r="S59" s="123">
        <v>-0.98019999999999996</v>
      </c>
      <c r="T59" s="122">
        <v>55755101.799999997</v>
      </c>
      <c r="U59" s="123">
        <v>-0.97799999999999998</v>
      </c>
      <c r="V59" t="s">
        <v>384</v>
      </c>
    </row>
    <row r="60" spans="1:22">
      <c r="A60" t="s">
        <v>354</v>
      </c>
      <c r="B60">
        <v>0</v>
      </c>
      <c r="C60" t="s">
        <v>468</v>
      </c>
      <c r="D60" t="s">
        <v>469</v>
      </c>
      <c r="F60" t="s">
        <v>465</v>
      </c>
      <c r="G60" s="122">
        <v>1724108778.99</v>
      </c>
      <c r="H60" s="122">
        <v>1967515337.96</v>
      </c>
      <c r="I60" s="123">
        <v>0.14119999999999999</v>
      </c>
      <c r="J60" s="122">
        <v>611830605.09000003</v>
      </c>
      <c r="K60" s="123">
        <v>-0.64510000000000001</v>
      </c>
      <c r="L60" s="122">
        <v>704007787.66999996</v>
      </c>
      <c r="M60" s="123">
        <v>-0.5917</v>
      </c>
      <c r="N60" s="122">
        <v>659308766.23000002</v>
      </c>
      <c r="O60" s="123">
        <v>-0.61760000000000004</v>
      </c>
      <c r="P60" s="122">
        <v>741306037.29999995</v>
      </c>
      <c r="Q60" s="123">
        <v>-0.56999999999999995</v>
      </c>
      <c r="R60" s="122">
        <v>35620594.890000001</v>
      </c>
      <c r="S60" s="123">
        <v>-0.97929999999999995</v>
      </c>
      <c r="T60" s="122">
        <v>38947012</v>
      </c>
      <c r="U60" s="123">
        <v>-0.97740000000000005</v>
      </c>
      <c r="V60" t="s">
        <v>466</v>
      </c>
    </row>
    <row r="61" spans="1:22">
      <c r="A61" t="s">
        <v>354</v>
      </c>
      <c r="B61">
        <v>0</v>
      </c>
      <c r="C61" t="s">
        <v>468</v>
      </c>
      <c r="D61" t="s">
        <v>469</v>
      </c>
      <c r="F61" t="s">
        <v>485</v>
      </c>
      <c r="G61" s="122">
        <v>788364719.11000001</v>
      </c>
      <c r="H61" s="122">
        <v>1012364214.03</v>
      </c>
      <c r="I61" s="123">
        <v>0.28410000000000002</v>
      </c>
      <c r="J61" s="122">
        <v>260197317.94999999</v>
      </c>
      <c r="K61" s="123">
        <v>-0.67</v>
      </c>
      <c r="L61" s="122">
        <v>337207378.89999998</v>
      </c>
      <c r="M61" s="123">
        <v>-0.57230000000000003</v>
      </c>
      <c r="N61" s="122">
        <v>438142321.77999997</v>
      </c>
      <c r="O61" s="123">
        <v>-0.44419999999999998</v>
      </c>
      <c r="P61" s="122">
        <v>548797302.05999994</v>
      </c>
      <c r="Q61" s="123">
        <v>-0.3039</v>
      </c>
      <c r="R61" s="122">
        <v>21241333.420000002</v>
      </c>
      <c r="S61" s="123">
        <v>-0.97309999999999997</v>
      </c>
      <c r="T61" s="122">
        <v>26235839.670000002</v>
      </c>
      <c r="U61" s="123">
        <v>-0.9667</v>
      </c>
      <c r="V61" t="s">
        <v>466</v>
      </c>
    </row>
    <row r="62" spans="1:22">
      <c r="A62" t="s">
        <v>354</v>
      </c>
      <c r="B62">
        <v>0</v>
      </c>
      <c r="C62" t="s">
        <v>468</v>
      </c>
      <c r="D62" t="s">
        <v>469</v>
      </c>
      <c r="F62" t="s">
        <v>486</v>
      </c>
      <c r="G62" s="122">
        <v>225698397.91</v>
      </c>
      <c r="H62" s="122">
        <v>226271169.87</v>
      </c>
      <c r="I62" s="123">
        <v>2.5000000000000001E-3</v>
      </c>
      <c r="J62" s="122">
        <v>107130231.41</v>
      </c>
      <c r="K62" s="123">
        <v>-0.52529999999999999</v>
      </c>
      <c r="L62" s="122">
        <v>107860757.81</v>
      </c>
      <c r="M62" s="123">
        <v>-0.52210000000000001</v>
      </c>
      <c r="N62" s="122">
        <v>15246939.74</v>
      </c>
      <c r="O62" s="123">
        <v>-0.93240000000000001</v>
      </c>
      <c r="P62" s="122">
        <v>14993579.9</v>
      </c>
      <c r="Q62" s="123">
        <v>-0.93359999999999999</v>
      </c>
      <c r="R62" s="122">
        <v>2004519.66</v>
      </c>
      <c r="S62" s="123">
        <v>-0.99109999999999998</v>
      </c>
      <c r="T62" s="122">
        <v>1948427.81</v>
      </c>
      <c r="U62" s="123">
        <v>-0.99139999999999995</v>
      </c>
      <c r="V62" t="s">
        <v>466</v>
      </c>
    </row>
    <row r="63" spans="1:22">
      <c r="A63" t="s">
        <v>354</v>
      </c>
      <c r="B63">
        <v>0</v>
      </c>
      <c r="C63" t="s">
        <v>468</v>
      </c>
      <c r="D63" t="s">
        <v>469</v>
      </c>
      <c r="F63" t="s">
        <v>487</v>
      </c>
      <c r="G63">
        <v>0</v>
      </c>
      <c r="H63">
        <v>0</v>
      </c>
      <c r="I63" s="123">
        <v>0</v>
      </c>
      <c r="J63">
        <v>0</v>
      </c>
      <c r="K63" s="123">
        <v>0</v>
      </c>
      <c r="L63">
        <v>0</v>
      </c>
      <c r="M63" s="123">
        <v>0</v>
      </c>
      <c r="N63">
        <v>0</v>
      </c>
      <c r="O63" s="123">
        <v>0</v>
      </c>
      <c r="P63">
        <v>0</v>
      </c>
      <c r="Q63" s="123">
        <v>0</v>
      </c>
      <c r="R63">
        <v>0</v>
      </c>
      <c r="S63" s="123">
        <v>0</v>
      </c>
      <c r="T63">
        <v>0</v>
      </c>
      <c r="U63" s="123">
        <v>0</v>
      </c>
      <c r="V63" t="s">
        <v>466</v>
      </c>
    </row>
    <row r="64" spans="1:22">
      <c r="A64" t="s">
        <v>354</v>
      </c>
      <c r="B64">
        <v>0</v>
      </c>
      <c r="C64" t="s">
        <v>468</v>
      </c>
      <c r="D64" t="s">
        <v>469</v>
      </c>
      <c r="F64" t="s">
        <v>488</v>
      </c>
      <c r="G64">
        <v>0</v>
      </c>
      <c r="H64">
        <v>0</v>
      </c>
      <c r="I64" s="123">
        <v>0</v>
      </c>
      <c r="J64">
        <v>0</v>
      </c>
      <c r="K64" s="123">
        <v>0</v>
      </c>
      <c r="L64">
        <v>0</v>
      </c>
      <c r="M64" s="123">
        <v>0</v>
      </c>
      <c r="N64">
        <v>0</v>
      </c>
      <c r="O64" s="123">
        <v>0</v>
      </c>
      <c r="P64">
        <v>0</v>
      </c>
      <c r="Q64" s="123">
        <v>0</v>
      </c>
      <c r="R64">
        <v>0</v>
      </c>
      <c r="S64" s="123">
        <v>0</v>
      </c>
      <c r="T64">
        <v>0</v>
      </c>
      <c r="U64" s="123">
        <v>0</v>
      </c>
      <c r="V64" t="s">
        <v>466</v>
      </c>
    </row>
    <row r="65" spans="1:22">
      <c r="A65" t="s">
        <v>354</v>
      </c>
      <c r="B65">
        <v>0</v>
      </c>
      <c r="C65" t="s">
        <v>468</v>
      </c>
      <c r="D65" t="s">
        <v>469</v>
      </c>
      <c r="F65" t="s">
        <v>489</v>
      </c>
      <c r="G65" s="122">
        <v>137198165.08000001</v>
      </c>
      <c r="H65" s="122">
        <v>131919939.29000001</v>
      </c>
      <c r="I65" s="123">
        <v>-3.85E-2</v>
      </c>
      <c r="J65" s="122">
        <v>45229612.899999999</v>
      </c>
      <c r="K65" s="123">
        <v>-0.67030000000000001</v>
      </c>
      <c r="L65" s="122">
        <v>43870261.770000003</v>
      </c>
      <c r="M65" s="123">
        <v>-0.68020000000000003</v>
      </c>
      <c r="N65" s="122">
        <v>21330915.57</v>
      </c>
      <c r="O65" s="123">
        <v>-0.84450000000000003</v>
      </c>
      <c r="P65" s="122">
        <v>23216377.530000001</v>
      </c>
      <c r="Q65" s="123">
        <v>-0.83079999999999998</v>
      </c>
      <c r="R65" s="122">
        <v>1141038.8999999999</v>
      </c>
      <c r="S65" s="123">
        <v>-0.99170000000000003</v>
      </c>
      <c r="T65" s="122">
        <v>1224709.6299999999</v>
      </c>
      <c r="U65" s="123">
        <v>-0.99109999999999998</v>
      </c>
      <c r="V65" t="s">
        <v>466</v>
      </c>
    </row>
    <row r="66" spans="1:22">
      <c r="A66" t="s">
        <v>354</v>
      </c>
      <c r="B66">
        <v>0</v>
      </c>
      <c r="C66" t="s">
        <v>468</v>
      </c>
      <c r="D66" t="s">
        <v>469</v>
      </c>
      <c r="F66" t="s">
        <v>490</v>
      </c>
      <c r="G66" s="122">
        <v>246663149.50999999</v>
      </c>
      <c r="H66" s="122">
        <v>249942914.72</v>
      </c>
      <c r="I66" s="123">
        <v>1.3299999999999999E-2</v>
      </c>
      <c r="J66" s="122">
        <v>62611309.409999996</v>
      </c>
      <c r="K66" s="123">
        <v>-0.74619999999999997</v>
      </c>
      <c r="L66" s="122">
        <v>69282130.969999999</v>
      </c>
      <c r="M66" s="123">
        <v>-0.71909999999999996</v>
      </c>
      <c r="N66" s="122">
        <v>103883196.29000001</v>
      </c>
      <c r="O66" s="123">
        <v>-0.57879999999999998</v>
      </c>
      <c r="P66" s="122">
        <v>79766438.349999994</v>
      </c>
      <c r="Q66" s="123">
        <v>-0.67659999999999998</v>
      </c>
      <c r="R66" s="122">
        <v>5348507.21</v>
      </c>
      <c r="S66" s="123">
        <v>-0.97829999999999995</v>
      </c>
      <c r="T66" s="122">
        <v>4026276.07</v>
      </c>
      <c r="U66" s="123">
        <v>-0.98370000000000002</v>
      </c>
      <c r="V66" t="s">
        <v>466</v>
      </c>
    </row>
    <row r="67" spans="1:22">
      <c r="A67" t="s">
        <v>354</v>
      </c>
      <c r="B67">
        <v>0</v>
      </c>
      <c r="C67" t="s">
        <v>468</v>
      </c>
      <c r="D67" t="s">
        <v>469</v>
      </c>
      <c r="F67" t="s">
        <v>491</v>
      </c>
      <c r="G67" s="122">
        <v>139189842.36000001</v>
      </c>
      <c r="H67" s="122">
        <v>157308727.81999999</v>
      </c>
      <c r="I67" s="123">
        <v>0.13020000000000001</v>
      </c>
      <c r="J67" s="122">
        <v>49923001.340000004</v>
      </c>
      <c r="K67" s="123">
        <v>-0.64129999999999998</v>
      </c>
      <c r="L67" s="122">
        <v>57079029.399999999</v>
      </c>
      <c r="M67" s="123">
        <v>-0.58989999999999998</v>
      </c>
      <c r="N67" s="122">
        <v>68105743.760000005</v>
      </c>
      <c r="O67" s="123">
        <v>-0.51070000000000004</v>
      </c>
      <c r="P67" s="122">
        <v>61962869.840000004</v>
      </c>
      <c r="Q67" s="123">
        <v>-0.55479999999999996</v>
      </c>
      <c r="R67" s="122">
        <v>4301402.2699999996</v>
      </c>
      <c r="S67" s="123">
        <v>-0.96909999999999996</v>
      </c>
      <c r="T67" s="122">
        <v>3928263.16</v>
      </c>
      <c r="U67" s="123">
        <v>-0.9718</v>
      </c>
      <c r="V67" t="s">
        <v>466</v>
      </c>
    </row>
    <row r="68" spans="1:22">
      <c r="A68" t="s">
        <v>354</v>
      </c>
      <c r="B68">
        <v>0</v>
      </c>
      <c r="C68" t="s">
        <v>468</v>
      </c>
      <c r="D68" t="s">
        <v>469</v>
      </c>
      <c r="F68" t="s">
        <v>492</v>
      </c>
      <c r="G68" s="122">
        <v>186994505.02000001</v>
      </c>
      <c r="H68" s="122">
        <v>189708372.22999999</v>
      </c>
      <c r="I68" s="123">
        <v>1.4500000000000001E-2</v>
      </c>
      <c r="J68" s="122">
        <v>86739132.090000004</v>
      </c>
      <c r="K68" s="123">
        <v>-0.53610000000000002</v>
      </c>
      <c r="L68" s="122">
        <v>88708228.829999998</v>
      </c>
      <c r="M68" s="123">
        <v>-0.52559999999999996</v>
      </c>
      <c r="N68" s="122">
        <v>12599649.1</v>
      </c>
      <c r="O68" s="123">
        <v>-0.93259999999999998</v>
      </c>
      <c r="P68" s="122">
        <v>12569469.609999999</v>
      </c>
      <c r="Q68" s="123">
        <v>-0.93279999999999996</v>
      </c>
      <c r="R68" s="122">
        <v>1583793.45</v>
      </c>
      <c r="S68" s="123">
        <v>-0.99150000000000005</v>
      </c>
      <c r="T68" s="122">
        <v>1583495.65</v>
      </c>
      <c r="U68" s="123">
        <v>-0.99150000000000005</v>
      </c>
      <c r="V68" t="s">
        <v>466</v>
      </c>
    </row>
    <row r="69" spans="1:22">
      <c r="A69" t="s">
        <v>354</v>
      </c>
      <c r="B69">
        <v>0</v>
      </c>
      <c r="C69" t="s">
        <v>468</v>
      </c>
      <c r="D69" t="s">
        <v>469</v>
      </c>
      <c r="F69" t="s">
        <v>467</v>
      </c>
      <c r="G69" s="122">
        <v>336417.22</v>
      </c>
      <c r="H69" s="122">
        <v>402762.1</v>
      </c>
      <c r="I69" s="123">
        <v>0.19719999999999999</v>
      </c>
      <c r="J69" s="122">
        <v>125387.31</v>
      </c>
      <c r="K69" s="123">
        <v>-0.62729999999999997</v>
      </c>
      <c r="L69" s="122">
        <v>191928.77</v>
      </c>
      <c r="M69" s="123">
        <v>-0.42949999999999999</v>
      </c>
      <c r="N69" s="122">
        <v>99993.89</v>
      </c>
      <c r="O69" s="123">
        <v>-0.70279999999999998</v>
      </c>
      <c r="P69" s="122">
        <v>82029.149999999994</v>
      </c>
      <c r="Q69" s="123">
        <v>-0.75619999999999998</v>
      </c>
      <c r="R69" s="122">
        <v>12031.21</v>
      </c>
      <c r="S69" s="123">
        <v>-0.96419999999999995</v>
      </c>
      <c r="T69" s="122">
        <v>9265.65</v>
      </c>
      <c r="U69" s="123">
        <v>-0.97250000000000003</v>
      </c>
      <c r="V69" t="s">
        <v>457</v>
      </c>
    </row>
    <row r="70" spans="1:22">
      <c r="A70" t="s">
        <v>354</v>
      </c>
      <c r="B70">
        <v>1</v>
      </c>
      <c r="C70" t="s">
        <v>493</v>
      </c>
      <c r="D70" t="s">
        <v>494</v>
      </c>
      <c r="F70" t="s">
        <v>495</v>
      </c>
      <c r="G70">
        <v>0</v>
      </c>
      <c r="H70">
        <v>0</v>
      </c>
      <c r="I70" s="123">
        <v>0</v>
      </c>
      <c r="J70">
        <v>0</v>
      </c>
      <c r="K70" s="123">
        <v>0</v>
      </c>
      <c r="L70">
        <v>0</v>
      </c>
      <c r="M70" s="123">
        <v>0</v>
      </c>
      <c r="N70">
        <v>0</v>
      </c>
      <c r="O70" s="123">
        <v>0</v>
      </c>
      <c r="P70">
        <v>0</v>
      </c>
      <c r="Q70" s="123">
        <v>0</v>
      </c>
      <c r="R70">
        <v>0</v>
      </c>
      <c r="S70" s="123">
        <v>0</v>
      </c>
      <c r="T70">
        <v>0</v>
      </c>
      <c r="U70" s="123">
        <v>0</v>
      </c>
      <c r="V70" t="s">
        <v>381</v>
      </c>
    </row>
    <row r="71" spans="1:22">
      <c r="A71" t="s">
        <v>354</v>
      </c>
      <c r="B71">
        <v>1</v>
      </c>
      <c r="C71" t="s">
        <v>493</v>
      </c>
      <c r="D71" t="s">
        <v>494</v>
      </c>
      <c r="F71" t="s">
        <v>465</v>
      </c>
      <c r="G71">
        <v>0</v>
      </c>
      <c r="H71">
        <v>0</v>
      </c>
      <c r="I71" s="123">
        <v>0</v>
      </c>
      <c r="J71">
        <v>0</v>
      </c>
      <c r="K71" s="123">
        <v>0</v>
      </c>
      <c r="L71">
        <v>0</v>
      </c>
      <c r="M71" s="123">
        <v>0</v>
      </c>
      <c r="N71">
        <v>0</v>
      </c>
      <c r="O71" s="123">
        <v>0</v>
      </c>
      <c r="P71">
        <v>0</v>
      </c>
      <c r="Q71" s="123">
        <v>0</v>
      </c>
      <c r="R71">
        <v>0</v>
      </c>
      <c r="S71" s="123">
        <v>0</v>
      </c>
      <c r="T71">
        <v>0</v>
      </c>
      <c r="U71" s="123">
        <v>0</v>
      </c>
      <c r="V71" t="s">
        <v>466</v>
      </c>
    </row>
    <row r="72" spans="1:22">
      <c r="A72" t="s">
        <v>354</v>
      </c>
      <c r="B72">
        <v>1</v>
      </c>
      <c r="C72" t="s">
        <v>493</v>
      </c>
      <c r="D72" t="s">
        <v>493</v>
      </c>
      <c r="F72" t="s">
        <v>231</v>
      </c>
      <c r="G72" s="122">
        <v>570048257.75</v>
      </c>
      <c r="H72" s="122">
        <v>977225585</v>
      </c>
      <c r="I72" s="123">
        <v>0.44359999999999999</v>
      </c>
      <c r="J72" s="122">
        <v>185928720.16</v>
      </c>
      <c r="K72" s="123">
        <v>-0.72529999999999994</v>
      </c>
      <c r="L72" s="122">
        <v>321799708</v>
      </c>
      <c r="M72" s="123">
        <v>-0.52459999999999996</v>
      </c>
      <c r="N72" s="122">
        <v>741052878.37</v>
      </c>
      <c r="O72" s="123">
        <v>9.4700000000000006E-2</v>
      </c>
      <c r="P72" s="122">
        <v>1000420959.61</v>
      </c>
      <c r="Q72" s="123">
        <v>0.4778</v>
      </c>
      <c r="R72" s="122">
        <v>33282154.109999999</v>
      </c>
      <c r="S72" s="123">
        <v>-0.95079999999999998</v>
      </c>
      <c r="T72" s="122">
        <v>44104358.469999999</v>
      </c>
      <c r="U72" s="123">
        <v>-0.93479999999999996</v>
      </c>
      <c r="V72" t="s">
        <v>381</v>
      </c>
    </row>
    <row r="73" spans="1:22">
      <c r="A73" t="s">
        <v>354</v>
      </c>
      <c r="B73">
        <v>1</v>
      </c>
      <c r="C73" t="s">
        <v>493</v>
      </c>
      <c r="D73" t="s">
        <v>493</v>
      </c>
      <c r="F73" t="s">
        <v>482</v>
      </c>
      <c r="G73" s="122">
        <v>31700133.82</v>
      </c>
      <c r="H73" s="122">
        <v>37459006.659999996</v>
      </c>
      <c r="I73" s="123">
        <v>-0.75519999999999998</v>
      </c>
      <c r="J73" s="122">
        <v>10936740.43</v>
      </c>
      <c r="K73" s="123">
        <v>-0.92849999999999999</v>
      </c>
      <c r="L73" s="122">
        <v>13099473.310000001</v>
      </c>
      <c r="M73" s="123">
        <v>-0.91439999999999999</v>
      </c>
      <c r="N73" s="122">
        <v>6021204.5199999996</v>
      </c>
      <c r="O73" s="123">
        <v>-0.9607</v>
      </c>
      <c r="P73" s="122">
        <v>7741220.7800000003</v>
      </c>
      <c r="Q73" s="123">
        <v>-0.94940000000000002</v>
      </c>
      <c r="R73" s="122">
        <v>360427.63</v>
      </c>
      <c r="S73" s="123">
        <v>-0.99760000000000004</v>
      </c>
      <c r="T73" s="122">
        <v>461054.11</v>
      </c>
      <c r="U73" s="123">
        <v>-0.997</v>
      </c>
      <c r="V73" t="s">
        <v>381</v>
      </c>
    </row>
    <row r="74" spans="1:22">
      <c r="A74" t="s">
        <v>354</v>
      </c>
      <c r="B74">
        <v>1</v>
      </c>
      <c r="C74" t="s">
        <v>493</v>
      </c>
      <c r="D74" t="s">
        <v>493</v>
      </c>
      <c r="F74" t="s">
        <v>383</v>
      </c>
      <c r="G74" s="122">
        <v>2529731064.3099999</v>
      </c>
      <c r="H74" s="122">
        <v>2916947440.3899999</v>
      </c>
      <c r="I74" s="123">
        <v>-0.82799999999999996</v>
      </c>
      <c r="J74" s="122">
        <v>936924659.33000004</v>
      </c>
      <c r="K74" s="123">
        <v>-0.94469999999999998</v>
      </c>
      <c r="L74" s="122">
        <v>1055445458.59</v>
      </c>
      <c r="M74" s="123">
        <v>-0.93779999999999997</v>
      </c>
      <c r="N74" s="122">
        <v>938286983.39999998</v>
      </c>
      <c r="O74" s="123">
        <v>-0.94469999999999998</v>
      </c>
      <c r="P74" s="122">
        <v>1078297601.03</v>
      </c>
      <c r="Q74" s="123">
        <v>-0.93640000000000001</v>
      </c>
      <c r="R74" s="122">
        <v>50174894.210000001</v>
      </c>
      <c r="S74" s="123">
        <v>-0.997</v>
      </c>
      <c r="T74" s="122">
        <v>55755101.799999997</v>
      </c>
      <c r="U74" s="123">
        <v>-0.99670000000000003</v>
      </c>
      <c r="V74" t="s">
        <v>384</v>
      </c>
    </row>
    <row r="75" spans="1:22">
      <c r="A75" t="s">
        <v>354</v>
      </c>
      <c r="B75">
        <v>1</v>
      </c>
      <c r="C75" t="s">
        <v>493</v>
      </c>
      <c r="D75" t="s">
        <v>493</v>
      </c>
      <c r="F75" t="s">
        <v>465</v>
      </c>
      <c r="G75" s="122">
        <v>1724108778.99</v>
      </c>
      <c r="H75" s="122">
        <v>1967515337.96</v>
      </c>
      <c r="I75" s="123">
        <v>-0.83750000000000002</v>
      </c>
      <c r="J75" s="122">
        <v>611830605.09000003</v>
      </c>
      <c r="K75" s="123">
        <v>-0.94950000000000001</v>
      </c>
      <c r="L75" s="122">
        <v>704007787.66999996</v>
      </c>
      <c r="M75" s="123">
        <v>-0.94189999999999996</v>
      </c>
      <c r="N75" s="122">
        <v>659308766.23000002</v>
      </c>
      <c r="O75" s="123">
        <v>-0.94550000000000001</v>
      </c>
      <c r="P75" s="122">
        <v>741306037.29999995</v>
      </c>
      <c r="Q75" s="123">
        <v>-0.93879999999999997</v>
      </c>
      <c r="R75" s="122">
        <v>35620594.890000001</v>
      </c>
      <c r="S75" s="123">
        <v>-0.99709999999999999</v>
      </c>
      <c r="T75" s="122">
        <v>38947012</v>
      </c>
      <c r="U75" s="123">
        <v>-0.99680000000000002</v>
      </c>
      <c r="V75" t="s">
        <v>466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DD7C8-5EF8-4884-B731-074E55F4BE6C}">
  <dimension ref="A1:V60"/>
  <sheetViews>
    <sheetView workbookViewId="0">
      <selection activeCell="J11" sqref="J11"/>
    </sheetView>
  </sheetViews>
  <sheetFormatPr defaultColWidth="8.85546875" defaultRowHeight="14.45"/>
  <cols>
    <col min="1" max="1" width="52.28515625" bestFit="1" customWidth="1"/>
    <col min="2" max="2" width="18.85546875" bestFit="1" customWidth="1"/>
    <col min="3" max="4" width="12.42578125" bestFit="1" customWidth="1"/>
    <col min="5" max="6" width="12.28515625" bestFit="1" customWidth="1"/>
    <col min="7" max="8" width="12.42578125" bestFit="1" customWidth="1"/>
    <col min="9" max="11" width="13.5703125" bestFit="1" customWidth="1"/>
    <col min="12" max="12" width="13.85546875" bestFit="1" customWidth="1"/>
    <col min="15" max="15" width="14.7109375" customWidth="1"/>
    <col min="16" max="16" width="12.85546875" bestFit="1" customWidth="1"/>
    <col min="17" max="17" width="9" bestFit="1" customWidth="1"/>
    <col min="21" max="21" width="35.140625" bestFit="1" customWidth="1"/>
    <col min="22" max="22" width="10.28515625" bestFit="1" customWidth="1"/>
  </cols>
  <sheetData>
    <row r="1" spans="1:22" ht="28.15" customHeight="1">
      <c r="C1" s="262" t="s">
        <v>496</v>
      </c>
      <c r="D1" s="262"/>
      <c r="E1" s="262" t="s">
        <v>497</v>
      </c>
      <c r="F1" s="262"/>
      <c r="G1" s="262" t="s">
        <v>498</v>
      </c>
      <c r="H1" s="262"/>
      <c r="I1" s="262" t="s">
        <v>499</v>
      </c>
      <c r="J1" s="262"/>
      <c r="K1" s="249" t="s">
        <v>500</v>
      </c>
      <c r="L1" s="249"/>
    </row>
    <row r="2" spans="1:22">
      <c r="C2" t="s">
        <v>428</v>
      </c>
      <c r="D2" t="s">
        <v>501</v>
      </c>
      <c r="E2" t="s">
        <v>428</v>
      </c>
      <c r="F2" t="s">
        <v>501</v>
      </c>
      <c r="G2" t="s">
        <v>428</v>
      </c>
      <c r="H2" t="s">
        <v>501</v>
      </c>
      <c r="I2" t="s">
        <v>428</v>
      </c>
      <c r="J2" t="s">
        <v>501</v>
      </c>
      <c r="K2" t="s">
        <v>428</v>
      </c>
      <c r="L2" t="s">
        <v>501</v>
      </c>
      <c r="O2" s="261" t="s">
        <v>502</v>
      </c>
      <c r="P2" s="261"/>
      <c r="V2" s="4" t="s">
        <v>503</v>
      </c>
    </row>
    <row r="3" spans="1:22">
      <c r="A3" s="124" t="s">
        <v>465</v>
      </c>
      <c r="B3" s="124" t="s">
        <v>504</v>
      </c>
      <c r="C3" s="118">
        <f>'Processed Results'!H60/1000</f>
        <v>1724108.77899</v>
      </c>
      <c r="D3" s="118">
        <f>'Processed Results'!I60/1000</f>
        <v>1967515.3379600001</v>
      </c>
      <c r="E3" s="118">
        <f>'Processed Results'!K60/1000</f>
        <v>611830.60509000008</v>
      </c>
      <c r="F3" s="118">
        <f>'Processed Results'!L60/1000</f>
        <v>704007.78766999999</v>
      </c>
      <c r="G3" s="118">
        <f>'Processed Results'!N60/1000</f>
        <v>659308.76623000007</v>
      </c>
      <c r="H3" s="118">
        <f>'Processed Results'!O60/1000</f>
        <v>741306.03729999997</v>
      </c>
      <c r="I3" s="118">
        <f>'Processed Results'!Q60/1000</f>
        <v>35620.59489</v>
      </c>
      <c r="J3" s="118">
        <f>'Processed Results'!R60/1000</f>
        <v>38947.012000000002</v>
      </c>
      <c r="K3" s="125">
        <f t="shared" ref="K3:L7" si="0">SUM(C3,E3,G3,I3)</f>
        <v>3030868.7452000002</v>
      </c>
      <c r="L3" s="125">
        <f t="shared" si="0"/>
        <v>3451776.1749300002</v>
      </c>
      <c r="O3" s="110" t="s">
        <v>428</v>
      </c>
      <c r="P3" t="s">
        <v>501</v>
      </c>
      <c r="Q3" s="126" t="s">
        <v>505</v>
      </c>
      <c r="U3" t="s">
        <v>506</v>
      </c>
      <c r="V3">
        <v>1172985.3944300001</v>
      </c>
    </row>
    <row r="4" spans="1:22">
      <c r="A4" s="124" t="s">
        <v>472</v>
      </c>
      <c r="B4" s="124" t="s">
        <v>504</v>
      </c>
      <c r="C4" s="118">
        <f>'Processed Results'!H32/1000</f>
        <v>421502.18783000001</v>
      </c>
      <c r="D4" s="118">
        <f>'Processed Results'!I32/1000</f>
        <v>414257.68733999995</v>
      </c>
      <c r="E4" s="118">
        <f>'Processed Results'!K32/1000</f>
        <v>124347.53095999999</v>
      </c>
      <c r="F4" s="118">
        <f>'Processed Results'!L32/1000</f>
        <v>127284.73379000001</v>
      </c>
      <c r="G4" s="118">
        <f>'Processed Results'!N32/1000</f>
        <v>129832.09749</v>
      </c>
      <c r="H4" s="118">
        <f>'Processed Results'!O32/1000</f>
        <v>108167.53396</v>
      </c>
      <c r="I4" s="118">
        <f>'Processed Results'!Q32/1000</f>
        <v>6866.4046699999999</v>
      </c>
      <c r="J4" s="118">
        <f>'Processed Results'!R32/1000</f>
        <v>5667.6659200000004</v>
      </c>
      <c r="K4" s="125">
        <f t="shared" si="0"/>
        <v>682548.22094999987</v>
      </c>
      <c r="L4" s="125">
        <f t="shared" si="0"/>
        <v>655377.62101</v>
      </c>
      <c r="O4" s="125">
        <f>K3</f>
        <v>3030868.7452000002</v>
      </c>
      <c r="P4" s="125">
        <f>L3</f>
        <v>3451776.1749300002</v>
      </c>
      <c r="Q4" s="97">
        <f>(P4-O4)/O4</f>
        <v>0.13887352607947567</v>
      </c>
      <c r="U4" t="s">
        <v>507</v>
      </c>
      <c r="V4" s="125">
        <f>P4</f>
        <v>3451776.1749300002</v>
      </c>
    </row>
    <row r="5" spans="1:22">
      <c r="A5" s="124" t="s">
        <v>473</v>
      </c>
      <c r="B5" s="124" t="s">
        <v>504</v>
      </c>
      <c r="C5" s="118">
        <f>'Processed Results'!H33/1000</f>
        <v>949716.02260999999</v>
      </c>
      <c r="D5" s="118">
        <f>'Processed Results'!I33/1000</f>
        <v>1197556.70187</v>
      </c>
      <c r="E5" s="118">
        <f>'Processed Results'!K33/1000</f>
        <v>321707.08211999998</v>
      </c>
      <c r="F5" s="118">
        <f>'Processed Results'!L33/1000</f>
        <v>408638.52316000004</v>
      </c>
      <c r="G5" s="118">
        <f>'Processed Results'!N33/1000</f>
        <v>505665.27513000002</v>
      </c>
      <c r="H5" s="118">
        <f>'Processed Results'!O33/1000</f>
        <v>609569.55000000005</v>
      </c>
      <c r="I5" s="118">
        <f>'Processed Results'!Q33/1000</f>
        <v>25685.853050000002</v>
      </c>
      <c r="J5" s="118">
        <f>'Processed Results'!R33/1000</f>
        <v>30259.224989999999</v>
      </c>
      <c r="K5" s="125">
        <f t="shared" si="0"/>
        <v>1802774.23291</v>
      </c>
      <c r="L5" s="125">
        <f t="shared" si="0"/>
        <v>2246024.0000200002</v>
      </c>
      <c r="U5" t="s">
        <v>508</v>
      </c>
      <c r="V5" s="125">
        <f>O4</f>
        <v>3030868.7452000002</v>
      </c>
    </row>
    <row r="6" spans="1:22">
      <c r="A6" t="s">
        <v>482</v>
      </c>
      <c r="B6" t="s">
        <v>381</v>
      </c>
      <c r="C6" s="2">
        <f>'Processed Results'!H52</f>
        <v>31700133.82</v>
      </c>
      <c r="D6" s="2">
        <f>'Processed Results'!I52</f>
        <v>37459006.659999996</v>
      </c>
      <c r="E6" s="2">
        <f>'Processed Results'!K52</f>
        <v>10936740.43</v>
      </c>
      <c r="F6" s="2">
        <f>'Processed Results'!L52</f>
        <v>13099473.310000001</v>
      </c>
      <c r="G6" s="2">
        <f>'Processed Results'!N52</f>
        <v>6021204.5199999996</v>
      </c>
      <c r="H6" s="2">
        <f>'Processed Results'!O52</f>
        <v>7741220.7800000003</v>
      </c>
      <c r="I6" s="2">
        <f>'Processed Results'!Q52</f>
        <v>360427.63</v>
      </c>
      <c r="J6" s="2">
        <f>'Processed Results'!R52</f>
        <v>461054.11</v>
      </c>
      <c r="K6" s="125">
        <f t="shared" si="0"/>
        <v>49018506.399999999</v>
      </c>
      <c r="L6" s="125">
        <f t="shared" si="0"/>
        <v>58760754.859999999</v>
      </c>
      <c r="U6" t="s">
        <v>509</v>
      </c>
      <c r="V6" s="125">
        <f>V4-V5</f>
        <v>420907.42972999997</v>
      </c>
    </row>
    <row r="7" spans="1:22">
      <c r="A7" t="s">
        <v>479</v>
      </c>
      <c r="B7" t="s">
        <v>381</v>
      </c>
      <c r="C7" s="2">
        <f>'Processed Results'!H40</f>
        <v>570048257.75</v>
      </c>
      <c r="D7" s="2">
        <f>'Processed Results'!I40</f>
        <v>977225585</v>
      </c>
      <c r="E7" s="2">
        <f>'Processed Results'!K40</f>
        <v>185928720.16</v>
      </c>
      <c r="F7" s="2">
        <f>'Processed Results'!L40</f>
        <v>321799708</v>
      </c>
      <c r="G7" s="2">
        <f>'Processed Results'!N40</f>
        <v>741052878.37</v>
      </c>
      <c r="H7" s="2">
        <f>'Processed Results'!O40</f>
        <v>1000420959.61</v>
      </c>
      <c r="I7" s="2">
        <f>'Processed Results'!Q40</f>
        <v>33282154.109999999</v>
      </c>
      <c r="J7" s="2">
        <f>'Processed Results'!R40</f>
        <v>44104358.469999999</v>
      </c>
      <c r="K7" s="125">
        <f t="shared" si="0"/>
        <v>1530312010.3899999</v>
      </c>
      <c r="L7" s="125">
        <f t="shared" si="0"/>
        <v>2343550611.0799999</v>
      </c>
      <c r="U7" t="s">
        <v>510</v>
      </c>
      <c r="V7" s="127">
        <f>V6/25</f>
        <v>16836.297189199999</v>
      </c>
    </row>
    <row r="8" spans="1:22">
      <c r="A8" s="124" t="s">
        <v>511</v>
      </c>
      <c r="B8" s="124" t="s">
        <v>512</v>
      </c>
      <c r="C8" s="118">
        <f>((C4*1000/C9)+(C5*1000/C10))/1000</f>
        <v>23810.514057903572</v>
      </c>
      <c r="D8" s="118">
        <f t="shared" ref="D8:L8" si="1">((D4*1000/D9)+(D5*1000/D10))/1000</f>
        <v>38883.83908358762</v>
      </c>
      <c r="E8" s="118">
        <f t="shared" si="1"/>
        <v>7691.6209263670808</v>
      </c>
      <c r="F8" s="118">
        <f t="shared" si="1"/>
        <v>12746.970413049117</v>
      </c>
      <c r="G8" s="118">
        <f t="shared" si="1"/>
        <v>26843.999668175937</v>
      </c>
      <c r="H8" s="118">
        <f t="shared" si="1"/>
        <v>36177.581316727024</v>
      </c>
      <c r="I8" s="118">
        <f t="shared" si="1"/>
        <v>1216.4138030009833</v>
      </c>
      <c r="J8" s="118">
        <f t="shared" si="1"/>
        <v>1608.8267256668162</v>
      </c>
      <c r="K8" s="118">
        <f>((K4*1000/K9)+(K5*1000/K10))/1000</f>
        <v>46824.491855361499</v>
      </c>
      <c r="L8" s="118">
        <f t="shared" si="1"/>
        <v>65527.855984804643</v>
      </c>
      <c r="V8" s="111"/>
    </row>
    <row r="9" spans="1:22">
      <c r="A9" s="124" t="s">
        <v>513</v>
      </c>
      <c r="B9" s="124" t="s">
        <v>514</v>
      </c>
      <c r="C9" s="2">
        <f>'Processed Results'!H34</f>
        <v>109.24</v>
      </c>
      <c r="D9" s="2">
        <f>'Processed Results'!I34</f>
        <v>88.56</v>
      </c>
      <c r="E9" s="2">
        <f>'Processed Results'!K34</f>
        <v>104.97</v>
      </c>
      <c r="F9" s="2">
        <f>'Processed Results'!L34</f>
        <v>85.8</v>
      </c>
      <c r="G9" s="2">
        <f>'Processed Results'!N34</f>
        <v>142.29</v>
      </c>
      <c r="H9" s="2">
        <f>'Processed Results'!O34</f>
        <v>92.85</v>
      </c>
      <c r="I9" s="2">
        <f>'Processed Results'!Q34</f>
        <v>133.27000000000001</v>
      </c>
      <c r="J9" s="2">
        <f>'Processed Results'!R34</f>
        <v>87.21</v>
      </c>
      <c r="K9" s="125">
        <f>(K5*1000)/(K7*0.0336)</f>
        <v>35.060820710287459</v>
      </c>
      <c r="L9" s="125">
        <f>(L5*1000)/(L7*0.0336)</f>
        <v>28.523366239887768</v>
      </c>
    </row>
    <row r="10" spans="1:22">
      <c r="A10" s="124" t="s">
        <v>515</v>
      </c>
      <c r="B10" s="124" t="s">
        <v>514</v>
      </c>
      <c r="C10" s="2">
        <f>'Processed Results'!H39</f>
        <v>47.6</v>
      </c>
      <c r="D10" s="2">
        <f>'Processed Results'!I39</f>
        <v>35.01</v>
      </c>
      <c r="E10" s="2">
        <f>'Processed Results'!K39</f>
        <v>49.44</v>
      </c>
      <c r="F10" s="2">
        <f>'Processed Results'!L39</f>
        <v>36.28</v>
      </c>
      <c r="G10" s="2">
        <f>'Processed Results'!N39</f>
        <v>19.5</v>
      </c>
      <c r="H10" s="2">
        <f>'Processed Results'!O39</f>
        <v>17.41</v>
      </c>
      <c r="I10" s="2">
        <f>'Processed Results'!Q39</f>
        <v>22.05</v>
      </c>
      <c r="J10" s="2">
        <f>'Processed Results'!R39</f>
        <v>19.600000000000001</v>
      </c>
      <c r="K10" s="125">
        <f>(K4*1000)/(K6*0.2113)</f>
        <v>65.898232742671624</v>
      </c>
      <c r="L10" s="125">
        <f>(L4*1000)/(L6*0.2113)</f>
        <v>52.7842972958206</v>
      </c>
    </row>
    <row r="11" spans="1:22">
      <c r="A11" s="124" t="s">
        <v>516</v>
      </c>
      <c r="B11" s="124" t="s">
        <v>517</v>
      </c>
      <c r="C11" s="2">
        <f>'Processed Results'!H59/1000</f>
        <v>2529731.0643099998</v>
      </c>
      <c r="D11" s="2">
        <f>'Processed Results'!I59/1000</f>
        <v>2916947.4403899997</v>
      </c>
      <c r="E11" s="2">
        <f>'Processed Results'!K59/1000</f>
        <v>936924.65933000005</v>
      </c>
      <c r="F11" s="2">
        <f>'Processed Results'!L59/1000</f>
        <v>1055445.4585899999</v>
      </c>
      <c r="G11" s="2">
        <f>'Processed Results'!N59/1000</f>
        <v>938286.98340000003</v>
      </c>
      <c r="H11" s="2">
        <f>'Processed Results'!O59/1000</f>
        <v>1078297.60103</v>
      </c>
      <c r="I11" s="2">
        <f>'Processed Results'!Q59/1000</f>
        <v>50174.894209999999</v>
      </c>
      <c r="J11" s="2">
        <f>'Processed Results'!R59/1000</f>
        <v>55755.101799999997</v>
      </c>
      <c r="K11" s="125">
        <f>SUM(C11,E11,G11,I11)</f>
        <v>4455117.6012499994</v>
      </c>
      <c r="L11" s="125">
        <f>SUM(D11,F11,H11,J11)</f>
        <v>5106445.6018099999</v>
      </c>
    </row>
    <row r="12" spans="1:22">
      <c r="A12" s="124" t="s">
        <v>518</v>
      </c>
      <c r="B12" s="124" t="s">
        <v>519</v>
      </c>
      <c r="C12" s="2">
        <f>'Processed Results'!H49</f>
        <v>1390127.1</v>
      </c>
      <c r="D12" s="2">
        <f>'Processed Results'!I49</f>
        <v>1353223.76</v>
      </c>
      <c r="E12" s="2">
        <f>'Processed Results'!K49</f>
        <v>486428.06</v>
      </c>
      <c r="F12" s="2">
        <f>'Processed Results'!L49</f>
        <v>474881.31</v>
      </c>
      <c r="G12" s="2">
        <f>'Processed Results'!N49</f>
        <v>295064.13</v>
      </c>
      <c r="H12" s="2">
        <f>'Processed Results'!O49</f>
        <v>252029.28</v>
      </c>
      <c r="I12" s="2">
        <f>'Processed Results'!Q49</f>
        <v>17550.080000000002</v>
      </c>
      <c r="J12" s="2">
        <f>'Processed Results'!R49</f>
        <v>15118.23</v>
      </c>
      <c r="K12" s="125">
        <f>SUM(C12,E12,G12,I12)</f>
        <v>2189169.37</v>
      </c>
      <c r="L12" s="125">
        <f>SUM(D12,F12,H12,J12)</f>
        <v>2095252.58</v>
      </c>
    </row>
    <row r="13" spans="1:22">
      <c r="A13" s="124" t="s">
        <v>515</v>
      </c>
      <c r="B13" s="124" t="s">
        <v>520</v>
      </c>
      <c r="C13" s="122">
        <f>C3*1000/C7</f>
        <v>3.0244961817708496</v>
      </c>
      <c r="D13" s="122">
        <f t="shared" ref="D13:L13" si="2">D3*1000/D7</f>
        <v>2.013368630703626</v>
      </c>
      <c r="E13" s="122">
        <f t="shared" si="2"/>
        <v>3.2906729232766856</v>
      </c>
      <c r="F13" s="122">
        <f t="shared" si="2"/>
        <v>2.187720405482779</v>
      </c>
      <c r="G13" s="122">
        <f t="shared" si="2"/>
        <v>0.88969193086490383</v>
      </c>
      <c r="H13" s="122">
        <f t="shared" si="2"/>
        <v>0.74099410870898552</v>
      </c>
      <c r="I13" s="122">
        <f t="shared" si="2"/>
        <v>1.070261100656865</v>
      </c>
      <c r="J13" s="122">
        <f t="shared" si="2"/>
        <v>0.88306492489833965</v>
      </c>
      <c r="K13" s="122">
        <f t="shared" si="2"/>
        <v>1.9805560726322626</v>
      </c>
      <c r="L13" s="122">
        <f t="shared" si="2"/>
        <v>1.4728831366433714</v>
      </c>
    </row>
    <row r="14" spans="1:22">
      <c r="A14" s="124" t="s">
        <v>521</v>
      </c>
      <c r="B14" s="124" t="s">
        <v>522</v>
      </c>
      <c r="C14" s="120">
        <f>C17/C12</f>
        <v>39.499918547016307</v>
      </c>
      <c r="D14" s="120">
        <f t="shared" ref="D14:L14" si="3">D17/D12</f>
        <v>46.640433382576731</v>
      </c>
      <c r="E14" s="120">
        <f t="shared" si="3"/>
        <v>41.823923994022877</v>
      </c>
      <c r="F14" s="120">
        <f t="shared" si="3"/>
        <v>48.09624882899687</v>
      </c>
      <c r="G14" s="120">
        <f t="shared" si="3"/>
        <v>69.883517559386149</v>
      </c>
      <c r="H14" s="120">
        <f t="shared" si="3"/>
        <v>93.798563563725622</v>
      </c>
      <c r="I14" s="120">
        <f t="shared" si="3"/>
        <v>62.846204689665221</v>
      </c>
      <c r="J14" s="120">
        <f t="shared" si="3"/>
        <v>80.860882523946259</v>
      </c>
      <c r="K14" s="120">
        <f>K17/K12</f>
        <v>44.298679667713422</v>
      </c>
      <c r="L14" s="120">
        <f t="shared" si="3"/>
        <v>52.889761930277636</v>
      </c>
    </row>
    <row r="15" spans="1:22">
      <c r="K15" s="125"/>
      <c r="L15" s="125"/>
    </row>
    <row r="16" spans="1:22">
      <c r="A16" s="126" t="s">
        <v>523</v>
      </c>
      <c r="B16" s="126"/>
      <c r="K16" s="125"/>
      <c r="L16" s="125"/>
    </row>
    <row r="17" spans="1:17">
      <c r="A17" s="126" t="s">
        <v>445</v>
      </c>
      <c r="B17" s="124" t="s">
        <v>446</v>
      </c>
      <c r="C17" s="122">
        <f>'Processed Results'!H21</f>
        <v>54909907.219999999</v>
      </c>
      <c r="D17" s="122">
        <f>'Processed Results'!I21</f>
        <v>63114942.630000003</v>
      </c>
      <c r="E17" s="122">
        <f>'Processed Results'!K21</f>
        <v>20344330.210000001</v>
      </c>
      <c r="F17" s="122">
        <f>'Processed Results'!L21</f>
        <v>22840009.649999999</v>
      </c>
      <c r="G17" s="122">
        <f>'Processed Results'!N21</f>
        <v>20620119.309999999</v>
      </c>
      <c r="H17" s="122">
        <f>'Processed Results'!O21</f>
        <v>23639984.440000001</v>
      </c>
      <c r="I17" s="122">
        <f>'Processed Results'!Q21</f>
        <v>1102955.92</v>
      </c>
      <c r="J17" s="122">
        <f>'Processed Results'!R21</f>
        <v>1222473.42</v>
      </c>
      <c r="K17" s="125">
        <f t="shared" ref="K17:K25" si="4">C17+E17+G17+I17</f>
        <v>96977312.660000011</v>
      </c>
      <c r="L17" s="125">
        <f t="shared" ref="L17:L25" si="5">D17+F17+H17+J17</f>
        <v>110817410.14</v>
      </c>
    </row>
    <row r="18" spans="1:17">
      <c r="A18" s="126" t="s">
        <v>447</v>
      </c>
      <c r="B18" s="124" t="s">
        <v>446</v>
      </c>
      <c r="C18" s="122">
        <f>'Processed Results'!H22</f>
        <v>3172716.88</v>
      </c>
      <c r="D18" s="122">
        <f>'Processed Results'!I22</f>
        <v>2895872.57</v>
      </c>
      <c r="E18" s="122">
        <f>'Processed Results'!K22</f>
        <v>286218.52</v>
      </c>
      <c r="F18" s="122">
        <f>'Processed Results'!L22</f>
        <v>395575.52</v>
      </c>
      <c r="G18" s="122">
        <f>'Processed Results'!N22</f>
        <v>1347748.08</v>
      </c>
      <c r="H18" s="122">
        <f>'Processed Results'!O22</f>
        <v>1319332.92</v>
      </c>
      <c r="I18" s="122">
        <f>'Processed Results'!Q22</f>
        <v>25885.35</v>
      </c>
      <c r="J18" s="122">
        <f>'Processed Results'!R22</f>
        <v>49209.18</v>
      </c>
      <c r="K18" s="125">
        <f t="shared" si="4"/>
        <v>4832568.83</v>
      </c>
      <c r="L18" s="125">
        <f t="shared" si="5"/>
        <v>4659990.1899999995</v>
      </c>
    </row>
    <row r="19" spans="1:17">
      <c r="A19" s="126" t="s">
        <v>450</v>
      </c>
      <c r="B19" s="124" t="s">
        <v>451</v>
      </c>
      <c r="C19" s="122">
        <f>'Processed Results'!H24</f>
        <v>15391302.960000001</v>
      </c>
      <c r="D19" s="122">
        <f>'Processed Results'!I24</f>
        <v>26385090.789999999</v>
      </c>
      <c r="E19" s="122">
        <f>'Processed Results'!K24</f>
        <v>5020075.4400000004</v>
      </c>
      <c r="F19" s="122">
        <f>'Processed Results'!L24</f>
        <v>8688592.1199999992</v>
      </c>
      <c r="G19" s="122">
        <f>'Processed Results'!N24</f>
        <v>20008427.719999999</v>
      </c>
      <c r="H19" s="122">
        <f>'Processed Results'!O24</f>
        <v>27011365.91</v>
      </c>
      <c r="I19" s="122">
        <f>'Processed Results'!Q24</f>
        <v>898618.16</v>
      </c>
      <c r="J19" s="122">
        <f>'Processed Results'!R24</f>
        <v>1190817.68</v>
      </c>
      <c r="K19" s="125">
        <f t="shared" si="4"/>
        <v>41318424.280000001</v>
      </c>
      <c r="L19" s="125">
        <f t="shared" si="5"/>
        <v>63275866.499999993</v>
      </c>
    </row>
    <row r="20" spans="1:17">
      <c r="A20" s="126" t="s">
        <v>452</v>
      </c>
      <c r="B20" s="124" t="s">
        <v>451</v>
      </c>
      <c r="C20" s="122">
        <f>'Processed Results'!H25</f>
        <v>2610202.5099999998</v>
      </c>
      <c r="D20" s="122">
        <f>'Processed Results'!I25</f>
        <v>3084390.55</v>
      </c>
      <c r="E20" s="122">
        <f>'Processed Results'!K25</f>
        <v>900535.86</v>
      </c>
      <c r="F20" s="122">
        <f>'Processed Results'!L25</f>
        <v>1078616.21</v>
      </c>
      <c r="G20" s="122">
        <f>'Processed Results'!N25</f>
        <v>495788.54</v>
      </c>
      <c r="H20" s="122">
        <f>'Processed Results'!O25</f>
        <v>637415.41</v>
      </c>
      <c r="I20" s="122">
        <f>'Processed Results'!Q25</f>
        <v>29677.759999999998</v>
      </c>
      <c r="J20" s="122">
        <f>'Processed Results'!R25</f>
        <v>37963.39</v>
      </c>
      <c r="K20" s="125">
        <f t="shared" si="4"/>
        <v>4036204.6699999995</v>
      </c>
      <c r="L20" s="125">
        <f t="shared" si="5"/>
        <v>4838385.5599999996</v>
      </c>
      <c r="O20" s="126" t="s">
        <v>524</v>
      </c>
    </row>
    <row r="21" spans="1:17">
      <c r="A21" s="126" t="s">
        <v>453</v>
      </c>
      <c r="B21" s="124" t="s">
        <v>451</v>
      </c>
      <c r="C21" s="122">
        <f>'Processed Results'!H26</f>
        <v>44712403.799999997</v>
      </c>
      <c r="D21" s="122">
        <f>'Processed Results'!I26</f>
        <v>44469592.240000002</v>
      </c>
      <c r="E21" s="122">
        <f>'Processed Results'!K26</f>
        <v>14269368.109999999</v>
      </c>
      <c r="F21" s="122">
        <f>'Processed Results'!L26</f>
        <v>14085601.609999999</v>
      </c>
      <c r="G21" s="122">
        <f>'Processed Results'!N26</f>
        <v>17947620.190000001</v>
      </c>
      <c r="H21" s="122">
        <f>'Processed Results'!O26</f>
        <v>17001415.77</v>
      </c>
      <c r="I21" s="122">
        <f>'Processed Results'!Q26</f>
        <v>907704.42</v>
      </c>
      <c r="J21" s="122">
        <f>'Processed Results'!R26</f>
        <v>835416</v>
      </c>
      <c r="K21" s="125">
        <f t="shared" si="4"/>
        <v>77837096.519999996</v>
      </c>
      <c r="L21" s="125">
        <f t="shared" si="5"/>
        <v>76392025.620000005</v>
      </c>
      <c r="O21" s="110" t="s">
        <v>428</v>
      </c>
      <c r="P21" t="s">
        <v>501</v>
      </c>
      <c r="Q21" s="126" t="s">
        <v>505</v>
      </c>
    </row>
    <row r="22" spans="1:17">
      <c r="A22" s="126" t="s">
        <v>454</v>
      </c>
      <c r="B22" s="126" t="s">
        <v>451</v>
      </c>
      <c r="C22" s="122">
        <f>'Processed Results'!H27</f>
        <v>30731.55</v>
      </c>
      <c r="D22" s="122">
        <f>'Processed Results'!I27</f>
        <v>30919.39</v>
      </c>
      <c r="E22" s="122">
        <f>'Processed Results'!K27</f>
        <v>8950.7199999999993</v>
      </c>
      <c r="F22" s="122">
        <f>'Processed Results'!L27</f>
        <v>9242.4699999999993</v>
      </c>
      <c r="G22" s="122">
        <f>'Processed Results'!N27</f>
        <v>9906.17</v>
      </c>
      <c r="H22" s="122">
        <f>'Processed Results'!O27</f>
        <v>8375.19</v>
      </c>
      <c r="I22" s="122">
        <f>'Processed Results'!Q27</f>
        <v>496.5</v>
      </c>
      <c r="J22" s="122">
        <f>'Processed Results'!R27</f>
        <v>415.19</v>
      </c>
      <c r="K22" s="125">
        <f t="shared" si="4"/>
        <v>50084.939999999995</v>
      </c>
      <c r="L22" s="125">
        <f t="shared" si="5"/>
        <v>48952.240000000005</v>
      </c>
      <c r="O22" s="122">
        <f>K13</f>
        <v>1.9805560726322626</v>
      </c>
      <c r="P22" s="122">
        <f>L13</f>
        <v>1.4728831366433714</v>
      </c>
      <c r="Q22" s="97">
        <f>(P22-O22)/O22</f>
        <v>-0.25632848420906723</v>
      </c>
    </row>
    <row r="23" spans="1:17">
      <c r="A23" s="126" t="s">
        <v>455</v>
      </c>
      <c r="B23" s="126" t="s">
        <v>451</v>
      </c>
      <c r="C23" s="122">
        <f>'Processed Results'!H28</f>
        <v>1291387.3999999999</v>
      </c>
      <c r="D23" s="122">
        <f>'Processed Results'!I28</f>
        <v>1299280.8999999999</v>
      </c>
      <c r="E23" s="122">
        <f>'Processed Results'!K28</f>
        <v>376123.09</v>
      </c>
      <c r="F23" s="122">
        <f>'Processed Results'!L28</f>
        <v>388382.78</v>
      </c>
      <c r="G23" s="122">
        <f>'Processed Results'!N28</f>
        <v>416272.79</v>
      </c>
      <c r="H23" s="122">
        <f>'Processed Results'!O28</f>
        <v>351938.44</v>
      </c>
      <c r="I23" s="122">
        <f>'Processed Results'!Q28</f>
        <v>20863.5</v>
      </c>
      <c r="J23" s="122">
        <f>'Processed Results'!R28</f>
        <v>17447.099999999999</v>
      </c>
      <c r="K23" s="125">
        <f t="shared" si="4"/>
        <v>2104646.7800000003</v>
      </c>
      <c r="L23" s="125">
        <f t="shared" si="5"/>
        <v>2057049.22</v>
      </c>
    </row>
    <row r="24" spans="1:17">
      <c r="A24" t="s">
        <v>461</v>
      </c>
      <c r="B24" s="126" t="s">
        <v>457</v>
      </c>
      <c r="C24" s="122">
        <f>'Processed Results'!H41</f>
        <v>53.18</v>
      </c>
      <c r="D24" s="122">
        <f>'Processed Results'!I41</f>
        <v>58.16</v>
      </c>
      <c r="E24" s="122">
        <f>'Processed Results'!K41</f>
        <v>19.940000000000001</v>
      </c>
      <c r="F24" s="122">
        <f>'Processed Results'!L41</f>
        <v>21.18</v>
      </c>
      <c r="G24" s="122">
        <f>'Processed Results'!N41</f>
        <v>22.16</v>
      </c>
      <c r="H24" s="122">
        <f>'Processed Results'!O41</f>
        <v>24.51</v>
      </c>
      <c r="I24" s="122">
        <f>'Processed Results'!Q41</f>
        <v>1.19</v>
      </c>
      <c r="J24" s="122">
        <f>'Processed Results'!R41</f>
        <v>1.27</v>
      </c>
      <c r="K24" s="125">
        <f t="shared" si="4"/>
        <v>96.47</v>
      </c>
      <c r="L24" s="125">
        <f t="shared" si="5"/>
        <v>105.12</v>
      </c>
    </row>
    <row r="25" spans="1:17">
      <c r="A25" t="s">
        <v>462</v>
      </c>
      <c r="B25" s="126" t="s">
        <v>457</v>
      </c>
      <c r="C25" s="122">
        <f>'Processed Results'!H42</f>
        <v>336364.04</v>
      </c>
      <c r="D25" s="122">
        <f>'Processed Results'!I42</f>
        <v>402703.94</v>
      </c>
      <c r="E25" s="122">
        <f>'Processed Results'!K42</f>
        <v>125367.38</v>
      </c>
      <c r="F25" s="122">
        <f>'Processed Results'!L42</f>
        <v>191907.58</v>
      </c>
      <c r="G25" s="122">
        <f>'Processed Results'!N42</f>
        <v>99971.73</v>
      </c>
      <c r="H25" s="122">
        <f>'Processed Results'!O42</f>
        <v>82004.639999999999</v>
      </c>
      <c r="I25" s="122">
        <f>'Processed Results'!Q42</f>
        <v>12030.02</v>
      </c>
      <c r="J25" s="122">
        <f>'Processed Results'!R42</f>
        <v>9264.3799999999992</v>
      </c>
      <c r="K25" s="125">
        <f t="shared" si="4"/>
        <v>573733.17000000004</v>
      </c>
      <c r="L25" s="125">
        <f t="shared" si="5"/>
        <v>685880.54</v>
      </c>
    </row>
    <row r="26" spans="1:17">
      <c r="A26" s="126"/>
      <c r="B26" s="126"/>
      <c r="K26" s="125"/>
      <c r="L26" s="125"/>
    </row>
    <row r="27" spans="1:17">
      <c r="A27" s="126"/>
      <c r="B27" s="126"/>
      <c r="K27" s="125"/>
      <c r="L27" s="125"/>
    </row>
    <row r="28" spans="1:17">
      <c r="A28" s="126"/>
      <c r="K28" s="125"/>
      <c r="L28" s="125"/>
    </row>
    <row r="29" spans="1:17">
      <c r="A29" s="126" t="s">
        <v>525</v>
      </c>
      <c r="K29" s="125"/>
      <c r="L29" s="125"/>
    </row>
    <row r="30" spans="1:17">
      <c r="A30" s="126" t="s">
        <v>445</v>
      </c>
      <c r="B30" s="126" t="s">
        <v>504</v>
      </c>
      <c r="C30" s="95">
        <f t="shared" ref="C30:J31" si="6">C17*27/1000</f>
        <v>1482567.4949400001</v>
      </c>
      <c r="D30" s="95">
        <f t="shared" si="6"/>
        <v>1704103.45101</v>
      </c>
      <c r="E30" s="95">
        <f t="shared" si="6"/>
        <v>549296.91567000013</v>
      </c>
      <c r="F30" s="95">
        <f t="shared" si="6"/>
        <v>616680.26055000001</v>
      </c>
      <c r="G30" s="95">
        <f t="shared" si="6"/>
        <v>556743.22137000004</v>
      </c>
      <c r="H30" s="95">
        <f t="shared" si="6"/>
        <v>638279.57987999998</v>
      </c>
      <c r="I30" s="95">
        <f t="shared" si="6"/>
        <v>29779.809839999994</v>
      </c>
      <c r="J30" s="95">
        <f t="shared" si="6"/>
        <v>33006.782339999998</v>
      </c>
      <c r="K30" s="125">
        <f t="shared" ref="K30:K38" si="7">C30+E30+G30+I30</f>
        <v>2618387.4418199998</v>
      </c>
      <c r="L30" s="125">
        <f t="shared" ref="L30:L38" si="8">D30+F30+H30+J30</f>
        <v>2992070.0737799997</v>
      </c>
    </row>
    <row r="31" spans="1:17">
      <c r="A31" s="126" t="s">
        <v>447</v>
      </c>
      <c r="B31" s="126" t="s">
        <v>504</v>
      </c>
      <c r="C31" s="95">
        <f t="shared" si="6"/>
        <v>85663.355759999991</v>
      </c>
      <c r="D31" s="95">
        <f t="shared" si="6"/>
        <v>78188.559389999995</v>
      </c>
      <c r="E31" s="95">
        <f t="shared" si="6"/>
        <v>7727.9000400000014</v>
      </c>
      <c r="F31" s="95">
        <f t="shared" si="6"/>
        <v>10680.539040000001</v>
      </c>
      <c r="G31" s="95">
        <f t="shared" si="6"/>
        <v>36389.198160000007</v>
      </c>
      <c r="H31" s="95">
        <f t="shared" si="6"/>
        <v>35621.988839999998</v>
      </c>
      <c r="I31" s="95">
        <f t="shared" si="6"/>
        <v>698.90445</v>
      </c>
      <c r="J31" s="95">
        <f t="shared" si="6"/>
        <v>1328.64786</v>
      </c>
      <c r="K31" s="125">
        <f t="shared" si="7"/>
        <v>130479.35841000002</v>
      </c>
      <c r="L31" s="125">
        <f t="shared" si="8"/>
        <v>125819.73512999999</v>
      </c>
    </row>
    <row r="32" spans="1:17">
      <c r="A32" s="126" t="s">
        <v>450</v>
      </c>
      <c r="B32" s="126" t="s">
        <v>504</v>
      </c>
      <c r="C32" s="95">
        <f t="shared" ref="C32:J36" si="9">C19*1/1000</f>
        <v>15391.302960000001</v>
      </c>
      <c r="D32" s="95">
        <f t="shared" si="9"/>
        <v>26385.090789999998</v>
      </c>
      <c r="E32" s="95">
        <f t="shared" si="9"/>
        <v>5020.0754400000005</v>
      </c>
      <c r="F32" s="95">
        <f t="shared" si="9"/>
        <v>8688.5921199999993</v>
      </c>
      <c r="G32" s="95">
        <f t="shared" si="9"/>
        <v>20008.42772</v>
      </c>
      <c r="H32" s="95">
        <f t="shared" si="9"/>
        <v>27011.36591</v>
      </c>
      <c r="I32" s="95">
        <f t="shared" si="9"/>
        <v>898.61815999999999</v>
      </c>
      <c r="J32" s="95">
        <f t="shared" si="9"/>
        <v>1190.8176799999999</v>
      </c>
      <c r="K32" s="125">
        <f t="shared" si="7"/>
        <v>41318.424279999999</v>
      </c>
      <c r="L32" s="125">
        <f t="shared" si="8"/>
        <v>63275.866499999996</v>
      </c>
    </row>
    <row r="33" spans="1:17">
      <c r="A33" s="126" t="s">
        <v>452</v>
      </c>
      <c r="B33" s="126" t="s">
        <v>504</v>
      </c>
      <c r="C33" s="95">
        <f t="shared" si="9"/>
        <v>2610.2025099999996</v>
      </c>
      <c r="D33" s="95">
        <f t="shared" si="9"/>
        <v>3084.3905499999996</v>
      </c>
      <c r="E33" s="95">
        <f t="shared" si="9"/>
        <v>900.53585999999996</v>
      </c>
      <c r="F33" s="95">
        <f t="shared" si="9"/>
        <v>1078.6162099999999</v>
      </c>
      <c r="G33" s="95">
        <f t="shared" si="9"/>
        <v>495.78853999999995</v>
      </c>
      <c r="H33" s="95">
        <f t="shared" si="9"/>
        <v>637.41541000000007</v>
      </c>
      <c r="I33" s="95">
        <f t="shared" si="9"/>
        <v>29.677759999999999</v>
      </c>
      <c r="J33" s="95">
        <f t="shared" si="9"/>
        <v>37.963389999999997</v>
      </c>
      <c r="K33" s="125">
        <f t="shared" si="7"/>
        <v>4036.2046699999996</v>
      </c>
      <c r="L33" s="125">
        <f t="shared" si="8"/>
        <v>4838.3855599999997</v>
      </c>
    </row>
    <row r="34" spans="1:17">
      <c r="A34" s="126" t="s">
        <v>453</v>
      </c>
      <c r="B34" s="126" t="s">
        <v>504</v>
      </c>
      <c r="C34" s="95">
        <f t="shared" si="9"/>
        <v>44712.4038</v>
      </c>
      <c r="D34" s="95">
        <f t="shared" si="9"/>
        <v>44469.592240000005</v>
      </c>
      <c r="E34" s="95">
        <f t="shared" si="9"/>
        <v>14269.368109999999</v>
      </c>
      <c r="F34" s="95">
        <f t="shared" si="9"/>
        <v>14085.60161</v>
      </c>
      <c r="G34" s="95">
        <f t="shared" si="9"/>
        <v>17947.620190000001</v>
      </c>
      <c r="H34" s="95">
        <f t="shared" si="9"/>
        <v>17001.41577</v>
      </c>
      <c r="I34" s="95">
        <f t="shared" si="9"/>
        <v>907.70442000000003</v>
      </c>
      <c r="J34" s="95">
        <f t="shared" si="9"/>
        <v>835.41600000000005</v>
      </c>
      <c r="K34" s="125">
        <f t="shared" si="7"/>
        <v>77837.096519999992</v>
      </c>
      <c r="L34" s="125">
        <f t="shared" si="8"/>
        <v>76392.02562</v>
      </c>
    </row>
    <row r="35" spans="1:17">
      <c r="A35" s="126" t="s">
        <v>454</v>
      </c>
      <c r="B35" s="126" t="s">
        <v>504</v>
      </c>
      <c r="C35" s="95">
        <f t="shared" si="9"/>
        <v>30.731549999999999</v>
      </c>
      <c r="D35" s="95">
        <f t="shared" si="9"/>
        <v>30.91939</v>
      </c>
      <c r="E35" s="95">
        <f t="shared" si="9"/>
        <v>8.9507199999999987</v>
      </c>
      <c r="F35" s="95">
        <f t="shared" si="9"/>
        <v>9.2424699999999991</v>
      </c>
      <c r="G35" s="95">
        <f t="shared" si="9"/>
        <v>9.9061699999999995</v>
      </c>
      <c r="H35" s="95">
        <f t="shared" si="9"/>
        <v>8.3751899999999999</v>
      </c>
      <c r="I35" s="95">
        <f t="shared" si="9"/>
        <v>0.4965</v>
      </c>
      <c r="J35" s="95">
        <f t="shared" si="9"/>
        <v>0.41519</v>
      </c>
      <c r="K35" s="125">
        <f t="shared" si="7"/>
        <v>50.084939999999989</v>
      </c>
      <c r="L35" s="125">
        <f t="shared" si="8"/>
        <v>48.952239999999996</v>
      </c>
    </row>
    <row r="36" spans="1:17">
      <c r="A36" s="126" t="s">
        <v>455</v>
      </c>
      <c r="B36" s="126" t="s">
        <v>504</v>
      </c>
      <c r="C36" s="95">
        <f t="shared" si="9"/>
        <v>1291.3873999999998</v>
      </c>
      <c r="D36" s="95">
        <f t="shared" si="9"/>
        <v>1299.2809</v>
      </c>
      <c r="E36" s="95">
        <f t="shared" si="9"/>
        <v>376.12309000000005</v>
      </c>
      <c r="F36" s="95">
        <f t="shared" si="9"/>
        <v>388.38278000000003</v>
      </c>
      <c r="G36" s="95">
        <f t="shared" si="9"/>
        <v>416.27278999999999</v>
      </c>
      <c r="H36" s="95">
        <f t="shared" si="9"/>
        <v>351.93844000000001</v>
      </c>
      <c r="I36" s="95">
        <f t="shared" si="9"/>
        <v>20.863499999999998</v>
      </c>
      <c r="J36" s="95">
        <f t="shared" si="9"/>
        <v>17.447099999999999</v>
      </c>
      <c r="K36" s="125">
        <f t="shared" si="7"/>
        <v>2104.6467799999996</v>
      </c>
      <c r="L36" s="125">
        <f t="shared" si="8"/>
        <v>2057.0492199999999</v>
      </c>
    </row>
    <row r="37" spans="1:17">
      <c r="A37" t="s">
        <v>461</v>
      </c>
      <c r="B37" s="126" t="s">
        <v>504</v>
      </c>
      <c r="C37" s="95">
        <f t="shared" ref="C37:J38" si="10">C24*273/1000</f>
        <v>14.518139999999999</v>
      </c>
      <c r="D37" s="95">
        <f t="shared" si="10"/>
        <v>15.877679999999998</v>
      </c>
      <c r="E37" s="95">
        <f t="shared" si="10"/>
        <v>5.443620000000001</v>
      </c>
      <c r="F37" s="95">
        <f t="shared" si="10"/>
        <v>5.7821400000000001</v>
      </c>
      <c r="G37" s="95">
        <f t="shared" si="10"/>
        <v>6.0496800000000004</v>
      </c>
      <c r="H37" s="95">
        <f t="shared" si="10"/>
        <v>6.6912300000000009</v>
      </c>
      <c r="I37" s="95">
        <f t="shared" si="10"/>
        <v>0.32486999999999999</v>
      </c>
      <c r="J37" s="95">
        <f t="shared" si="10"/>
        <v>0.34670999999999996</v>
      </c>
      <c r="K37" s="125">
        <f t="shared" si="7"/>
        <v>26.336310000000001</v>
      </c>
      <c r="L37" s="125">
        <f t="shared" si="8"/>
        <v>28.697759999999999</v>
      </c>
    </row>
    <row r="38" spans="1:17">
      <c r="A38" t="s">
        <v>462</v>
      </c>
      <c r="B38" s="126" t="s">
        <v>504</v>
      </c>
      <c r="C38" s="95">
        <f t="shared" si="10"/>
        <v>91827.382919999989</v>
      </c>
      <c r="D38" s="95">
        <f t="shared" si="10"/>
        <v>109938.17562000001</v>
      </c>
      <c r="E38" s="95">
        <f t="shared" si="10"/>
        <v>34225.294740000005</v>
      </c>
      <c r="F38" s="95">
        <f t="shared" si="10"/>
        <v>52390.769339999999</v>
      </c>
      <c r="G38" s="95">
        <f t="shared" si="10"/>
        <v>27292.282289999999</v>
      </c>
      <c r="H38" s="95">
        <f t="shared" si="10"/>
        <v>22387.26672</v>
      </c>
      <c r="I38" s="95">
        <f t="shared" si="10"/>
        <v>3284.1954599999999</v>
      </c>
      <c r="J38" s="95">
        <f t="shared" si="10"/>
        <v>2529.1757399999997</v>
      </c>
      <c r="K38" s="125">
        <f t="shared" si="7"/>
        <v>156629.15540999998</v>
      </c>
      <c r="L38" s="125">
        <f t="shared" si="8"/>
        <v>187245.38742000001</v>
      </c>
    </row>
    <row r="39" spans="1:17">
      <c r="A39" s="126"/>
      <c r="B39" s="126"/>
      <c r="O39" s="126" t="s">
        <v>526</v>
      </c>
    </row>
    <row r="40" spans="1:17">
      <c r="A40" s="126"/>
      <c r="O40" s="110" t="s">
        <v>428</v>
      </c>
      <c r="P40" t="s">
        <v>501</v>
      </c>
      <c r="Q40" s="126" t="s">
        <v>505</v>
      </c>
    </row>
    <row r="41" spans="1:17">
      <c r="A41" s="126"/>
      <c r="O41" s="127">
        <f>K7/1000</f>
        <v>1530312.01039</v>
      </c>
      <c r="P41" s="127">
        <f>L7/1000</f>
        <v>2343550.6110799997</v>
      </c>
      <c r="Q41" s="97">
        <f>(P41-O41)/O41</f>
        <v>0.53142012554861018</v>
      </c>
    </row>
    <row r="42" spans="1:17">
      <c r="A42" s="126"/>
      <c r="B42" s="110" t="s">
        <v>428</v>
      </c>
      <c r="C42" s="110" t="s">
        <v>501</v>
      </c>
      <c r="D42" s="110" t="s">
        <v>428</v>
      </c>
      <c r="E42" s="110" t="s">
        <v>501</v>
      </c>
    </row>
    <row r="43" spans="1:17">
      <c r="A43" s="126" t="s">
        <v>527</v>
      </c>
      <c r="B43" s="128">
        <f>K30</f>
        <v>2618387.4418199998</v>
      </c>
      <c r="C43" s="128">
        <f>L30</f>
        <v>2992070.0737799997</v>
      </c>
      <c r="D43" s="97">
        <f>B43/$B$49</f>
        <v>0.86390657548696537</v>
      </c>
      <c r="E43" s="97">
        <f>C43/$C$49</f>
        <v>0.86682042045042862</v>
      </c>
    </row>
    <row r="44" spans="1:17">
      <c r="A44" s="126" t="s">
        <v>528</v>
      </c>
      <c r="B44" s="128">
        <f>K31</f>
        <v>130479.35841000002</v>
      </c>
      <c r="C44" s="128">
        <f>L31</f>
        <v>125819.73512999999</v>
      </c>
      <c r="D44" s="97">
        <f t="shared" ref="D44:D48" si="11">B44/$B$49</f>
        <v>4.3050151362385172E-2</v>
      </c>
      <c r="E44" s="97">
        <f t="shared" ref="E44:E48" si="12">C44/$C$49</f>
        <v>3.6450722415255613E-2</v>
      </c>
    </row>
    <row r="45" spans="1:17">
      <c r="A45" t="s">
        <v>461</v>
      </c>
      <c r="B45" s="128">
        <f>K37</f>
        <v>26.336310000000001</v>
      </c>
      <c r="C45" s="128">
        <f>L37</f>
        <v>28.697759999999999</v>
      </c>
      <c r="D45" s="131">
        <f t="shared" si="11"/>
        <v>8.6893601075509623E-6</v>
      </c>
      <c r="E45" s="131">
        <f t="shared" si="12"/>
        <v>8.3139110300845692E-6</v>
      </c>
    </row>
    <row r="46" spans="1:17">
      <c r="A46" t="s">
        <v>462</v>
      </c>
      <c r="B46" s="128">
        <f>K38</f>
        <v>156629.15540999998</v>
      </c>
      <c r="C46" s="128">
        <f>L38</f>
        <v>187245.38742000001</v>
      </c>
      <c r="D46" s="97">
        <f t="shared" si="11"/>
        <v>5.1677973668257007E-2</v>
      </c>
      <c r="E46" s="97">
        <f t="shared" si="12"/>
        <v>5.4246097667678482E-2</v>
      </c>
    </row>
    <row r="47" spans="1:17">
      <c r="A47" s="126" t="s">
        <v>529</v>
      </c>
      <c r="B47" s="128">
        <f>K32+K33</f>
        <v>45354.628949999998</v>
      </c>
      <c r="C47" s="128">
        <f>L32+L33</f>
        <v>68114.252059999999</v>
      </c>
      <c r="D47" s="111">
        <f t="shared" si="11"/>
        <v>1.4964233922326474E-2</v>
      </c>
      <c r="E47" s="111">
        <f t="shared" si="12"/>
        <v>1.9733102217998708E-2</v>
      </c>
    </row>
    <row r="48" spans="1:17">
      <c r="A48" s="126" t="s">
        <v>530</v>
      </c>
      <c r="B48" s="128">
        <f>K34+K35+K36</f>
        <v>79991.828239999988</v>
      </c>
      <c r="C48" s="128">
        <f>L34+L35+L36</f>
        <v>78498.02708</v>
      </c>
      <c r="D48" s="111">
        <f t="shared" si="11"/>
        <v>2.6392376199958323E-2</v>
      </c>
      <c r="E48" s="111">
        <f t="shared" si="12"/>
        <v>2.2741343337608556E-2</v>
      </c>
    </row>
    <row r="49" spans="2:17">
      <c r="B49" s="2">
        <f>SUM(B43:B48)</f>
        <v>3030868.74914</v>
      </c>
      <c r="C49" s="2">
        <f>SUM(C43:C48)</f>
        <v>3451776.1732299994</v>
      </c>
    </row>
    <row r="58" spans="2:17">
      <c r="O58" s="126" t="s">
        <v>531</v>
      </c>
    </row>
    <row r="59" spans="2:17">
      <c r="O59" s="110" t="s">
        <v>428</v>
      </c>
      <c r="P59" t="s">
        <v>501</v>
      </c>
      <c r="Q59" s="126" t="s">
        <v>505</v>
      </c>
    </row>
    <row r="60" spans="2:17">
      <c r="O60" s="125">
        <f>K11</f>
        <v>4455117.6012499994</v>
      </c>
      <c r="P60" s="125">
        <f>L11</f>
        <v>5106445.6018099999</v>
      </c>
      <c r="Q60" s="97">
        <f>(P60-O60)/O60</f>
        <v>0.14619771212711724</v>
      </c>
    </row>
  </sheetData>
  <mergeCells count="6">
    <mergeCell ref="O2:P2"/>
    <mergeCell ref="C1:D1"/>
    <mergeCell ref="E1:F1"/>
    <mergeCell ref="G1:H1"/>
    <mergeCell ref="I1:J1"/>
    <mergeCell ref="K1:L1"/>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68A78-0B89-4A4C-A414-F8480E292E8E}">
  <sheetPr>
    <tabColor rgb="FFFFC000"/>
  </sheetPr>
  <dimension ref="A1:AC75"/>
  <sheetViews>
    <sheetView topLeftCell="C1" workbookViewId="0">
      <pane xSplit="4" ySplit="1" topLeftCell="G2" activePane="bottomRight" state="frozen"/>
      <selection pane="bottomRight" activeCell="F20" sqref="F20"/>
      <selection pane="bottomLeft" activeCell="C2" sqref="C2"/>
      <selection pane="topRight" activeCell="G1" sqref="G1"/>
    </sheetView>
  </sheetViews>
  <sheetFormatPr defaultColWidth="8.85546875" defaultRowHeight="14.45"/>
  <cols>
    <col min="6" max="6" width="67.85546875" bestFit="1" customWidth="1"/>
    <col min="7" max="8" width="14.85546875" bestFit="1" customWidth="1"/>
    <col min="9" max="9" width="7.7109375" bestFit="1" customWidth="1"/>
    <col min="10" max="10" width="14.85546875" bestFit="1" customWidth="1"/>
    <col min="11" max="11" width="7.7109375" bestFit="1" customWidth="1"/>
    <col min="12" max="12" width="15.85546875" bestFit="1" customWidth="1"/>
    <col min="13" max="13" width="5.140625" bestFit="1" customWidth="1"/>
    <col min="14" max="14" width="15.85546875" bestFit="1" customWidth="1"/>
    <col min="15" max="15" width="5.140625" bestFit="1" customWidth="1"/>
    <col min="16" max="16" width="15.85546875" bestFit="1" customWidth="1"/>
    <col min="17" max="17" width="5.140625" bestFit="1" customWidth="1"/>
    <col min="18" max="18" width="16.28515625" bestFit="1" customWidth="1"/>
    <col min="19" max="19" width="5.140625" bestFit="1" customWidth="1"/>
    <col min="20" max="20" width="15.85546875" bestFit="1" customWidth="1"/>
    <col min="21" max="21" width="5.140625" bestFit="1" customWidth="1"/>
    <col min="22" max="22" width="15.85546875" bestFit="1" customWidth="1"/>
    <col min="23" max="23" width="5.140625" bestFit="1" customWidth="1"/>
    <col min="24" max="24" width="21.85546875" bestFit="1" customWidth="1"/>
    <col min="26" max="26" width="21.85546875" bestFit="1" customWidth="1"/>
    <col min="28" max="28" width="23.28515625" bestFit="1" customWidth="1"/>
  </cols>
  <sheetData>
    <row r="1" spans="1:29" s="4" customFormat="1">
      <c r="A1" s="4" t="s">
        <v>430</v>
      </c>
      <c r="B1" s="4" t="s">
        <v>431</v>
      </c>
      <c r="C1" s="4" t="s">
        <v>432</v>
      </c>
      <c r="D1" s="4" t="s">
        <v>433</v>
      </c>
      <c r="E1" t="s">
        <v>372</v>
      </c>
      <c r="F1" s="4" t="s">
        <v>371</v>
      </c>
      <c r="G1" s="179" t="s">
        <v>532</v>
      </c>
      <c r="H1" s="179" t="s">
        <v>533</v>
      </c>
      <c r="I1" s="179" t="s">
        <v>437</v>
      </c>
      <c r="J1" s="179" t="s">
        <v>534</v>
      </c>
      <c r="K1" s="179" t="s">
        <v>437</v>
      </c>
      <c r="L1" s="180" t="s">
        <v>535</v>
      </c>
      <c r="M1" s="180" t="s">
        <v>437</v>
      </c>
      <c r="N1" s="180" t="s">
        <v>536</v>
      </c>
      <c r="O1" s="180" t="s">
        <v>437</v>
      </c>
      <c r="P1" s="180" t="s">
        <v>537</v>
      </c>
      <c r="Q1" s="180" t="s">
        <v>437</v>
      </c>
      <c r="R1" s="181" t="s">
        <v>538</v>
      </c>
      <c r="S1" s="181" t="s">
        <v>437</v>
      </c>
      <c r="T1" s="181" t="s">
        <v>539</v>
      </c>
      <c r="U1" s="181" t="s">
        <v>437</v>
      </c>
      <c r="V1" s="181" t="s">
        <v>540</v>
      </c>
      <c r="W1" s="181" t="s">
        <v>437</v>
      </c>
    </row>
    <row r="2" spans="1:29">
      <c r="A2" t="s">
        <v>354</v>
      </c>
      <c r="B2">
        <v>0</v>
      </c>
      <c r="C2" t="s">
        <v>444</v>
      </c>
      <c r="D2" t="s">
        <v>444</v>
      </c>
      <c r="E2" t="s">
        <v>446</v>
      </c>
      <c r="F2" t="s">
        <v>445</v>
      </c>
      <c r="G2" s="122">
        <v>239846487.94</v>
      </c>
      <c r="H2" s="122">
        <v>240716001.84999999</v>
      </c>
      <c r="I2" s="123">
        <v>3.5999999999999999E-3</v>
      </c>
      <c r="J2" s="122">
        <v>240749333.66999999</v>
      </c>
      <c r="K2" s="123">
        <v>3.8E-3</v>
      </c>
      <c r="L2" s="122">
        <v>404736681.06999999</v>
      </c>
      <c r="M2" s="123"/>
      <c r="N2" s="122">
        <v>412399366.45999998</v>
      </c>
      <c r="O2" s="123"/>
      <c r="P2" s="122">
        <v>410190656.01999998</v>
      </c>
      <c r="Q2" s="123"/>
      <c r="R2" s="122">
        <v>376761000.32999998</v>
      </c>
      <c r="S2" s="123"/>
      <c r="T2" s="122">
        <v>377438716.81</v>
      </c>
      <c r="U2" s="123"/>
      <c r="V2" s="122">
        <v>377541979.51999998</v>
      </c>
      <c r="W2" s="123"/>
      <c r="X2" s="122"/>
      <c r="Y2" s="123"/>
      <c r="Z2" s="122"/>
      <c r="AA2" s="123"/>
      <c r="AB2" s="122"/>
      <c r="AC2" s="123"/>
    </row>
    <row r="3" spans="1:29">
      <c r="A3" t="s">
        <v>354</v>
      </c>
      <c r="B3">
        <v>0</v>
      </c>
      <c r="C3" t="s">
        <v>444</v>
      </c>
      <c r="D3" t="s">
        <v>444</v>
      </c>
      <c r="E3" t="s">
        <v>446</v>
      </c>
      <c r="F3" t="s">
        <v>447</v>
      </c>
      <c r="G3" s="122">
        <v>13719027.34</v>
      </c>
      <c r="H3" s="122">
        <v>13769376.74</v>
      </c>
      <c r="I3" s="123">
        <v>3.7000000000000002E-3</v>
      </c>
      <c r="J3" s="122">
        <v>13779957.060000001</v>
      </c>
      <c r="K3" s="123">
        <v>4.4000000000000003E-3</v>
      </c>
      <c r="L3" s="122">
        <v>25189195.960000001</v>
      </c>
      <c r="M3" s="123"/>
      <c r="N3" s="122">
        <v>25688831.670000002</v>
      </c>
      <c r="O3" s="123"/>
      <c r="P3" s="122">
        <v>25365702.850000001</v>
      </c>
      <c r="Q3" s="123"/>
      <c r="R3" s="122">
        <v>23360586.350000001</v>
      </c>
      <c r="S3" s="123"/>
      <c r="T3" s="122">
        <v>23403654.760000002</v>
      </c>
      <c r="U3" s="123"/>
      <c r="V3" s="122">
        <v>23390393.510000002</v>
      </c>
      <c r="W3" s="123"/>
      <c r="X3" s="122"/>
      <c r="Y3" s="123"/>
      <c r="Z3" s="122"/>
      <c r="AA3" s="123"/>
      <c r="AB3" s="122"/>
      <c r="AC3" s="123"/>
    </row>
    <row r="4" spans="1:29">
      <c r="A4" t="s">
        <v>354</v>
      </c>
      <c r="B4">
        <v>0</v>
      </c>
      <c r="C4" t="s">
        <v>444</v>
      </c>
      <c r="D4" t="s">
        <v>444</v>
      </c>
      <c r="E4" t="s">
        <v>449</v>
      </c>
      <c r="F4" t="s">
        <v>448</v>
      </c>
      <c r="G4" s="122">
        <v>1097.57</v>
      </c>
      <c r="H4" s="122">
        <v>1098.52</v>
      </c>
      <c r="I4" s="123">
        <v>8.9999999999999998E-4</v>
      </c>
      <c r="J4" s="122">
        <v>1099.28</v>
      </c>
      <c r="K4" s="123">
        <v>1.6000000000000001E-3</v>
      </c>
      <c r="L4" s="122">
        <v>1182.56</v>
      </c>
      <c r="M4" s="123"/>
      <c r="N4" s="122">
        <v>1184.28</v>
      </c>
      <c r="O4" s="123"/>
      <c r="P4" s="122">
        <v>1186.03</v>
      </c>
      <c r="Q4" s="123"/>
      <c r="R4" s="122">
        <v>1175.8699999999999</v>
      </c>
      <c r="S4" s="123"/>
      <c r="T4" s="122">
        <v>1176.07</v>
      </c>
      <c r="U4" s="123"/>
      <c r="V4" s="122">
        <v>1176.8</v>
      </c>
      <c r="W4" s="123"/>
      <c r="X4" s="122"/>
      <c r="Y4" s="123"/>
      <c r="Z4" s="122"/>
      <c r="AA4" s="123"/>
      <c r="AB4" s="122"/>
      <c r="AC4" s="123"/>
    </row>
    <row r="5" spans="1:29">
      <c r="A5" t="s">
        <v>354</v>
      </c>
      <c r="B5">
        <v>0</v>
      </c>
      <c r="C5" t="s">
        <v>444</v>
      </c>
      <c r="D5" t="s">
        <v>444</v>
      </c>
      <c r="E5" t="s">
        <v>451</v>
      </c>
      <c r="F5" t="s">
        <v>450</v>
      </c>
      <c r="G5" s="122">
        <v>12482168.5</v>
      </c>
      <c r="H5" s="122">
        <v>12851660.34</v>
      </c>
      <c r="I5" s="123">
        <v>2.9600000000000001E-2</v>
      </c>
      <c r="J5" s="122">
        <v>13098821.470000001</v>
      </c>
      <c r="K5" s="123">
        <v>4.9399999999999999E-2</v>
      </c>
      <c r="L5" s="122">
        <v>19832570.870000001</v>
      </c>
      <c r="M5" s="123"/>
      <c r="N5" s="122">
        <v>20220828.530000001</v>
      </c>
      <c r="O5" s="123"/>
      <c r="P5" s="122">
        <v>21035277.52</v>
      </c>
      <c r="Q5" s="123"/>
      <c r="R5" s="122">
        <v>18571165.489999998</v>
      </c>
      <c r="S5" s="123"/>
      <c r="T5" s="122">
        <v>18644475.510000002</v>
      </c>
      <c r="U5" s="123"/>
      <c r="V5" s="122">
        <v>18818444.850000001</v>
      </c>
      <c r="W5" s="123"/>
      <c r="X5" s="122"/>
      <c r="Y5" s="123"/>
      <c r="Z5" s="122"/>
      <c r="AA5" s="123"/>
      <c r="AB5" s="122"/>
      <c r="AC5" s="123"/>
    </row>
    <row r="6" spans="1:29">
      <c r="A6" t="s">
        <v>354</v>
      </c>
      <c r="B6">
        <v>0</v>
      </c>
      <c r="C6" t="s">
        <v>444</v>
      </c>
      <c r="D6" t="s">
        <v>444</v>
      </c>
      <c r="E6" t="s">
        <v>451</v>
      </c>
      <c r="F6" t="s">
        <v>452</v>
      </c>
      <c r="G6" s="122">
        <v>5343191.6500000004</v>
      </c>
      <c r="H6" s="122">
        <v>5381145.1699999999</v>
      </c>
      <c r="I6" s="123">
        <v>7.1000000000000004E-3</v>
      </c>
      <c r="J6" s="122">
        <v>5396429.4500000002</v>
      </c>
      <c r="K6" s="123">
        <v>0.01</v>
      </c>
      <c r="L6" s="122">
        <v>13371039.210000001</v>
      </c>
      <c r="M6" s="123"/>
      <c r="N6" s="122">
        <v>13503910.4</v>
      </c>
      <c r="O6" s="123"/>
      <c r="P6" s="122">
        <v>13627710.279999999</v>
      </c>
      <c r="Q6" s="123"/>
      <c r="R6" s="122">
        <v>12885148.08</v>
      </c>
      <c r="S6" s="123"/>
      <c r="T6" s="122">
        <v>12896701.98</v>
      </c>
      <c r="U6" s="123"/>
      <c r="V6" s="122">
        <v>12920546.619999999</v>
      </c>
      <c r="W6" s="123"/>
      <c r="X6" s="122"/>
      <c r="Y6" s="123"/>
      <c r="Z6" s="122"/>
      <c r="AA6" s="123"/>
      <c r="AB6" s="122"/>
      <c r="AC6" s="123"/>
    </row>
    <row r="7" spans="1:29">
      <c r="A7" t="s">
        <v>354</v>
      </c>
      <c r="B7">
        <v>0</v>
      </c>
      <c r="C7" t="s">
        <v>444</v>
      </c>
      <c r="D7" t="s">
        <v>444</v>
      </c>
      <c r="E7" t="s">
        <v>451</v>
      </c>
      <c r="F7" t="s">
        <v>453</v>
      </c>
      <c r="G7" s="122">
        <v>268424949.97</v>
      </c>
      <c r="H7" s="122">
        <v>269543070.16000003</v>
      </c>
      <c r="I7" s="123">
        <v>4.1999999999999997E-3</v>
      </c>
      <c r="J7" s="122">
        <v>269265957.04000002</v>
      </c>
      <c r="K7" s="123">
        <v>3.0999999999999999E-3</v>
      </c>
      <c r="L7" s="122">
        <v>878392864.87</v>
      </c>
      <c r="M7" s="123"/>
      <c r="N7" s="122">
        <v>882415879.35000002</v>
      </c>
      <c r="O7" s="123"/>
      <c r="P7" s="122">
        <v>880515338.66999996</v>
      </c>
      <c r="Q7" s="123"/>
      <c r="R7" s="122">
        <v>863684350.09000003</v>
      </c>
      <c r="S7" s="123"/>
      <c r="T7" s="122">
        <v>864034941.72000003</v>
      </c>
      <c r="U7" s="123"/>
      <c r="V7" s="122">
        <v>863933345.03999996</v>
      </c>
      <c r="W7" s="123"/>
      <c r="X7" s="122"/>
      <c r="Y7" s="123"/>
      <c r="Z7" s="122"/>
      <c r="AA7" s="123"/>
      <c r="AB7" s="122"/>
      <c r="AC7" s="123"/>
    </row>
    <row r="8" spans="1:29">
      <c r="A8" t="s">
        <v>354</v>
      </c>
      <c r="B8">
        <v>0</v>
      </c>
      <c r="C8" t="s">
        <v>444</v>
      </c>
      <c r="D8" t="s">
        <v>444</v>
      </c>
      <c r="E8" t="s">
        <v>451</v>
      </c>
      <c r="F8" t="s">
        <v>454</v>
      </c>
      <c r="G8" s="122">
        <v>985517.97</v>
      </c>
      <c r="H8" s="122">
        <v>986552.31999999995</v>
      </c>
      <c r="I8" s="123">
        <v>1E-3</v>
      </c>
      <c r="J8" s="122">
        <v>986646.34</v>
      </c>
      <c r="K8" s="123">
        <v>1.1000000000000001E-3</v>
      </c>
      <c r="L8" s="122">
        <v>1732105.74</v>
      </c>
      <c r="M8" s="123"/>
      <c r="N8" s="122">
        <v>1737992.7</v>
      </c>
      <c r="O8" s="123"/>
      <c r="P8" s="122">
        <v>1737582.46</v>
      </c>
      <c r="Q8" s="123"/>
      <c r="R8" s="122">
        <v>1710577.96</v>
      </c>
      <c r="S8" s="123"/>
      <c r="T8" s="122">
        <v>1711089.87</v>
      </c>
      <c r="U8" s="123"/>
      <c r="V8" s="122">
        <v>1711262.89</v>
      </c>
      <c r="W8" s="123"/>
      <c r="X8" s="122"/>
      <c r="Y8" s="123"/>
      <c r="Z8" s="122"/>
      <c r="AA8" s="123"/>
      <c r="AB8" s="122"/>
      <c r="AC8" s="123"/>
    </row>
    <row r="9" spans="1:29">
      <c r="A9" t="s">
        <v>354</v>
      </c>
      <c r="B9">
        <v>0</v>
      </c>
      <c r="C9" t="s">
        <v>444</v>
      </c>
      <c r="D9" t="s">
        <v>444</v>
      </c>
      <c r="E9" t="s">
        <v>451</v>
      </c>
      <c r="F9" t="s">
        <v>455</v>
      </c>
      <c r="G9" s="122">
        <v>6823155.1100000003</v>
      </c>
      <c r="H9" s="122">
        <v>6846950.4400000004</v>
      </c>
      <c r="I9" s="123">
        <v>3.5000000000000001E-3</v>
      </c>
      <c r="J9" s="122">
        <v>6852748.5300000003</v>
      </c>
      <c r="K9" s="123">
        <v>4.3E-3</v>
      </c>
      <c r="L9" s="122">
        <v>39337078.859999999</v>
      </c>
      <c r="M9" s="123"/>
      <c r="N9" s="122">
        <v>39377578.149999999</v>
      </c>
      <c r="O9" s="123"/>
      <c r="P9" s="122">
        <v>39374755.920000002</v>
      </c>
      <c r="Q9" s="123"/>
      <c r="R9" s="122">
        <v>39188978.719999999</v>
      </c>
      <c r="S9" s="123"/>
      <c r="T9" s="122">
        <v>39192500.350000001</v>
      </c>
      <c r="U9" s="123"/>
      <c r="V9" s="122">
        <v>39193690.700000003</v>
      </c>
      <c r="W9" s="123"/>
      <c r="X9" s="122"/>
      <c r="Y9" s="123"/>
      <c r="Z9" s="122"/>
      <c r="AA9" s="123"/>
      <c r="AB9" s="122"/>
      <c r="AC9" s="123"/>
    </row>
    <row r="10" spans="1:29">
      <c r="A10" t="s">
        <v>354</v>
      </c>
      <c r="B10">
        <v>0</v>
      </c>
      <c r="C10" t="s">
        <v>444</v>
      </c>
      <c r="D10" t="s">
        <v>444</v>
      </c>
      <c r="E10" t="s">
        <v>457</v>
      </c>
      <c r="F10" t="s">
        <v>456</v>
      </c>
      <c r="G10" s="122">
        <v>1089103.58</v>
      </c>
      <c r="H10" s="122">
        <v>1093159.02</v>
      </c>
      <c r="I10" s="123">
        <v>3.7000000000000002E-3</v>
      </c>
      <c r="J10" s="122">
        <v>1092898.81</v>
      </c>
      <c r="K10" s="123">
        <v>3.5000000000000001E-3</v>
      </c>
      <c r="L10" s="122">
        <v>1997352.95</v>
      </c>
      <c r="M10" s="123"/>
      <c r="N10" s="122">
        <v>2031820.8</v>
      </c>
      <c r="O10" s="123"/>
      <c r="P10" s="122">
        <v>2019343.54</v>
      </c>
      <c r="Q10" s="123"/>
      <c r="R10" s="122">
        <v>1871555.17</v>
      </c>
      <c r="S10" s="123"/>
      <c r="T10" s="122">
        <v>1874613.84</v>
      </c>
      <c r="U10" s="123"/>
      <c r="V10" s="122">
        <v>1874678.96</v>
      </c>
      <c r="W10" s="123"/>
      <c r="X10" s="122"/>
      <c r="Y10" s="123"/>
      <c r="Z10" s="122"/>
      <c r="AA10" s="123"/>
      <c r="AB10" s="122"/>
      <c r="AC10" s="123"/>
    </row>
    <row r="11" spans="1:29">
      <c r="A11" t="s">
        <v>354</v>
      </c>
      <c r="B11">
        <v>0</v>
      </c>
      <c r="C11" t="s">
        <v>444</v>
      </c>
      <c r="D11" t="s">
        <v>444</v>
      </c>
      <c r="E11" t="s">
        <v>457</v>
      </c>
      <c r="F11" t="s">
        <v>458</v>
      </c>
      <c r="G11" s="122">
        <v>3487956.6</v>
      </c>
      <c r="H11" s="122">
        <v>3508813.68</v>
      </c>
      <c r="I11" s="123">
        <v>6.0000000000000001E-3</v>
      </c>
      <c r="J11" s="122">
        <v>3513079.75</v>
      </c>
      <c r="K11" s="123">
        <v>7.1999999999999998E-3</v>
      </c>
      <c r="L11" s="122">
        <v>6155278.4800000004</v>
      </c>
      <c r="M11" s="123"/>
      <c r="N11" s="122">
        <v>6377736.8799999999</v>
      </c>
      <c r="O11" s="123"/>
      <c r="P11" s="122">
        <v>6390691.9900000002</v>
      </c>
      <c r="Q11" s="123"/>
      <c r="R11" s="122">
        <v>5344774.7</v>
      </c>
      <c r="S11" s="123"/>
      <c r="T11" s="122">
        <v>5364397.6100000003</v>
      </c>
      <c r="U11" s="123"/>
      <c r="V11" s="122">
        <v>5379463.1699999999</v>
      </c>
      <c r="W11" s="123"/>
      <c r="X11" s="122"/>
      <c r="Y11" s="123"/>
      <c r="Z11" s="122"/>
      <c r="AA11" s="123"/>
      <c r="AB11" s="122"/>
      <c r="AC11" s="123"/>
    </row>
    <row r="12" spans="1:29">
      <c r="A12" t="s">
        <v>354</v>
      </c>
      <c r="B12">
        <v>0</v>
      </c>
      <c r="C12" t="s">
        <v>444</v>
      </c>
      <c r="D12" t="s">
        <v>444</v>
      </c>
      <c r="E12" t="s">
        <v>460</v>
      </c>
      <c r="F12" t="s">
        <v>459</v>
      </c>
      <c r="G12">
        <v>158.69999999999999</v>
      </c>
      <c r="H12">
        <v>158.41</v>
      </c>
      <c r="I12" s="123">
        <v>-1.8E-3</v>
      </c>
      <c r="J12">
        <v>158.24</v>
      </c>
      <c r="K12" s="123">
        <v>-2.8999999999999998E-3</v>
      </c>
      <c r="L12">
        <v>117.17</v>
      </c>
      <c r="M12" s="123"/>
      <c r="N12">
        <v>118.26</v>
      </c>
      <c r="O12" s="123"/>
      <c r="P12">
        <v>115.14</v>
      </c>
      <c r="Q12" s="123"/>
      <c r="R12">
        <v>112.61</v>
      </c>
      <c r="S12" s="123"/>
      <c r="T12">
        <v>112.65</v>
      </c>
      <c r="U12" s="123"/>
      <c r="V12">
        <v>112.41</v>
      </c>
      <c r="W12" s="123"/>
      <c r="Y12" s="123"/>
      <c r="AA12" s="123"/>
      <c r="AC12" s="123"/>
    </row>
    <row r="13" spans="1:29">
      <c r="A13" t="s">
        <v>354</v>
      </c>
      <c r="B13">
        <v>1</v>
      </c>
      <c r="C13" t="s">
        <v>444</v>
      </c>
      <c r="D13" t="s">
        <v>444</v>
      </c>
      <c r="E13" t="s">
        <v>381</v>
      </c>
      <c r="F13" t="s">
        <v>231</v>
      </c>
      <c r="G13">
        <v>0</v>
      </c>
      <c r="H13">
        <v>0</v>
      </c>
      <c r="I13" s="123">
        <v>0</v>
      </c>
      <c r="J13">
        <v>0</v>
      </c>
      <c r="K13" s="123">
        <v>0</v>
      </c>
      <c r="L13">
        <v>0</v>
      </c>
      <c r="M13" s="123"/>
      <c r="N13">
        <v>0</v>
      </c>
      <c r="O13" s="123"/>
      <c r="P13">
        <v>0</v>
      </c>
      <c r="Q13" s="123"/>
      <c r="R13">
        <v>0</v>
      </c>
      <c r="S13" s="123"/>
      <c r="T13">
        <v>0</v>
      </c>
      <c r="U13" s="123"/>
      <c r="V13">
        <v>0</v>
      </c>
      <c r="W13" s="123"/>
      <c r="Y13" s="123"/>
      <c r="AA13" s="123"/>
      <c r="AC13" s="123"/>
    </row>
    <row r="14" spans="1:29">
      <c r="A14" t="s">
        <v>354</v>
      </c>
      <c r="B14">
        <v>0</v>
      </c>
      <c r="C14" t="s">
        <v>444</v>
      </c>
      <c r="D14" t="s">
        <v>444</v>
      </c>
      <c r="E14" t="s">
        <v>457</v>
      </c>
      <c r="F14" t="s">
        <v>461</v>
      </c>
      <c r="G14">
        <v>123.55</v>
      </c>
      <c r="H14">
        <v>124.33</v>
      </c>
      <c r="I14" s="123">
        <v>6.3E-3</v>
      </c>
      <c r="J14">
        <v>124.3</v>
      </c>
      <c r="K14" s="123">
        <v>6.0000000000000001E-3</v>
      </c>
      <c r="L14">
        <v>317.38</v>
      </c>
      <c r="M14" s="123"/>
      <c r="N14">
        <v>325.49</v>
      </c>
      <c r="O14" s="123"/>
      <c r="P14">
        <v>304.77999999999997</v>
      </c>
      <c r="Q14" s="123"/>
      <c r="R14">
        <v>287.77999999999997</v>
      </c>
      <c r="S14" s="123"/>
      <c r="T14">
        <v>288.5</v>
      </c>
      <c r="U14" s="123"/>
      <c r="V14">
        <v>286.89</v>
      </c>
      <c r="W14" s="123"/>
      <c r="Y14" s="123"/>
      <c r="AA14" s="123"/>
      <c r="AC14" s="123"/>
    </row>
    <row r="15" spans="1:29">
      <c r="A15" t="s">
        <v>354</v>
      </c>
      <c r="B15">
        <v>0</v>
      </c>
      <c r="C15" t="s">
        <v>444</v>
      </c>
      <c r="D15" t="s">
        <v>444</v>
      </c>
      <c r="E15" t="s">
        <v>457</v>
      </c>
      <c r="F15" t="s">
        <v>462</v>
      </c>
      <c r="G15" s="122">
        <v>1525887.38</v>
      </c>
      <c r="H15" s="122">
        <v>1530926.98</v>
      </c>
      <c r="I15" s="123">
        <v>3.3E-3</v>
      </c>
      <c r="J15" s="122">
        <v>1529005.28</v>
      </c>
      <c r="K15" s="123">
        <v>2E-3</v>
      </c>
      <c r="L15" s="122">
        <v>3005808.37</v>
      </c>
      <c r="M15" s="123"/>
      <c r="N15" s="122">
        <v>3056729.45</v>
      </c>
      <c r="O15" s="123"/>
      <c r="P15" s="122">
        <v>3056273.71</v>
      </c>
      <c r="Q15" s="123"/>
      <c r="R15" s="122">
        <v>2819313.38</v>
      </c>
      <c r="S15" s="123"/>
      <c r="T15" s="122">
        <v>2823670.39</v>
      </c>
      <c r="U15" s="123"/>
      <c r="V15" s="122">
        <v>2825715.38</v>
      </c>
      <c r="W15" s="123"/>
      <c r="X15" s="122"/>
      <c r="Y15" s="123"/>
      <c r="Z15" s="122"/>
      <c r="AA15" s="123"/>
      <c r="AB15" s="122"/>
      <c r="AC15" s="123"/>
    </row>
    <row r="16" spans="1:29">
      <c r="A16" t="s">
        <v>354</v>
      </c>
      <c r="B16">
        <v>0</v>
      </c>
      <c r="C16" t="s">
        <v>444</v>
      </c>
      <c r="D16" t="s">
        <v>444</v>
      </c>
      <c r="E16" t="s">
        <v>30</v>
      </c>
      <c r="F16" t="s">
        <v>377</v>
      </c>
      <c r="G16" s="122">
        <v>6885153.5899999999</v>
      </c>
      <c r="H16" s="122">
        <v>6904470.46</v>
      </c>
      <c r="I16" s="123">
        <v>2.8E-3</v>
      </c>
      <c r="J16" s="122">
        <v>6900301.0199999996</v>
      </c>
      <c r="K16" s="123">
        <v>2.2000000000000001E-3</v>
      </c>
      <c r="L16" s="122">
        <v>11315565.210000001</v>
      </c>
      <c r="M16" s="123"/>
      <c r="N16" s="122">
        <v>11500807.710000001</v>
      </c>
      <c r="O16" s="123"/>
      <c r="P16" s="122">
        <v>11425354.609999999</v>
      </c>
      <c r="Q16" s="123"/>
      <c r="R16" s="122">
        <v>10638159.640000001</v>
      </c>
      <c r="S16" s="123"/>
      <c r="T16" s="122">
        <v>10654267.5</v>
      </c>
      <c r="U16" s="123"/>
      <c r="V16" s="122">
        <v>10650277.32</v>
      </c>
      <c r="W16" s="123"/>
      <c r="X16" s="122"/>
      <c r="Y16" s="123"/>
      <c r="Z16" s="122"/>
      <c r="AA16" s="123"/>
      <c r="AB16" s="122"/>
      <c r="AC16" s="123"/>
    </row>
    <row r="17" spans="1:29">
      <c r="A17" t="s">
        <v>354</v>
      </c>
      <c r="B17">
        <v>0</v>
      </c>
      <c r="C17" t="s">
        <v>444</v>
      </c>
      <c r="D17" t="s">
        <v>444</v>
      </c>
      <c r="E17" t="s">
        <v>446</v>
      </c>
      <c r="F17" t="s">
        <v>463</v>
      </c>
      <c r="G17" s="122">
        <v>253565515.27000001</v>
      </c>
      <c r="H17" s="122">
        <v>254485378.59</v>
      </c>
      <c r="I17" s="123">
        <v>3.5999999999999999E-3</v>
      </c>
      <c r="J17" s="122">
        <v>254529290.72999999</v>
      </c>
      <c r="K17" s="123">
        <v>3.8E-3</v>
      </c>
      <c r="L17" s="122">
        <v>429925877.02999997</v>
      </c>
      <c r="M17" s="123"/>
      <c r="N17" s="122">
        <v>438088198.13</v>
      </c>
      <c r="O17" s="123"/>
      <c r="P17" s="122">
        <v>435556358.87</v>
      </c>
      <c r="Q17" s="123"/>
      <c r="R17" s="122">
        <v>400121586.68000001</v>
      </c>
      <c r="S17" s="123"/>
      <c r="T17" s="122">
        <v>400842371.56999999</v>
      </c>
      <c r="U17" s="123"/>
      <c r="V17" s="122">
        <v>400932373.04000002</v>
      </c>
      <c r="W17" s="123"/>
      <c r="X17" s="122"/>
      <c r="Y17" s="123"/>
      <c r="Z17" s="122"/>
      <c r="AA17" s="123"/>
      <c r="AB17" s="122"/>
      <c r="AC17" s="123"/>
    </row>
    <row r="18" spans="1:29">
      <c r="A18" t="s">
        <v>354</v>
      </c>
      <c r="B18">
        <v>0</v>
      </c>
      <c r="C18" t="s">
        <v>444</v>
      </c>
      <c r="D18" t="s">
        <v>444</v>
      </c>
      <c r="E18" t="s">
        <v>451</v>
      </c>
      <c r="F18" t="s">
        <v>464</v>
      </c>
      <c r="G18" s="122">
        <v>294058983.19999999</v>
      </c>
      <c r="H18" s="122">
        <v>295609378.43000001</v>
      </c>
      <c r="I18" s="123">
        <v>5.3E-3</v>
      </c>
      <c r="J18" s="122">
        <v>295600602.82999998</v>
      </c>
      <c r="K18" s="123">
        <v>5.1999999999999998E-3</v>
      </c>
      <c r="L18" s="122">
        <v>952665659.55999994</v>
      </c>
      <c r="M18" s="123"/>
      <c r="N18" s="122">
        <v>957256189.13999999</v>
      </c>
      <c r="O18" s="123"/>
      <c r="P18" s="122">
        <v>956290664.85000002</v>
      </c>
      <c r="Q18" s="123"/>
      <c r="R18" s="122">
        <v>936040220.34000003</v>
      </c>
      <c r="S18" s="123"/>
      <c r="T18" s="122">
        <v>936479709.42999995</v>
      </c>
      <c r="U18" s="123"/>
      <c r="V18" s="122">
        <v>936577290.09000003</v>
      </c>
      <c r="W18" s="123"/>
      <c r="X18" s="122"/>
      <c r="Y18" s="123"/>
      <c r="Z18" s="122"/>
      <c r="AA18" s="123"/>
      <c r="AB18" s="122"/>
      <c r="AC18" s="123"/>
    </row>
    <row r="19" spans="1:29">
      <c r="A19" t="s">
        <v>354</v>
      </c>
      <c r="B19">
        <v>0</v>
      </c>
      <c r="C19" t="s">
        <v>444</v>
      </c>
      <c r="D19" t="s">
        <v>444</v>
      </c>
      <c r="E19" t="s">
        <v>466</v>
      </c>
      <c r="F19" t="s">
        <v>465</v>
      </c>
      <c r="G19" s="122">
        <v>7556928881.1000004</v>
      </c>
      <c r="H19" s="122">
        <v>7584691608.5799999</v>
      </c>
      <c r="I19" s="123">
        <v>3.7000000000000002E-3</v>
      </c>
      <c r="J19" s="122">
        <v>7585343826.8599997</v>
      </c>
      <c r="K19" s="123">
        <v>3.8E-3</v>
      </c>
      <c r="L19" s="122">
        <v>13381336666.75</v>
      </c>
      <c r="M19" s="123"/>
      <c r="N19" s="122">
        <v>13620213537.68</v>
      </c>
      <c r="O19" s="123"/>
      <c r="P19" s="122">
        <v>13550758282.92</v>
      </c>
      <c r="Q19" s="123"/>
      <c r="R19" s="122">
        <v>12509074177.040001</v>
      </c>
      <c r="S19" s="123"/>
      <c r="T19" s="122">
        <v>12530164519.91</v>
      </c>
      <c r="U19" s="123"/>
      <c r="V19" s="122">
        <v>12533249982.610001</v>
      </c>
      <c r="W19" s="123"/>
      <c r="X19" s="122"/>
      <c r="Y19" s="123"/>
      <c r="Z19" s="122"/>
      <c r="AA19" s="123"/>
      <c r="AB19" s="122"/>
      <c r="AC19" s="123"/>
    </row>
    <row r="20" spans="1:29">
      <c r="A20" t="s">
        <v>354</v>
      </c>
      <c r="B20">
        <v>0</v>
      </c>
      <c r="C20" t="s">
        <v>444</v>
      </c>
      <c r="D20" t="s">
        <v>444</v>
      </c>
      <c r="E20" t="s">
        <v>457</v>
      </c>
      <c r="F20" t="s">
        <v>467</v>
      </c>
      <c r="G20" s="122">
        <v>1526010.94</v>
      </c>
      <c r="H20" s="122">
        <v>1531051.31</v>
      </c>
      <c r="I20" s="123">
        <v>3.3E-3</v>
      </c>
      <c r="J20" s="122">
        <v>1529129.58</v>
      </c>
      <c r="K20" s="123">
        <v>2E-3</v>
      </c>
      <c r="L20" s="122">
        <v>3006125.74</v>
      </c>
      <c r="M20" s="123"/>
      <c r="N20" s="122">
        <v>3057054.94</v>
      </c>
      <c r="O20" s="123"/>
      <c r="P20" s="122">
        <v>3056578.49</v>
      </c>
      <c r="Q20" s="123"/>
      <c r="R20" s="122">
        <v>2819601.16</v>
      </c>
      <c r="S20" s="123"/>
      <c r="T20" s="122">
        <v>2823958.89</v>
      </c>
      <c r="U20" s="123"/>
      <c r="V20" s="122">
        <v>2826002.27</v>
      </c>
      <c r="W20" s="123"/>
      <c r="X20" s="122"/>
      <c r="Y20" s="123"/>
      <c r="Z20" s="122"/>
      <c r="AA20" s="123"/>
      <c r="AB20" s="122"/>
      <c r="AC20" s="123"/>
    </row>
    <row r="21" spans="1:29">
      <c r="A21" t="s">
        <v>354</v>
      </c>
      <c r="B21">
        <v>0</v>
      </c>
      <c r="C21" t="s">
        <v>468</v>
      </c>
      <c r="D21" t="s">
        <v>469</v>
      </c>
      <c r="E21" t="s">
        <v>446</v>
      </c>
      <c r="F21" t="s">
        <v>445</v>
      </c>
      <c r="G21" s="122">
        <v>2256666.7599999998</v>
      </c>
      <c r="H21" s="122">
        <v>3126180.67</v>
      </c>
      <c r="I21" s="123">
        <v>0.38529999999999998</v>
      </c>
      <c r="J21" s="122">
        <v>3159512.49</v>
      </c>
      <c r="K21" s="123">
        <v>0.40010000000000001</v>
      </c>
      <c r="L21" s="122">
        <v>30690021.41</v>
      </c>
      <c r="M21" s="123"/>
      <c r="N21" s="122">
        <v>38352706.799999997</v>
      </c>
      <c r="O21" s="123"/>
      <c r="P21" s="122">
        <v>36143996.359999999</v>
      </c>
      <c r="Q21" s="123"/>
      <c r="R21" s="122">
        <v>2714340.67</v>
      </c>
      <c r="S21" s="123"/>
      <c r="T21" s="122">
        <v>3392057.15</v>
      </c>
      <c r="U21" s="123"/>
      <c r="V21" s="122">
        <v>3495319.86</v>
      </c>
      <c r="W21" s="123"/>
      <c r="X21" s="122"/>
      <c r="Y21" s="123"/>
      <c r="Z21" s="122"/>
      <c r="AA21" s="123"/>
      <c r="AB21" s="122"/>
      <c r="AC21" s="123"/>
    </row>
    <row r="22" spans="1:29">
      <c r="A22" t="s">
        <v>354</v>
      </c>
      <c r="B22">
        <v>0</v>
      </c>
      <c r="C22" t="s">
        <v>468</v>
      </c>
      <c r="D22" t="s">
        <v>469</v>
      </c>
      <c r="E22" t="s">
        <v>446</v>
      </c>
      <c r="F22" t="s">
        <v>447</v>
      </c>
      <c r="G22" s="122">
        <v>130672.75</v>
      </c>
      <c r="H22" s="122">
        <v>181022.16</v>
      </c>
      <c r="I22" s="123">
        <v>0.38529999999999998</v>
      </c>
      <c r="J22" s="122">
        <v>191602.47</v>
      </c>
      <c r="K22" s="123">
        <v>0.46629999999999999</v>
      </c>
      <c r="L22" s="122">
        <v>2001104.03</v>
      </c>
      <c r="M22" s="123"/>
      <c r="N22" s="122">
        <v>2500739.7400000002</v>
      </c>
      <c r="O22" s="123"/>
      <c r="P22" s="122">
        <v>2177610.92</v>
      </c>
      <c r="Q22" s="123"/>
      <c r="R22" s="122">
        <v>172494.42</v>
      </c>
      <c r="S22" s="123"/>
      <c r="T22" s="122">
        <v>215562.83</v>
      </c>
      <c r="U22" s="123"/>
      <c r="V22" s="122">
        <v>202301.58</v>
      </c>
      <c r="W22" s="123"/>
      <c r="X22" s="122"/>
      <c r="Y22" s="123"/>
      <c r="Z22" s="122"/>
      <c r="AA22" s="123"/>
      <c r="AB22" s="122"/>
      <c r="AC22" s="123"/>
    </row>
    <row r="23" spans="1:29">
      <c r="A23" t="s">
        <v>354</v>
      </c>
      <c r="B23">
        <v>0</v>
      </c>
      <c r="C23" t="s">
        <v>468</v>
      </c>
      <c r="D23" t="s">
        <v>469</v>
      </c>
      <c r="E23" t="s">
        <v>451</v>
      </c>
      <c r="F23" t="s">
        <v>470</v>
      </c>
      <c r="G23">
        <v>0</v>
      </c>
      <c r="H23">
        <v>0</v>
      </c>
      <c r="I23" s="123">
        <v>0</v>
      </c>
      <c r="J23">
        <v>0</v>
      </c>
      <c r="K23" s="123">
        <v>0</v>
      </c>
      <c r="L23">
        <v>0</v>
      </c>
      <c r="M23" s="123"/>
      <c r="N23">
        <v>0</v>
      </c>
      <c r="O23" s="123"/>
      <c r="P23">
        <v>0</v>
      </c>
      <c r="Q23" s="123"/>
      <c r="R23">
        <v>0</v>
      </c>
      <c r="S23" s="123"/>
      <c r="T23">
        <v>0</v>
      </c>
      <c r="U23" s="123"/>
      <c r="V23">
        <v>0</v>
      </c>
      <c r="W23" s="123"/>
      <c r="Y23" s="123"/>
      <c r="AA23" s="123"/>
      <c r="AC23" s="123"/>
    </row>
    <row r="24" spans="1:29">
      <c r="A24" t="s">
        <v>354</v>
      </c>
      <c r="B24">
        <v>0</v>
      </c>
      <c r="C24" t="s">
        <v>468</v>
      </c>
      <c r="D24" t="s">
        <v>469</v>
      </c>
      <c r="E24" t="s">
        <v>451</v>
      </c>
      <c r="F24" t="s">
        <v>450</v>
      </c>
      <c r="G24" s="122">
        <v>958990.72</v>
      </c>
      <c r="H24" s="122">
        <v>1328482.56</v>
      </c>
      <c r="I24" s="123">
        <v>0.38529999999999998</v>
      </c>
      <c r="J24" s="122">
        <v>1575643.69</v>
      </c>
      <c r="K24" s="123">
        <v>0.64300000000000002</v>
      </c>
      <c r="L24" s="122">
        <v>1555020</v>
      </c>
      <c r="M24" s="123"/>
      <c r="N24" s="122">
        <v>1943278.66</v>
      </c>
      <c r="O24" s="123"/>
      <c r="P24" s="122">
        <v>2757727.65</v>
      </c>
      <c r="Q24" s="123"/>
      <c r="R24" s="122">
        <v>293615.62</v>
      </c>
      <c r="S24" s="123"/>
      <c r="T24" s="122">
        <v>366925.64</v>
      </c>
      <c r="U24" s="123"/>
      <c r="V24" s="122">
        <v>540894.98</v>
      </c>
      <c r="W24" s="123"/>
      <c r="X24" s="122"/>
      <c r="Y24" s="123"/>
      <c r="Z24" s="122"/>
      <c r="AA24" s="123"/>
      <c r="AB24" s="122"/>
      <c r="AC24" s="123"/>
    </row>
    <row r="25" spans="1:29">
      <c r="A25" t="s">
        <v>354</v>
      </c>
      <c r="B25">
        <v>0</v>
      </c>
      <c r="C25" t="s">
        <v>468</v>
      </c>
      <c r="D25" t="s">
        <v>469</v>
      </c>
      <c r="E25" t="s">
        <v>451</v>
      </c>
      <c r="F25" t="s">
        <v>452</v>
      </c>
      <c r="G25" s="122">
        <v>98505.23</v>
      </c>
      <c r="H25" s="122">
        <v>136458.75</v>
      </c>
      <c r="I25" s="123">
        <v>0.38529999999999998</v>
      </c>
      <c r="J25" s="122">
        <v>151743.03</v>
      </c>
      <c r="K25" s="123">
        <v>0.54049999999999998</v>
      </c>
      <c r="L25" s="122">
        <v>532165.92000000004</v>
      </c>
      <c r="M25" s="123"/>
      <c r="N25" s="122">
        <v>665037.11</v>
      </c>
      <c r="O25" s="123"/>
      <c r="P25" s="122">
        <v>788836.98</v>
      </c>
      <c r="Q25" s="123"/>
      <c r="R25" s="122">
        <v>46274.78</v>
      </c>
      <c r="S25" s="123"/>
      <c r="T25" s="122">
        <v>57828.68</v>
      </c>
      <c r="U25" s="123"/>
      <c r="V25" s="122">
        <v>81673.320000000007</v>
      </c>
      <c r="W25" s="123"/>
      <c r="X25" s="122"/>
      <c r="Y25" s="123"/>
      <c r="Z25" s="122"/>
      <c r="AA25" s="123"/>
      <c r="AB25" s="122"/>
      <c r="AC25" s="123"/>
    </row>
    <row r="26" spans="1:29">
      <c r="A26" t="s">
        <v>354</v>
      </c>
      <c r="B26">
        <v>0</v>
      </c>
      <c r="C26" t="s">
        <v>468</v>
      </c>
      <c r="D26" t="s">
        <v>469</v>
      </c>
      <c r="E26" t="s">
        <v>451</v>
      </c>
      <c r="F26" t="s">
        <v>453</v>
      </c>
      <c r="G26" s="122">
        <v>2901961.37</v>
      </c>
      <c r="H26" s="122">
        <v>4020081.56</v>
      </c>
      <c r="I26" s="123">
        <v>0.38529999999999998</v>
      </c>
      <c r="J26" s="122">
        <v>3742968.44</v>
      </c>
      <c r="K26" s="123">
        <v>0.2898</v>
      </c>
      <c r="L26" s="122">
        <v>16112679.779999999</v>
      </c>
      <c r="M26" s="123"/>
      <c r="N26" s="122">
        <v>20135694.260000002</v>
      </c>
      <c r="O26" s="123"/>
      <c r="P26" s="122">
        <v>18235153.57</v>
      </c>
      <c r="Q26" s="123"/>
      <c r="R26" s="122">
        <v>1404164</v>
      </c>
      <c r="S26" s="123"/>
      <c r="T26" s="122">
        <v>1754756.62</v>
      </c>
      <c r="U26" s="123"/>
      <c r="V26" s="122">
        <v>1653159.94</v>
      </c>
      <c r="W26" s="123"/>
      <c r="X26" s="122"/>
      <c r="Y26" s="123"/>
      <c r="Z26" s="122"/>
      <c r="AA26" s="123"/>
      <c r="AB26" s="122"/>
      <c r="AC26" s="123"/>
    </row>
    <row r="27" spans="1:29">
      <c r="A27" t="s">
        <v>354</v>
      </c>
      <c r="B27">
        <v>0</v>
      </c>
      <c r="C27" t="s">
        <v>468</v>
      </c>
      <c r="D27" t="s">
        <v>469</v>
      </c>
      <c r="E27" t="s">
        <v>451</v>
      </c>
      <c r="F27" t="s">
        <v>454</v>
      </c>
      <c r="G27" s="122">
        <v>2684.34</v>
      </c>
      <c r="H27" s="122">
        <v>3718.69</v>
      </c>
      <c r="I27" s="123">
        <v>0.38529999999999998</v>
      </c>
      <c r="J27" s="122">
        <v>3812.71</v>
      </c>
      <c r="K27" s="123">
        <v>0.4204</v>
      </c>
      <c r="L27" s="122">
        <v>23578.02</v>
      </c>
      <c r="M27" s="123"/>
      <c r="N27" s="122">
        <v>29464.98</v>
      </c>
      <c r="O27" s="123"/>
      <c r="P27" s="122">
        <v>29054.74</v>
      </c>
      <c r="Q27" s="123"/>
      <c r="R27" s="122">
        <v>2050.2399999999998</v>
      </c>
      <c r="S27" s="123"/>
      <c r="T27" s="122">
        <v>2562.14</v>
      </c>
      <c r="U27" s="123"/>
      <c r="V27" s="122">
        <v>2735.17</v>
      </c>
      <c r="W27" s="123"/>
      <c r="Y27" s="123"/>
      <c r="AA27" s="123"/>
      <c r="AC27" s="123"/>
    </row>
    <row r="28" spans="1:29">
      <c r="A28" t="s">
        <v>354</v>
      </c>
      <c r="B28">
        <v>0</v>
      </c>
      <c r="C28" t="s">
        <v>468</v>
      </c>
      <c r="D28" t="s">
        <v>469</v>
      </c>
      <c r="E28" t="s">
        <v>451</v>
      </c>
      <c r="F28" t="s">
        <v>455</v>
      </c>
      <c r="G28" s="122">
        <v>61760.59</v>
      </c>
      <c r="H28" s="122">
        <v>85555.93</v>
      </c>
      <c r="I28" s="123">
        <v>0.38529999999999998</v>
      </c>
      <c r="J28" s="122">
        <v>91354.01</v>
      </c>
      <c r="K28" s="123">
        <v>0.47920000000000001</v>
      </c>
      <c r="L28" s="122">
        <v>162204.76</v>
      </c>
      <c r="M28" s="123"/>
      <c r="N28" s="122">
        <v>202704.05</v>
      </c>
      <c r="O28" s="123"/>
      <c r="P28" s="122">
        <v>199881.82</v>
      </c>
      <c r="Q28" s="123"/>
      <c r="R28" s="122">
        <v>14104.61</v>
      </c>
      <c r="S28" s="123"/>
      <c r="T28" s="122">
        <v>17626.240000000002</v>
      </c>
      <c r="U28" s="123"/>
      <c r="V28" s="122">
        <v>18816.59</v>
      </c>
      <c r="W28" s="123"/>
      <c r="X28" s="122"/>
      <c r="Y28" s="123"/>
      <c r="Z28" s="122"/>
      <c r="AA28" s="123"/>
      <c r="AB28" s="122"/>
      <c r="AC28" s="123"/>
    </row>
    <row r="29" spans="1:29">
      <c r="A29" t="s">
        <v>354</v>
      </c>
      <c r="B29">
        <v>0</v>
      </c>
      <c r="C29" t="s">
        <v>468</v>
      </c>
      <c r="D29" t="s">
        <v>469</v>
      </c>
      <c r="E29" t="s">
        <v>457</v>
      </c>
      <c r="F29" t="s">
        <v>456</v>
      </c>
      <c r="G29" s="122">
        <v>10525.2</v>
      </c>
      <c r="H29" s="122">
        <v>14580.64</v>
      </c>
      <c r="I29" s="123">
        <v>0.38529999999999998</v>
      </c>
      <c r="J29" s="122">
        <v>14320.43</v>
      </c>
      <c r="K29" s="123">
        <v>0.36059999999999998</v>
      </c>
      <c r="L29" s="122">
        <v>138048.12</v>
      </c>
      <c r="M29" s="123"/>
      <c r="N29" s="122">
        <v>172515.98</v>
      </c>
      <c r="O29" s="123"/>
      <c r="P29" s="122">
        <v>160038.71</v>
      </c>
      <c r="Q29" s="123"/>
      <c r="R29" s="122">
        <v>12250.34</v>
      </c>
      <c r="S29" s="123"/>
      <c r="T29" s="122">
        <v>15309.01</v>
      </c>
      <c r="U29" s="123"/>
      <c r="V29" s="122">
        <v>15374.13</v>
      </c>
      <c r="W29" s="123"/>
      <c r="X29" s="122"/>
      <c r="Y29" s="123"/>
      <c r="Z29" s="122"/>
      <c r="AA29" s="123"/>
      <c r="AB29" s="122"/>
      <c r="AC29" s="123"/>
    </row>
    <row r="30" spans="1:29">
      <c r="A30" t="s">
        <v>354</v>
      </c>
      <c r="B30">
        <v>0</v>
      </c>
      <c r="C30" t="s">
        <v>468</v>
      </c>
      <c r="D30" t="s">
        <v>469</v>
      </c>
      <c r="E30" t="s">
        <v>457</v>
      </c>
      <c r="F30" t="s">
        <v>458</v>
      </c>
      <c r="G30" s="122">
        <v>53057.1</v>
      </c>
      <c r="H30" s="122">
        <v>73504.47</v>
      </c>
      <c r="I30" s="123">
        <v>0.38540000000000002</v>
      </c>
      <c r="J30" s="122">
        <v>77602.03</v>
      </c>
      <c r="K30" s="123">
        <v>0.46260000000000001</v>
      </c>
      <c r="L30" s="122">
        <v>859112.47</v>
      </c>
      <c r="M30" s="123"/>
      <c r="N30" s="122">
        <v>1074088.1200000001</v>
      </c>
      <c r="O30" s="123"/>
      <c r="P30" s="122">
        <v>1087110.2</v>
      </c>
      <c r="Q30" s="123"/>
      <c r="R30" s="122">
        <v>76013.78</v>
      </c>
      <c r="S30" s="123"/>
      <c r="T30" s="122">
        <v>94996.44</v>
      </c>
      <c r="U30" s="123"/>
      <c r="V30" s="122">
        <v>109761.49</v>
      </c>
      <c r="W30" s="123"/>
      <c r="X30" s="122"/>
      <c r="Y30" s="123"/>
      <c r="Z30" s="122"/>
      <c r="AA30" s="123"/>
      <c r="AB30" s="122"/>
      <c r="AC30" s="123"/>
    </row>
    <row r="31" spans="1:29">
      <c r="A31" t="s">
        <v>354</v>
      </c>
      <c r="B31">
        <v>0</v>
      </c>
      <c r="C31" t="s">
        <v>468</v>
      </c>
      <c r="D31" t="s">
        <v>469</v>
      </c>
      <c r="E31" t="s">
        <v>449</v>
      </c>
      <c r="F31" t="s">
        <v>471</v>
      </c>
      <c r="G31">
        <v>0</v>
      </c>
      <c r="H31">
        <v>0</v>
      </c>
      <c r="I31" s="123">
        <v>0</v>
      </c>
      <c r="J31">
        <v>0</v>
      </c>
      <c r="K31" s="123">
        <v>0</v>
      </c>
      <c r="L31">
        <v>0</v>
      </c>
      <c r="M31" s="123"/>
      <c r="N31">
        <v>0</v>
      </c>
      <c r="O31" s="123"/>
      <c r="P31">
        <v>0</v>
      </c>
      <c r="Q31" s="123"/>
      <c r="R31">
        <v>0</v>
      </c>
      <c r="S31" s="123"/>
      <c r="T31">
        <v>0</v>
      </c>
      <c r="U31" s="123"/>
      <c r="V31">
        <v>0</v>
      </c>
      <c r="W31" s="123"/>
      <c r="Y31" s="123"/>
      <c r="AA31" s="123"/>
      <c r="AC31" s="123"/>
    </row>
    <row r="32" spans="1:29">
      <c r="A32" t="s">
        <v>354</v>
      </c>
      <c r="B32">
        <v>0</v>
      </c>
      <c r="C32" t="s">
        <v>468</v>
      </c>
      <c r="D32" t="s">
        <v>469</v>
      </c>
      <c r="E32" t="s">
        <v>451</v>
      </c>
      <c r="F32" t="s">
        <v>472</v>
      </c>
      <c r="G32" s="122">
        <v>16646087.189999999</v>
      </c>
      <c r="H32" s="122">
        <v>23059288.579999998</v>
      </c>
      <c r="I32" s="123">
        <v>0.38529999999999998</v>
      </c>
      <c r="J32" s="122">
        <v>24618438.609999999</v>
      </c>
      <c r="K32" s="123">
        <v>0.47889999999999999</v>
      </c>
      <c r="L32" s="122">
        <v>331632756.56999999</v>
      </c>
      <c r="M32" s="123"/>
      <c r="N32" s="122">
        <v>414434832.41000003</v>
      </c>
      <c r="O32" s="123"/>
      <c r="P32" s="122">
        <v>377870330.11000001</v>
      </c>
      <c r="Q32" s="123"/>
      <c r="R32" s="122">
        <v>22036740.510000002</v>
      </c>
      <c r="S32" s="123"/>
      <c r="T32" s="122">
        <v>27538879.07</v>
      </c>
      <c r="U32" s="123"/>
      <c r="V32" s="122">
        <v>30599806.649999999</v>
      </c>
      <c r="W32" s="123"/>
      <c r="X32" s="122"/>
      <c r="Y32" s="123"/>
      <c r="Z32" s="122"/>
      <c r="AA32" s="123"/>
      <c r="AB32" s="122"/>
      <c r="AC32" s="123"/>
    </row>
    <row r="33" spans="1:29">
      <c r="A33" t="s">
        <v>354</v>
      </c>
      <c r="B33">
        <v>0</v>
      </c>
      <c r="C33" t="s">
        <v>468</v>
      </c>
      <c r="D33" t="s">
        <v>469</v>
      </c>
      <c r="E33" t="s">
        <v>451</v>
      </c>
      <c r="F33" t="s">
        <v>473</v>
      </c>
      <c r="G33" s="122">
        <v>47005309.119999997</v>
      </c>
      <c r="H33" s="122">
        <v>65116300.68</v>
      </c>
      <c r="I33" s="123">
        <v>0.38529999999999998</v>
      </c>
      <c r="J33" s="122">
        <v>64574473.960000001</v>
      </c>
      <c r="K33" s="123">
        <v>0.37380000000000002</v>
      </c>
      <c r="L33" s="122">
        <v>625067151.51999998</v>
      </c>
      <c r="M33" s="123"/>
      <c r="N33" s="122">
        <v>781133935.23000002</v>
      </c>
      <c r="O33" s="123"/>
      <c r="P33" s="122">
        <v>748240787.89999998</v>
      </c>
      <c r="Q33" s="123"/>
      <c r="R33" s="122">
        <v>62429974.340000004</v>
      </c>
      <c r="S33" s="123"/>
      <c r="T33" s="122">
        <v>78017482.019999996</v>
      </c>
      <c r="U33" s="123"/>
      <c r="V33" s="122">
        <v>78041685.129999995</v>
      </c>
      <c r="W33" s="123"/>
      <c r="X33" s="122"/>
      <c r="Y33" s="123"/>
      <c r="Z33" s="122"/>
      <c r="AA33" s="123"/>
      <c r="AB33" s="122"/>
      <c r="AC33" s="123"/>
    </row>
    <row r="34" spans="1:29">
      <c r="A34" t="s">
        <v>354</v>
      </c>
      <c r="B34">
        <v>0</v>
      </c>
      <c r="C34" t="s">
        <v>468</v>
      </c>
      <c r="D34" t="s">
        <v>469</v>
      </c>
      <c r="E34" t="s">
        <v>460</v>
      </c>
      <c r="F34" t="s">
        <v>459</v>
      </c>
      <c r="G34">
        <v>98.56</v>
      </c>
      <c r="H34">
        <v>98.56</v>
      </c>
      <c r="I34" s="123">
        <v>0</v>
      </c>
      <c r="J34">
        <v>93.92</v>
      </c>
      <c r="K34" s="123">
        <v>-4.7100000000000003E-2</v>
      </c>
      <c r="L34">
        <v>182.39</v>
      </c>
      <c r="M34" s="123"/>
      <c r="N34">
        <v>182.39</v>
      </c>
      <c r="O34" s="123"/>
      <c r="P34">
        <v>140.19999999999999</v>
      </c>
      <c r="Q34" s="123"/>
      <c r="R34">
        <v>139.38</v>
      </c>
      <c r="S34" s="123"/>
      <c r="T34">
        <v>139.38</v>
      </c>
      <c r="U34" s="123"/>
      <c r="V34">
        <v>109.66</v>
      </c>
      <c r="W34" s="123"/>
      <c r="Y34" s="123"/>
      <c r="AA34" s="123"/>
      <c r="AC34" s="123"/>
    </row>
    <row r="35" spans="1:29">
      <c r="A35" t="s">
        <v>354</v>
      </c>
      <c r="B35">
        <v>1</v>
      </c>
      <c r="C35" t="s">
        <v>468</v>
      </c>
      <c r="D35" t="s">
        <v>469</v>
      </c>
      <c r="E35" t="s">
        <v>381</v>
      </c>
      <c r="F35" t="s">
        <v>474</v>
      </c>
      <c r="G35">
        <v>0</v>
      </c>
      <c r="H35">
        <v>0</v>
      </c>
      <c r="I35" s="123">
        <v>0</v>
      </c>
      <c r="J35">
        <v>0</v>
      </c>
      <c r="K35" s="123">
        <v>0</v>
      </c>
      <c r="L35">
        <v>0</v>
      </c>
      <c r="M35" s="123"/>
      <c r="N35">
        <v>0</v>
      </c>
      <c r="O35" s="123"/>
      <c r="P35">
        <v>0</v>
      </c>
      <c r="Q35" s="123"/>
      <c r="R35">
        <v>0</v>
      </c>
      <c r="S35" s="123"/>
      <c r="T35">
        <v>0</v>
      </c>
      <c r="U35" s="123"/>
      <c r="V35">
        <v>0</v>
      </c>
      <c r="W35" s="123"/>
      <c r="Y35" s="123"/>
      <c r="AA35" s="123"/>
      <c r="AC35" s="123"/>
    </row>
    <row r="36" spans="1:29">
      <c r="A36" t="s">
        <v>354</v>
      </c>
      <c r="B36">
        <v>1</v>
      </c>
      <c r="C36" t="s">
        <v>468</v>
      </c>
      <c r="D36" t="s">
        <v>469</v>
      </c>
      <c r="E36" t="s">
        <v>381</v>
      </c>
      <c r="F36" t="s">
        <v>475</v>
      </c>
      <c r="G36">
        <v>0</v>
      </c>
      <c r="H36">
        <v>0</v>
      </c>
      <c r="I36" s="123">
        <v>0</v>
      </c>
      <c r="J36">
        <v>0</v>
      </c>
      <c r="K36" s="123">
        <v>0</v>
      </c>
      <c r="L36">
        <v>0</v>
      </c>
      <c r="M36" s="123"/>
      <c r="N36">
        <v>0</v>
      </c>
      <c r="O36" s="123"/>
      <c r="P36">
        <v>0</v>
      </c>
      <c r="Q36" s="123"/>
      <c r="R36">
        <v>0</v>
      </c>
      <c r="S36" s="123"/>
      <c r="T36">
        <v>0</v>
      </c>
      <c r="U36" s="123"/>
      <c r="V36">
        <v>0</v>
      </c>
      <c r="W36" s="123"/>
      <c r="Y36" s="123"/>
      <c r="AA36" s="123"/>
      <c r="AC36" s="123"/>
    </row>
    <row r="37" spans="1:29">
      <c r="A37" t="s">
        <v>354</v>
      </c>
      <c r="B37">
        <v>1</v>
      </c>
      <c r="C37" t="s">
        <v>468</v>
      </c>
      <c r="D37" t="s">
        <v>469</v>
      </c>
      <c r="E37" t="s">
        <v>381</v>
      </c>
      <c r="F37" t="s">
        <v>476</v>
      </c>
      <c r="G37" s="122">
        <v>255181.05</v>
      </c>
      <c r="H37" s="122">
        <v>353500.37</v>
      </c>
      <c r="I37" s="123">
        <v>0.38529999999999998</v>
      </c>
      <c r="J37" s="122">
        <v>404232.39</v>
      </c>
      <c r="K37" s="123">
        <v>0.58409999999999995</v>
      </c>
      <c r="L37" s="122">
        <v>1949315.75</v>
      </c>
      <c r="M37" s="123"/>
      <c r="N37" s="122">
        <v>2436020.9300000002</v>
      </c>
      <c r="O37" s="123"/>
      <c r="P37" s="122">
        <v>3540443.61</v>
      </c>
      <c r="Q37" s="123"/>
      <c r="R37" s="122">
        <v>169503.84</v>
      </c>
      <c r="S37" s="123"/>
      <c r="T37" s="122">
        <v>211825.6</v>
      </c>
      <c r="U37" s="123"/>
      <c r="V37" s="122">
        <v>455767.15</v>
      </c>
      <c r="W37" s="123"/>
      <c r="X37" s="122"/>
      <c r="Y37" s="123"/>
      <c r="Z37" s="122"/>
      <c r="AA37" s="123"/>
      <c r="AB37" s="122"/>
      <c r="AC37" s="123"/>
    </row>
    <row r="38" spans="1:29">
      <c r="A38" t="s">
        <v>354</v>
      </c>
      <c r="B38">
        <v>1</v>
      </c>
      <c r="C38" t="s">
        <v>468</v>
      </c>
      <c r="D38" t="s">
        <v>469</v>
      </c>
      <c r="E38" t="s">
        <v>381</v>
      </c>
      <c r="F38" t="s">
        <v>477</v>
      </c>
      <c r="G38" s="122">
        <v>606092.14</v>
      </c>
      <c r="H38" s="122">
        <v>839592.6</v>
      </c>
      <c r="I38" s="123">
        <v>0.38529999999999998</v>
      </c>
      <c r="J38" s="122">
        <v>933164.38</v>
      </c>
      <c r="K38" s="123">
        <v>0.53959999999999997</v>
      </c>
      <c r="L38" s="122">
        <v>4962799.01</v>
      </c>
      <c r="M38" s="123"/>
      <c r="N38" s="122">
        <v>6201910.46</v>
      </c>
      <c r="O38" s="123"/>
      <c r="P38" s="122">
        <v>6884404.4699999997</v>
      </c>
      <c r="Q38" s="123"/>
      <c r="R38" s="122">
        <v>431542.77</v>
      </c>
      <c r="S38" s="123"/>
      <c r="T38" s="122">
        <v>539290.89</v>
      </c>
      <c r="U38" s="123"/>
      <c r="V38" s="122">
        <v>702791.07</v>
      </c>
      <c r="W38" s="123"/>
      <c r="X38" s="122"/>
      <c r="Y38" s="123"/>
      <c r="Z38" s="122"/>
      <c r="AA38" s="123"/>
      <c r="AB38" s="122"/>
      <c r="AC38" s="123"/>
    </row>
    <row r="39" spans="1:29">
      <c r="A39" t="s">
        <v>354</v>
      </c>
      <c r="B39">
        <v>0</v>
      </c>
      <c r="C39" t="s">
        <v>468</v>
      </c>
      <c r="D39" t="s">
        <v>469</v>
      </c>
      <c r="E39" t="s">
        <v>460</v>
      </c>
      <c r="F39" t="s">
        <v>478</v>
      </c>
      <c r="G39">
        <v>37.81</v>
      </c>
      <c r="H39">
        <v>37.81</v>
      </c>
      <c r="I39" s="123">
        <v>0</v>
      </c>
      <c r="J39">
        <v>31.62</v>
      </c>
      <c r="K39" s="123">
        <v>-0.16389999999999999</v>
      </c>
      <c r="L39">
        <v>229.7</v>
      </c>
      <c r="M39" s="123"/>
      <c r="N39">
        <v>229.7</v>
      </c>
      <c r="O39" s="123"/>
      <c r="P39">
        <v>155.04</v>
      </c>
      <c r="Q39" s="123"/>
      <c r="R39">
        <v>121.5</v>
      </c>
      <c r="S39" s="123"/>
      <c r="T39">
        <v>121.5</v>
      </c>
      <c r="U39" s="123"/>
      <c r="V39">
        <v>82.45</v>
      </c>
      <c r="W39" s="123"/>
      <c r="Y39" s="123"/>
      <c r="AA39" s="123"/>
      <c r="AC39" s="123"/>
    </row>
    <row r="40" spans="1:29">
      <c r="A40" t="s">
        <v>354</v>
      </c>
      <c r="B40">
        <v>1</v>
      </c>
      <c r="C40" t="s">
        <v>468</v>
      </c>
      <c r="D40" t="s">
        <v>469</v>
      </c>
      <c r="E40" t="s">
        <v>381</v>
      </c>
      <c r="F40" t="s">
        <v>479</v>
      </c>
      <c r="G40" s="122">
        <v>35518175</v>
      </c>
      <c r="H40" s="122">
        <v>49203057.75</v>
      </c>
      <c r="I40" s="123">
        <v>0.38529999999999998</v>
      </c>
      <c r="J40" s="122">
        <v>58357173.880000003</v>
      </c>
      <c r="K40" s="123">
        <v>0.64300000000000002</v>
      </c>
      <c r="L40" s="122">
        <v>77751049.950000003</v>
      </c>
      <c r="M40" s="123"/>
      <c r="N40" s="122">
        <v>97163932.950000003</v>
      </c>
      <c r="O40" s="123"/>
      <c r="P40" s="122">
        <v>137886382.72</v>
      </c>
      <c r="Q40" s="123"/>
      <c r="R40" s="122">
        <v>14680780.92</v>
      </c>
      <c r="S40" s="123"/>
      <c r="T40" s="122">
        <v>18346282.199999999</v>
      </c>
      <c r="U40" s="123"/>
      <c r="V40" s="122">
        <v>27044748.899999999</v>
      </c>
      <c r="W40" s="123"/>
      <c r="X40" s="122"/>
      <c r="Y40" s="123"/>
      <c r="Z40" s="122"/>
      <c r="AA40" s="123"/>
      <c r="AB40" s="122"/>
      <c r="AC40" s="123"/>
    </row>
    <row r="41" spans="1:29">
      <c r="A41" t="s">
        <v>354</v>
      </c>
      <c r="B41">
        <v>0</v>
      </c>
      <c r="C41" t="s">
        <v>468</v>
      </c>
      <c r="D41" t="s">
        <v>469</v>
      </c>
      <c r="E41" t="s">
        <v>457</v>
      </c>
      <c r="F41" t="s">
        <v>461</v>
      </c>
      <c r="G41">
        <v>2.0299999999999998</v>
      </c>
      <c r="H41">
        <v>2.81</v>
      </c>
      <c r="I41" s="123">
        <v>0.38529999999999998</v>
      </c>
      <c r="J41">
        <v>2.77</v>
      </c>
      <c r="K41" s="123">
        <v>0.36830000000000002</v>
      </c>
      <c r="L41">
        <v>32.51</v>
      </c>
      <c r="M41" s="123"/>
      <c r="N41">
        <v>40.619999999999997</v>
      </c>
      <c r="O41" s="123"/>
      <c r="P41">
        <v>19.91</v>
      </c>
      <c r="Q41" s="123"/>
      <c r="R41">
        <v>2.91</v>
      </c>
      <c r="S41" s="123"/>
      <c r="T41">
        <v>3.63</v>
      </c>
      <c r="U41" s="123"/>
      <c r="V41">
        <v>2.02</v>
      </c>
      <c r="W41" s="123"/>
      <c r="Y41" s="123"/>
      <c r="AA41" s="123"/>
      <c r="AC41" s="123"/>
    </row>
    <row r="42" spans="1:29">
      <c r="A42" t="s">
        <v>354</v>
      </c>
      <c r="B42">
        <v>0</v>
      </c>
      <c r="C42" t="s">
        <v>468</v>
      </c>
      <c r="D42" t="s">
        <v>469</v>
      </c>
      <c r="E42" t="s">
        <v>457</v>
      </c>
      <c r="F42" t="s">
        <v>462</v>
      </c>
      <c r="G42" s="122">
        <v>13079.28</v>
      </c>
      <c r="H42" s="122">
        <v>18118.88</v>
      </c>
      <c r="I42" s="123">
        <v>0.38529999999999998</v>
      </c>
      <c r="J42" s="122">
        <v>16197.18</v>
      </c>
      <c r="K42" s="123">
        <v>0.2384</v>
      </c>
      <c r="L42" s="122">
        <v>203945.36</v>
      </c>
      <c r="M42" s="123"/>
      <c r="N42" s="122">
        <v>254866.45</v>
      </c>
      <c r="O42" s="123"/>
      <c r="P42" s="122">
        <v>254410.71</v>
      </c>
      <c r="Q42" s="123"/>
      <c r="R42" s="122">
        <v>17450.38</v>
      </c>
      <c r="S42" s="123"/>
      <c r="T42" s="122">
        <v>21807.39</v>
      </c>
      <c r="U42" s="123"/>
      <c r="V42" s="122">
        <v>23852.38</v>
      </c>
      <c r="W42" s="123"/>
      <c r="X42" s="122"/>
      <c r="Y42" s="123"/>
      <c r="Z42" s="122"/>
      <c r="AA42" s="123"/>
      <c r="AB42" s="122"/>
      <c r="AC42" s="123"/>
    </row>
    <row r="43" spans="1:29">
      <c r="A43" t="s">
        <v>354</v>
      </c>
      <c r="B43">
        <v>1</v>
      </c>
      <c r="C43" t="s">
        <v>468</v>
      </c>
      <c r="D43" t="s">
        <v>469</v>
      </c>
      <c r="E43" t="s">
        <v>30</v>
      </c>
      <c r="F43" t="s">
        <v>480</v>
      </c>
      <c r="G43">
        <v>0</v>
      </c>
      <c r="H43">
        <v>0</v>
      </c>
      <c r="I43" s="123">
        <v>0</v>
      </c>
      <c r="J43">
        <v>0</v>
      </c>
      <c r="K43" s="123">
        <v>0</v>
      </c>
      <c r="L43">
        <v>0</v>
      </c>
      <c r="M43" s="123"/>
      <c r="N43">
        <v>0</v>
      </c>
      <c r="O43" s="123"/>
      <c r="P43">
        <v>0</v>
      </c>
      <c r="Q43" s="123"/>
      <c r="R43">
        <v>0</v>
      </c>
      <c r="S43" s="123"/>
      <c r="T43">
        <v>0</v>
      </c>
      <c r="U43" s="123"/>
      <c r="V43">
        <v>0</v>
      </c>
      <c r="W43" s="123"/>
      <c r="Y43" s="123"/>
      <c r="AA43" s="123"/>
      <c r="AC43" s="123"/>
    </row>
    <row r="44" spans="1:29">
      <c r="A44" t="s">
        <v>354</v>
      </c>
      <c r="B44">
        <v>1</v>
      </c>
      <c r="C44" t="s">
        <v>468</v>
      </c>
      <c r="D44" t="s">
        <v>469</v>
      </c>
      <c r="E44" t="s">
        <v>30</v>
      </c>
      <c r="F44" t="s">
        <v>481</v>
      </c>
      <c r="G44">
        <v>0</v>
      </c>
      <c r="H44">
        <v>0</v>
      </c>
      <c r="I44" s="123">
        <v>0</v>
      </c>
      <c r="J44">
        <v>0</v>
      </c>
      <c r="K44" s="123">
        <v>0</v>
      </c>
      <c r="L44">
        <v>0</v>
      </c>
      <c r="M44" s="123"/>
      <c r="N44">
        <v>0</v>
      </c>
      <c r="O44" s="123"/>
      <c r="P44">
        <v>0</v>
      </c>
      <c r="Q44" s="123"/>
      <c r="R44">
        <v>0</v>
      </c>
      <c r="S44" s="123"/>
      <c r="T44">
        <v>0</v>
      </c>
      <c r="U44" s="123"/>
      <c r="V44">
        <v>0</v>
      </c>
      <c r="W44" s="123"/>
      <c r="Y44" s="123"/>
      <c r="AA44" s="123"/>
      <c r="AC44" s="123"/>
    </row>
    <row r="45" spans="1:29">
      <c r="A45" t="s">
        <v>354</v>
      </c>
      <c r="B45">
        <v>1</v>
      </c>
      <c r="C45" t="s">
        <v>468</v>
      </c>
      <c r="D45" t="s">
        <v>469</v>
      </c>
      <c r="E45" t="s">
        <v>30</v>
      </c>
      <c r="F45" t="s">
        <v>373</v>
      </c>
      <c r="G45" s="122">
        <v>5124.78</v>
      </c>
      <c r="H45" s="122">
        <v>7099.31</v>
      </c>
      <c r="I45" s="123">
        <v>0.38529999999999998</v>
      </c>
      <c r="J45" s="122">
        <v>7324.77</v>
      </c>
      <c r="K45" s="123">
        <v>0.42930000000000001</v>
      </c>
      <c r="L45" s="122">
        <v>65600.7</v>
      </c>
      <c r="M45" s="123"/>
      <c r="N45" s="122">
        <v>81979.88</v>
      </c>
      <c r="O45" s="123"/>
      <c r="P45" s="122">
        <v>94118.22</v>
      </c>
      <c r="Q45" s="123"/>
      <c r="R45" s="122">
        <v>5704.35</v>
      </c>
      <c r="S45" s="123"/>
      <c r="T45" s="122">
        <v>7128.61</v>
      </c>
      <c r="U45" s="123"/>
      <c r="V45" s="122">
        <v>10076.99</v>
      </c>
      <c r="W45" s="123"/>
      <c r="Y45" s="123"/>
      <c r="Z45" s="122"/>
      <c r="AA45" s="123"/>
      <c r="AB45" s="122"/>
      <c r="AC45" s="123"/>
    </row>
    <row r="46" spans="1:29">
      <c r="A46" t="s">
        <v>354</v>
      </c>
      <c r="B46">
        <v>1</v>
      </c>
      <c r="C46" t="s">
        <v>468</v>
      </c>
      <c r="D46" t="s">
        <v>469</v>
      </c>
      <c r="E46" t="s">
        <v>30</v>
      </c>
      <c r="F46" t="s">
        <v>374</v>
      </c>
      <c r="G46" s="122">
        <v>11451.24</v>
      </c>
      <c r="H46" s="122">
        <v>15862.9</v>
      </c>
      <c r="I46" s="123">
        <v>0.38529999999999998</v>
      </c>
      <c r="J46" s="122">
        <v>15806.88</v>
      </c>
      <c r="K46" s="123">
        <v>0.38040000000000002</v>
      </c>
      <c r="L46" s="122">
        <v>112179.15</v>
      </c>
      <c r="M46" s="123"/>
      <c r="N46" s="122">
        <v>140188.04</v>
      </c>
      <c r="O46" s="123"/>
      <c r="P46" s="122">
        <v>122606.13</v>
      </c>
      <c r="Q46" s="123"/>
      <c r="R46" s="122">
        <v>9754.6</v>
      </c>
      <c r="S46" s="123"/>
      <c r="T46" s="122">
        <v>12190.14</v>
      </c>
      <c r="U46" s="123"/>
      <c r="V46" s="122">
        <v>11644.94</v>
      </c>
      <c r="W46" s="123"/>
      <c r="X46" s="122"/>
      <c r="Y46" s="123"/>
      <c r="Z46" s="122"/>
      <c r="AA46" s="123"/>
      <c r="AB46" s="122"/>
      <c r="AC46" s="123"/>
    </row>
    <row r="47" spans="1:29">
      <c r="A47" t="s">
        <v>354</v>
      </c>
      <c r="B47">
        <v>1</v>
      </c>
      <c r="C47" t="s">
        <v>468</v>
      </c>
      <c r="D47" t="s">
        <v>469</v>
      </c>
      <c r="E47" t="s">
        <v>30</v>
      </c>
      <c r="F47" t="s">
        <v>375</v>
      </c>
      <c r="G47" s="122">
        <v>7922.58</v>
      </c>
      <c r="H47" s="122">
        <v>10975.09</v>
      </c>
      <c r="I47" s="123">
        <v>0.38529999999999998</v>
      </c>
      <c r="J47" s="122">
        <v>9832.0499999999993</v>
      </c>
      <c r="K47" s="123">
        <v>0.24099999999999999</v>
      </c>
      <c r="L47" s="122">
        <v>140035.16</v>
      </c>
      <c r="M47" s="123"/>
      <c r="N47" s="122">
        <v>174999.14</v>
      </c>
      <c r="O47" s="123"/>
      <c r="P47" s="122">
        <v>123506.59</v>
      </c>
      <c r="Q47" s="123"/>
      <c r="R47" s="122">
        <v>12176.84</v>
      </c>
      <c r="S47" s="123"/>
      <c r="T47" s="122">
        <v>15217.15</v>
      </c>
      <c r="U47" s="123"/>
      <c r="V47" s="122">
        <v>9463.01</v>
      </c>
      <c r="W47" s="123"/>
      <c r="X47" s="122"/>
      <c r="Y47" s="123"/>
      <c r="Z47" s="122"/>
      <c r="AA47" s="123"/>
      <c r="AB47" s="122"/>
      <c r="AC47" s="123"/>
    </row>
    <row r="48" spans="1:29">
      <c r="A48" t="s">
        <v>354</v>
      </c>
      <c r="B48">
        <v>1</v>
      </c>
      <c r="C48" t="s">
        <v>468</v>
      </c>
      <c r="D48" t="s">
        <v>469</v>
      </c>
      <c r="E48" t="s">
        <v>30</v>
      </c>
      <c r="F48" t="s">
        <v>376</v>
      </c>
      <c r="G48" s="122">
        <v>3715.08</v>
      </c>
      <c r="H48" s="122">
        <v>5147.08</v>
      </c>
      <c r="I48" s="123">
        <v>0.38550000000000001</v>
      </c>
      <c r="J48" s="122">
        <v>4612</v>
      </c>
      <c r="K48" s="123">
        <v>0.2417</v>
      </c>
      <c r="L48" s="122">
        <v>94070.44</v>
      </c>
      <c r="M48" s="123"/>
      <c r="N48" s="122">
        <v>117557.96</v>
      </c>
      <c r="O48" s="123"/>
      <c r="P48" s="122">
        <v>110504.64</v>
      </c>
      <c r="Q48" s="123"/>
      <c r="R48" s="122">
        <v>8179.95</v>
      </c>
      <c r="S48" s="123"/>
      <c r="T48" s="122">
        <v>10222.31</v>
      </c>
      <c r="U48" s="123"/>
      <c r="V48" s="122">
        <v>9784.59</v>
      </c>
      <c r="W48" s="123"/>
      <c r="Y48" s="123"/>
      <c r="Z48" s="122"/>
      <c r="AA48" s="123"/>
      <c r="AB48" s="122"/>
      <c r="AC48" s="123"/>
    </row>
    <row r="49" spans="1:29">
      <c r="A49" t="s">
        <v>354</v>
      </c>
      <c r="B49">
        <v>0</v>
      </c>
      <c r="C49" t="s">
        <v>468</v>
      </c>
      <c r="D49" t="s">
        <v>469</v>
      </c>
      <c r="E49" t="s">
        <v>30</v>
      </c>
      <c r="F49" t="s">
        <v>377</v>
      </c>
      <c r="G49" s="122">
        <v>50133.68</v>
      </c>
      <c r="H49" s="122">
        <v>69450.539999999994</v>
      </c>
      <c r="I49" s="123">
        <v>0.38529999999999998</v>
      </c>
      <c r="J49" s="122">
        <v>65281.11</v>
      </c>
      <c r="K49" s="123">
        <v>0.30209999999999998</v>
      </c>
      <c r="L49" s="122">
        <v>741919.61</v>
      </c>
      <c r="M49" s="123"/>
      <c r="N49" s="122">
        <v>927162.12</v>
      </c>
      <c r="O49" s="123"/>
      <c r="P49" s="122">
        <v>851709.01</v>
      </c>
      <c r="Q49" s="123"/>
      <c r="R49" s="122">
        <v>64514.04</v>
      </c>
      <c r="S49" s="123"/>
      <c r="T49" s="122">
        <v>80621.91</v>
      </c>
      <c r="U49" s="123"/>
      <c r="V49" s="122">
        <v>76631.73</v>
      </c>
      <c r="W49" s="123"/>
      <c r="X49" s="122"/>
      <c r="Y49" s="123"/>
      <c r="Z49" s="122"/>
      <c r="AA49" s="123"/>
      <c r="AB49" s="122"/>
      <c r="AC49" s="123"/>
    </row>
    <row r="50" spans="1:29">
      <c r="A50" t="s">
        <v>354</v>
      </c>
      <c r="B50">
        <v>0</v>
      </c>
      <c r="C50" t="s">
        <v>468</v>
      </c>
      <c r="D50" t="s">
        <v>469</v>
      </c>
      <c r="E50" t="s">
        <v>30</v>
      </c>
      <c r="F50" t="s">
        <v>378</v>
      </c>
      <c r="G50" s="122">
        <v>6589.22</v>
      </c>
      <c r="H50" s="122">
        <v>9127</v>
      </c>
      <c r="I50" s="123">
        <v>0.38529999999999998</v>
      </c>
      <c r="J50" s="122">
        <v>8817.26</v>
      </c>
      <c r="K50" s="123">
        <v>0.33810000000000001</v>
      </c>
      <c r="L50" s="122">
        <v>75058.149999999994</v>
      </c>
      <c r="M50" s="123"/>
      <c r="N50" s="122">
        <v>93798.67</v>
      </c>
      <c r="O50" s="123"/>
      <c r="P50" s="122">
        <v>92802.66</v>
      </c>
      <c r="Q50" s="123"/>
      <c r="R50" s="122">
        <v>6526.72</v>
      </c>
      <c r="S50" s="123"/>
      <c r="T50" s="122">
        <v>8156.32</v>
      </c>
      <c r="U50" s="123"/>
      <c r="V50" s="122">
        <v>9089.93</v>
      </c>
      <c r="W50" s="123"/>
      <c r="Y50" s="123"/>
      <c r="Z50" s="122"/>
      <c r="AA50" s="123"/>
      <c r="AB50" s="122"/>
      <c r="AC50" s="123"/>
    </row>
    <row r="51" spans="1:29">
      <c r="A51" t="s">
        <v>354</v>
      </c>
      <c r="B51">
        <v>0</v>
      </c>
      <c r="C51" t="s">
        <v>468</v>
      </c>
      <c r="D51" t="s">
        <v>469</v>
      </c>
      <c r="E51" t="s">
        <v>30</v>
      </c>
      <c r="F51" t="s">
        <v>379</v>
      </c>
      <c r="G51" s="122">
        <v>6589.22</v>
      </c>
      <c r="H51" s="122">
        <v>9127</v>
      </c>
      <c r="I51" s="123">
        <v>0.38529999999999998</v>
      </c>
      <c r="J51" s="122">
        <v>8817.26</v>
      </c>
      <c r="K51" s="123">
        <v>0.33810000000000001</v>
      </c>
      <c r="L51" s="122">
        <v>75058.149999999994</v>
      </c>
      <c r="M51" s="123"/>
      <c r="N51" s="122">
        <v>93798.67</v>
      </c>
      <c r="O51" s="123"/>
      <c r="P51" s="122">
        <v>92802.66</v>
      </c>
      <c r="Q51" s="123"/>
      <c r="R51" s="122">
        <v>6526.72</v>
      </c>
      <c r="S51" s="123"/>
      <c r="T51" s="122">
        <v>8156.32</v>
      </c>
      <c r="U51" s="123"/>
      <c r="V51" s="122">
        <v>9089.93</v>
      </c>
      <c r="W51" s="123"/>
      <c r="Y51" s="123"/>
      <c r="Z51" s="122"/>
      <c r="AA51" s="123"/>
      <c r="AB51" s="122"/>
      <c r="AC51" s="123"/>
    </row>
    <row r="52" spans="1:29">
      <c r="A52" t="s">
        <v>354</v>
      </c>
      <c r="B52">
        <v>1</v>
      </c>
      <c r="C52" t="s">
        <v>468</v>
      </c>
      <c r="D52" t="s">
        <v>469</v>
      </c>
      <c r="E52" t="s">
        <v>381</v>
      </c>
      <c r="F52" t="s">
        <v>482</v>
      </c>
      <c r="G52" s="122">
        <v>1196316.75</v>
      </c>
      <c r="H52" s="122">
        <v>1657250.95</v>
      </c>
      <c r="I52" s="123">
        <v>0.38529999999999998</v>
      </c>
      <c r="J52" s="122">
        <v>1842874</v>
      </c>
      <c r="K52" s="123">
        <v>0.54049999999999998</v>
      </c>
      <c r="L52" s="122">
        <v>11473301.84</v>
      </c>
      <c r="M52" s="123"/>
      <c r="N52" s="122">
        <v>14337955.960000001</v>
      </c>
      <c r="O52" s="123"/>
      <c r="P52" s="122">
        <v>17007035.77</v>
      </c>
      <c r="Q52" s="123"/>
      <c r="R52" s="122">
        <v>997667.36</v>
      </c>
      <c r="S52" s="123"/>
      <c r="T52" s="122">
        <v>1246765.23</v>
      </c>
      <c r="U52" s="123"/>
      <c r="V52" s="122">
        <v>1760846.81</v>
      </c>
      <c r="W52" s="123"/>
      <c r="X52" s="122"/>
      <c r="Y52" s="123"/>
      <c r="Z52" s="122"/>
      <c r="AA52" s="123"/>
      <c r="AB52" s="122"/>
      <c r="AC52" s="123"/>
    </row>
    <row r="53" spans="1:29">
      <c r="A53" t="s">
        <v>354</v>
      </c>
      <c r="B53">
        <v>0</v>
      </c>
      <c r="C53" t="s">
        <v>468</v>
      </c>
      <c r="D53" t="s">
        <v>469</v>
      </c>
      <c r="E53" t="s">
        <v>446</v>
      </c>
      <c r="F53" t="s">
        <v>463</v>
      </c>
      <c r="G53" s="122">
        <v>2387339.5</v>
      </c>
      <c r="H53" s="122">
        <v>3307202.82</v>
      </c>
      <c r="I53" s="123">
        <v>0.38529999999999998</v>
      </c>
      <c r="J53" s="122">
        <v>3351114.96</v>
      </c>
      <c r="K53" s="123">
        <v>0.4037</v>
      </c>
      <c r="L53" s="122">
        <v>32691125.440000001</v>
      </c>
      <c r="M53" s="123"/>
      <c r="N53" s="122">
        <v>40853446.539999999</v>
      </c>
      <c r="O53" s="123"/>
      <c r="P53" s="122">
        <v>38321607.280000001</v>
      </c>
      <c r="Q53" s="123"/>
      <c r="R53" s="122">
        <v>2886835.09</v>
      </c>
      <c r="S53" s="123"/>
      <c r="T53" s="122">
        <v>3607619.97</v>
      </c>
      <c r="U53" s="123"/>
      <c r="V53" s="122">
        <v>3697621.44</v>
      </c>
      <c r="W53" s="123"/>
      <c r="X53" s="122"/>
      <c r="Y53" s="123"/>
      <c r="Z53" s="122"/>
      <c r="AA53" s="123"/>
      <c r="AB53" s="122"/>
      <c r="AC53" s="123"/>
    </row>
    <row r="54" spans="1:29">
      <c r="A54" t="s">
        <v>354</v>
      </c>
      <c r="B54">
        <v>0</v>
      </c>
      <c r="C54" t="s">
        <v>468</v>
      </c>
      <c r="D54" t="s">
        <v>469</v>
      </c>
      <c r="E54" t="s">
        <v>451</v>
      </c>
      <c r="F54" t="s">
        <v>464</v>
      </c>
      <c r="G54" s="122">
        <v>4023902.25</v>
      </c>
      <c r="H54" s="122">
        <v>5574297.4800000004</v>
      </c>
      <c r="I54" s="123">
        <v>0.38529999999999998</v>
      </c>
      <c r="J54" s="122">
        <v>5565521.8799999999</v>
      </c>
      <c r="K54" s="123">
        <v>0.3831</v>
      </c>
      <c r="L54" s="122">
        <v>18385649.469999999</v>
      </c>
      <c r="M54" s="123"/>
      <c r="N54" s="122">
        <v>22976179.050000001</v>
      </c>
      <c r="O54" s="123"/>
      <c r="P54" s="122">
        <v>22010654.760000002</v>
      </c>
      <c r="Q54" s="123"/>
      <c r="R54" s="122">
        <v>1760210.25</v>
      </c>
      <c r="S54" s="123"/>
      <c r="T54" s="122">
        <v>2199699.34</v>
      </c>
      <c r="U54" s="123"/>
      <c r="V54" s="122">
        <v>2297280</v>
      </c>
      <c r="W54" s="123"/>
      <c r="X54" s="122"/>
      <c r="Y54" s="123"/>
      <c r="Z54" s="122"/>
      <c r="AA54" s="123"/>
      <c r="AB54" s="122"/>
      <c r="AC54" s="123"/>
    </row>
    <row r="55" spans="1:29">
      <c r="A55" t="s">
        <v>354</v>
      </c>
      <c r="B55">
        <v>0</v>
      </c>
      <c r="C55" t="s">
        <v>468</v>
      </c>
      <c r="D55" t="s">
        <v>469</v>
      </c>
      <c r="E55" t="s">
        <v>381</v>
      </c>
      <c r="F55" t="s">
        <v>483</v>
      </c>
      <c r="G55">
        <v>0</v>
      </c>
      <c r="H55">
        <v>0</v>
      </c>
      <c r="I55" s="123">
        <v>0</v>
      </c>
      <c r="J55">
        <v>0</v>
      </c>
      <c r="K55" s="123">
        <v>0</v>
      </c>
      <c r="L55">
        <v>0</v>
      </c>
      <c r="M55" s="123"/>
      <c r="N55">
        <v>0</v>
      </c>
      <c r="O55" s="123"/>
      <c r="P55">
        <v>0</v>
      </c>
      <c r="Q55" s="123"/>
      <c r="R55">
        <v>0</v>
      </c>
      <c r="S55" s="123"/>
      <c r="T55">
        <v>0</v>
      </c>
      <c r="U55" s="123"/>
      <c r="V55">
        <v>0</v>
      </c>
      <c r="W55" s="123"/>
      <c r="Y55" s="123"/>
      <c r="AA55" s="123"/>
      <c r="AC55" s="123"/>
    </row>
    <row r="56" spans="1:29">
      <c r="A56" t="s">
        <v>354</v>
      </c>
      <c r="B56">
        <v>0</v>
      </c>
      <c r="C56" t="s">
        <v>468</v>
      </c>
      <c r="D56" t="s">
        <v>469</v>
      </c>
      <c r="E56" t="s">
        <v>381</v>
      </c>
      <c r="F56" t="s">
        <v>484</v>
      </c>
      <c r="G56">
        <v>0</v>
      </c>
      <c r="H56">
        <v>0</v>
      </c>
      <c r="I56" s="123">
        <v>0</v>
      </c>
      <c r="J56">
        <v>0</v>
      </c>
      <c r="K56" s="123">
        <v>0</v>
      </c>
      <c r="L56">
        <v>0</v>
      </c>
      <c r="M56" s="123"/>
      <c r="N56">
        <v>0</v>
      </c>
      <c r="O56" s="123"/>
      <c r="P56">
        <v>0</v>
      </c>
      <c r="Q56" s="123"/>
      <c r="R56">
        <v>0</v>
      </c>
      <c r="S56" s="123"/>
      <c r="T56">
        <v>0</v>
      </c>
      <c r="U56" s="123"/>
      <c r="V56">
        <v>0</v>
      </c>
      <c r="W56" s="123"/>
      <c r="Y56" s="123"/>
      <c r="AA56" s="123"/>
      <c r="AC56" s="123"/>
    </row>
    <row r="57" spans="1:29">
      <c r="A57" t="s">
        <v>354</v>
      </c>
      <c r="B57">
        <v>0</v>
      </c>
      <c r="C57" t="s">
        <v>468</v>
      </c>
      <c r="D57" t="s">
        <v>469</v>
      </c>
      <c r="E57" t="s">
        <v>381</v>
      </c>
      <c r="F57" t="s">
        <v>380</v>
      </c>
      <c r="G57" s="122">
        <v>4961220.66</v>
      </c>
      <c r="H57" s="122">
        <v>6872741.2599999998</v>
      </c>
      <c r="I57" s="123">
        <v>0.38529999999999998</v>
      </c>
      <c r="J57" s="122">
        <v>7672257.2400000002</v>
      </c>
      <c r="K57" s="123">
        <v>0.5464</v>
      </c>
      <c r="L57" s="122">
        <v>66690813.909999996</v>
      </c>
      <c r="M57" s="123"/>
      <c r="N57" s="122">
        <v>83342177.060000002</v>
      </c>
      <c r="O57" s="123"/>
      <c r="P57" s="122">
        <v>105493712.84999999</v>
      </c>
      <c r="Q57" s="123"/>
      <c r="R57" s="122">
        <v>5799136.9500000002</v>
      </c>
      <c r="S57" s="123"/>
      <c r="T57" s="122">
        <v>7247067.0099999998</v>
      </c>
      <c r="U57" s="123"/>
      <c r="V57" s="122">
        <v>12709049.77</v>
      </c>
      <c r="W57" s="123"/>
      <c r="X57" s="122"/>
      <c r="Y57" s="123"/>
      <c r="Z57" s="122"/>
      <c r="AA57" s="123"/>
      <c r="AB57" s="122"/>
      <c r="AC57" s="123"/>
    </row>
    <row r="58" spans="1:29">
      <c r="A58" t="s">
        <v>354</v>
      </c>
      <c r="B58">
        <v>0</v>
      </c>
      <c r="C58" t="s">
        <v>468</v>
      </c>
      <c r="D58" t="s">
        <v>469</v>
      </c>
      <c r="E58" t="s">
        <v>381</v>
      </c>
      <c r="F58" t="s">
        <v>382</v>
      </c>
      <c r="G58" s="122">
        <v>16752517.51</v>
      </c>
      <c r="H58" s="122">
        <v>23206520.629999999</v>
      </c>
      <c r="I58" s="123">
        <v>0.38529999999999998</v>
      </c>
      <c r="J58" s="122">
        <v>24990605.969999999</v>
      </c>
      <c r="K58" s="123">
        <v>0.49180000000000001</v>
      </c>
      <c r="L58" s="122">
        <v>177264053.28999999</v>
      </c>
      <c r="M58" s="123"/>
      <c r="N58" s="122">
        <v>221523334.77000001</v>
      </c>
      <c r="O58" s="123"/>
      <c r="P58" s="122">
        <v>212980676.40000001</v>
      </c>
      <c r="Q58" s="123"/>
      <c r="R58" s="122">
        <v>15414087.880000001</v>
      </c>
      <c r="S58" s="123"/>
      <c r="T58" s="122">
        <v>19262696.210000001</v>
      </c>
      <c r="U58" s="123"/>
      <c r="V58" s="122">
        <v>20773532.149999999</v>
      </c>
      <c r="W58" s="123"/>
      <c r="X58" s="122"/>
      <c r="Y58" s="123"/>
      <c r="Z58" s="122"/>
      <c r="AA58" s="123"/>
      <c r="AB58" s="122"/>
      <c r="AC58" s="123"/>
    </row>
    <row r="59" spans="1:29">
      <c r="A59" t="s">
        <v>354</v>
      </c>
      <c r="B59">
        <v>0</v>
      </c>
      <c r="C59" t="s">
        <v>468</v>
      </c>
      <c r="D59" t="s">
        <v>469</v>
      </c>
      <c r="E59" t="s">
        <v>384</v>
      </c>
      <c r="F59" t="s">
        <v>383</v>
      </c>
      <c r="G59" s="122">
        <v>104171872.31</v>
      </c>
      <c r="H59" s="122">
        <v>144310219.72999999</v>
      </c>
      <c r="I59" s="123">
        <v>0.38529999999999998</v>
      </c>
      <c r="J59" s="122">
        <v>145909848.55000001</v>
      </c>
      <c r="K59" s="123">
        <v>0.4007</v>
      </c>
      <c r="L59" s="122">
        <v>1431221727.74</v>
      </c>
      <c r="M59" s="123"/>
      <c r="N59" s="122">
        <v>1788569207.95</v>
      </c>
      <c r="O59" s="123"/>
      <c r="P59" s="122">
        <v>1681519839.71</v>
      </c>
      <c r="Q59" s="123"/>
      <c r="R59" s="122">
        <v>125401753.54000001</v>
      </c>
      <c r="S59" s="123"/>
      <c r="T59" s="122">
        <v>156712059.09999999</v>
      </c>
      <c r="U59" s="123"/>
      <c r="V59" s="122">
        <v>160739510.53</v>
      </c>
      <c r="W59" s="123"/>
      <c r="X59" s="122"/>
      <c r="Y59" s="123"/>
      <c r="Z59" s="122"/>
      <c r="AA59" s="123"/>
      <c r="AB59" s="122"/>
      <c r="AC59" s="123"/>
    </row>
    <row r="60" spans="1:29" s="100" customFormat="1">
      <c r="A60" s="100" t="s">
        <v>354</v>
      </c>
      <c r="B60" s="100">
        <v>0</v>
      </c>
      <c r="C60" s="100" t="s">
        <v>468</v>
      </c>
      <c r="D60" s="100" t="s">
        <v>469</v>
      </c>
      <c r="E60" s="100" t="s">
        <v>466</v>
      </c>
      <c r="F60" s="100" t="s">
        <v>465</v>
      </c>
      <c r="G60" s="122">
        <v>72053266.159999996</v>
      </c>
      <c r="H60" s="122">
        <v>99815993.629999995</v>
      </c>
      <c r="I60" s="123">
        <v>0.38529999999999998</v>
      </c>
      <c r="J60" s="122">
        <v>100468211.91</v>
      </c>
      <c r="K60" s="123">
        <v>0.39439999999999997</v>
      </c>
      <c r="L60" s="122">
        <v>956731994.66999996</v>
      </c>
      <c r="M60" s="189"/>
      <c r="N60" s="122">
        <v>1195608865.5999999</v>
      </c>
      <c r="O60" s="189"/>
      <c r="P60" s="122">
        <v>1126153610.8399999</v>
      </c>
      <c r="Q60" s="189"/>
      <c r="R60" s="188">
        <v>84469504.959999993</v>
      </c>
      <c r="S60" s="189"/>
      <c r="T60" s="188">
        <v>105559847.83</v>
      </c>
      <c r="U60" s="189"/>
      <c r="V60" s="122">
        <v>108645310.53</v>
      </c>
      <c r="W60" s="189"/>
      <c r="X60" s="188"/>
      <c r="Y60" s="189"/>
      <c r="Z60" s="188"/>
      <c r="AA60" s="189"/>
      <c r="AB60" s="188"/>
      <c r="AC60" s="189"/>
    </row>
    <row r="61" spans="1:29">
      <c r="A61" t="s">
        <v>354</v>
      </c>
      <c r="B61">
        <v>0</v>
      </c>
      <c r="C61" t="s">
        <v>468</v>
      </c>
      <c r="D61" t="s">
        <v>469</v>
      </c>
      <c r="E61" t="s">
        <v>466</v>
      </c>
      <c r="F61" t="s">
        <v>485</v>
      </c>
      <c r="G61" s="122">
        <v>39225875.520000003</v>
      </c>
      <c r="H61" s="122">
        <v>54339307.090000004</v>
      </c>
      <c r="I61" s="123">
        <v>0.38529999999999998</v>
      </c>
      <c r="J61" s="122">
        <v>54127471.590000004</v>
      </c>
      <c r="K61" s="123">
        <v>0.37990000000000002</v>
      </c>
      <c r="L61" s="122">
        <v>420440504.67000002</v>
      </c>
      <c r="M61" s="123"/>
      <c r="N61" s="122">
        <v>525416094.45999998</v>
      </c>
      <c r="O61" s="123"/>
      <c r="P61" s="122">
        <v>465376310.00999999</v>
      </c>
      <c r="Q61" s="123"/>
      <c r="R61" s="122">
        <v>37835967.270000003</v>
      </c>
      <c r="S61" s="123"/>
      <c r="T61" s="122">
        <v>47282861.630000003</v>
      </c>
      <c r="U61" s="123"/>
      <c r="V61" s="122">
        <v>46435827.619999997</v>
      </c>
      <c r="W61" s="123"/>
      <c r="X61" s="122"/>
      <c r="Y61" s="123"/>
      <c r="Z61" s="122"/>
      <c r="AA61" s="123"/>
      <c r="AB61" s="122"/>
      <c r="AC61" s="123"/>
    </row>
    <row r="62" spans="1:29">
      <c r="A62" t="s">
        <v>354</v>
      </c>
      <c r="B62">
        <v>0</v>
      </c>
      <c r="C62" t="s">
        <v>468</v>
      </c>
      <c r="D62" t="s">
        <v>469</v>
      </c>
      <c r="E62" t="s">
        <v>466</v>
      </c>
      <c r="F62" t="s">
        <v>486</v>
      </c>
      <c r="G62" s="122">
        <v>5323643.42</v>
      </c>
      <c r="H62" s="122">
        <v>7375663.1799999997</v>
      </c>
      <c r="I62" s="123">
        <v>0.38550000000000001</v>
      </c>
      <c r="J62" s="122">
        <v>7183633.1900000004</v>
      </c>
      <c r="K62" s="123">
        <v>0.34939999999999999</v>
      </c>
      <c r="L62" s="122">
        <v>135930429.58000001</v>
      </c>
      <c r="M62" s="123"/>
      <c r="N62" s="122">
        <v>169869552.69</v>
      </c>
      <c r="O62" s="123"/>
      <c r="P62" s="122">
        <v>177772241.78999999</v>
      </c>
      <c r="Q62" s="123"/>
      <c r="R62" s="122">
        <v>11819915.18</v>
      </c>
      <c r="S62" s="123"/>
      <c r="T62" s="122">
        <v>14771095.689999999</v>
      </c>
      <c r="U62" s="123"/>
      <c r="V62" s="122">
        <v>15812035.74</v>
      </c>
      <c r="W62" s="123"/>
      <c r="X62" s="122"/>
      <c r="Y62" s="123"/>
      <c r="Z62" s="122"/>
      <c r="AA62" s="123"/>
      <c r="AB62" s="122"/>
      <c r="AC62" s="123"/>
    </row>
    <row r="63" spans="1:29">
      <c r="A63" t="s">
        <v>354</v>
      </c>
      <c r="B63">
        <v>0</v>
      </c>
      <c r="C63" t="s">
        <v>468</v>
      </c>
      <c r="D63" t="s">
        <v>469</v>
      </c>
      <c r="E63" t="s">
        <v>466</v>
      </c>
      <c r="F63" t="s">
        <v>487</v>
      </c>
      <c r="G63">
        <v>0</v>
      </c>
      <c r="H63">
        <v>0</v>
      </c>
      <c r="I63" s="123">
        <v>0</v>
      </c>
      <c r="J63">
        <v>0</v>
      </c>
      <c r="K63" s="123">
        <v>0</v>
      </c>
      <c r="L63">
        <v>0</v>
      </c>
      <c r="M63" s="123"/>
      <c r="N63">
        <v>0</v>
      </c>
      <c r="O63" s="123"/>
      <c r="P63">
        <v>0</v>
      </c>
      <c r="Q63" s="123"/>
      <c r="R63">
        <v>0</v>
      </c>
      <c r="S63" s="123"/>
      <c r="T63">
        <v>0</v>
      </c>
      <c r="U63" s="123"/>
      <c r="V63">
        <v>0</v>
      </c>
      <c r="W63" s="123"/>
      <c r="Y63" s="123"/>
      <c r="AA63" s="123"/>
      <c r="AC63" s="123"/>
    </row>
    <row r="64" spans="1:29">
      <c r="A64" t="s">
        <v>354</v>
      </c>
      <c r="B64">
        <v>0</v>
      </c>
      <c r="C64" t="s">
        <v>468</v>
      </c>
      <c r="D64" t="s">
        <v>469</v>
      </c>
      <c r="E64" t="s">
        <v>466</v>
      </c>
      <c r="F64" t="s">
        <v>488</v>
      </c>
      <c r="G64">
        <v>0</v>
      </c>
      <c r="H64">
        <v>0</v>
      </c>
      <c r="I64" s="123">
        <v>0</v>
      </c>
      <c r="J64">
        <v>0</v>
      </c>
      <c r="K64" s="123">
        <v>0</v>
      </c>
      <c r="L64">
        <v>0</v>
      </c>
      <c r="M64" s="123"/>
      <c r="N64">
        <v>0</v>
      </c>
      <c r="O64" s="123"/>
      <c r="P64">
        <v>0</v>
      </c>
      <c r="Q64" s="123"/>
      <c r="R64">
        <v>0</v>
      </c>
      <c r="S64" s="123"/>
      <c r="T64">
        <v>0</v>
      </c>
      <c r="U64" s="123"/>
      <c r="V64">
        <v>0</v>
      </c>
      <c r="W64" s="123"/>
      <c r="Y64" s="123"/>
      <c r="AA64" s="123"/>
      <c r="AC64" s="123"/>
    </row>
    <row r="65" spans="1:29">
      <c r="A65" t="s">
        <v>354</v>
      </c>
      <c r="B65">
        <v>0</v>
      </c>
      <c r="C65" t="s">
        <v>468</v>
      </c>
      <c r="D65" t="s">
        <v>469</v>
      </c>
      <c r="E65" t="s">
        <v>466</v>
      </c>
      <c r="F65" t="s">
        <v>489</v>
      </c>
      <c r="G65" s="122">
        <v>3530310.71</v>
      </c>
      <c r="H65" s="122">
        <v>4890512.58</v>
      </c>
      <c r="I65" s="123">
        <v>0.38529999999999998</v>
      </c>
      <c r="J65" s="122">
        <v>5420055.0499999998</v>
      </c>
      <c r="K65" s="123">
        <v>0.5353</v>
      </c>
      <c r="L65" s="122">
        <v>45347604.850000001</v>
      </c>
      <c r="M65" s="123"/>
      <c r="N65" s="122">
        <v>56669995.32</v>
      </c>
      <c r="O65" s="123"/>
      <c r="P65" s="122">
        <v>71722180.769999996</v>
      </c>
      <c r="Q65" s="123"/>
      <c r="R65" s="122">
        <v>3943226.29</v>
      </c>
      <c r="S65" s="123"/>
      <c r="T65" s="122">
        <v>4927772.08</v>
      </c>
      <c r="U65" s="123"/>
      <c r="V65" s="122">
        <v>8640223.1199999992</v>
      </c>
      <c r="W65" s="123"/>
      <c r="X65" s="122"/>
      <c r="Y65" s="123"/>
      <c r="Z65" s="122"/>
      <c r="AA65" s="123"/>
      <c r="AB65" s="122"/>
      <c r="AC65" s="123"/>
    </row>
    <row r="66" spans="1:29">
      <c r="A66" t="s">
        <v>354</v>
      </c>
      <c r="B66">
        <v>0</v>
      </c>
      <c r="C66" t="s">
        <v>468</v>
      </c>
      <c r="D66" t="s">
        <v>469</v>
      </c>
      <c r="E66" t="s">
        <v>466</v>
      </c>
      <c r="F66" t="s">
        <v>490</v>
      </c>
      <c r="G66" s="122">
        <v>11890820.859999999</v>
      </c>
      <c r="H66" s="122">
        <v>16471827.550000001</v>
      </c>
      <c r="I66" s="123">
        <v>0.38529999999999998</v>
      </c>
      <c r="J66" s="122">
        <v>17612199.73</v>
      </c>
      <c r="K66" s="123">
        <v>0.48120000000000002</v>
      </c>
      <c r="L66" s="122">
        <v>120253451.28</v>
      </c>
      <c r="M66" s="123"/>
      <c r="N66" s="122">
        <v>150278328.00999999</v>
      </c>
      <c r="O66" s="123"/>
      <c r="P66" s="122">
        <v>144420982.72</v>
      </c>
      <c r="Q66" s="123"/>
      <c r="R66" s="122">
        <v>10456701.35</v>
      </c>
      <c r="S66" s="123"/>
      <c r="T66" s="122">
        <v>13067543.35</v>
      </c>
      <c r="U66" s="123"/>
      <c r="V66" s="122">
        <v>14090194.109999999</v>
      </c>
      <c r="W66" s="123"/>
      <c r="X66" s="122"/>
      <c r="Y66" s="123"/>
      <c r="Z66" s="122"/>
      <c r="AA66" s="123"/>
      <c r="AB66" s="122"/>
      <c r="AC66" s="123"/>
    </row>
    <row r="67" spans="1:29">
      <c r="A67" t="s">
        <v>354</v>
      </c>
      <c r="B67">
        <v>0</v>
      </c>
      <c r="C67" t="s">
        <v>468</v>
      </c>
      <c r="D67" t="s">
        <v>469</v>
      </c>
      <c r="E67" t="s">
        <v>466</v>
      </c>
      <c r="F67" t="s">
        <v>491</v>
      </c>
      <c r="G67" s="122">
        <v>7580572.9000000004</v>
      </c>
      <c r="H67" s="122">
        <v>10501309.99</v>
      </c>
      <c r="I67" s="123">
        <v>0.38529999999999998</v>
      </c>
      <c r="J67" s="122">
        <v>10122429.220000001</v>
      </c>
      <c r="K67" s="123">
        <v>0.33529999999999999</v>
      </c>
      <c r="L67" s="122">
        <v>116832318.89</v>
      </c>
      <c r="M67" s="123"/>
      <c r="N67" s="122">
        <v>146003013.55000001</v>
      </c>
      <c r="O67" s="123"/>
      <c r="P67" s="122">
        <v>114354625.40000001</v>
      </c>
      <c r="Q67" s="123"/>
      <c r="R67" s="122">
        <v>10159219.51</v>
      </c>
      <c r="S67" s="123"/>
      <c r="T67" s="122">
        <v>12695776.130000001</v>
      </c>
      <c r="U67" s="123"/>
      <c r="V67" s="122">
        <v>9866221.6699999999</v>
      </c>
      <c r="W67" s="123"/>
      <c r="X67" s="122"/>
      <c r="Y67" s="123"/>
      <c r="Z67" s="122"/>
      <c r="AA67" s="123"/>
      <c r="AB67" s="122"/>
      <c r="AC67" s="123"/>
    </row>
    <row r="68" spans="1:29">
      <c r="A68" t="s">
        <v>354</v>
      </c>
      <c r="B68">
        <v>0</v>
      </c>
      <c r="C68" t="s">
        <v>468</v>
      </c>
      <c r="D68" t="s">
        <v>469</v>
      </c>
      <c r="E68" t="s">
        <v>466</v>
      </c>
      <c r="F68" t="s">
        <v>492</v>
      </c>
      <c r="G68" s="122">
        <v>4502042.75</v>
      </c>
      <c r="H68" s="122">
        <v>6237373.2400000002</v>
      </c>
      <c r="I68" s="123">
        <v>0.38550000000000001</v>
      </c>
      <c r="J68" s="122">
        <v>6002423.1299999999</v>
      </c>
      <c r="K68" s="123">
        <v>0.33329999999999999</v>
      </c>
      <c r="L68" s="122">
        <v>117927685.39</v>
      </c>
      <c r="M68" s="123"/>
      <c r="N68" s="122">
        <v>147371881.56</v>
      </c>
      <c r="O68" s="123"/>
      <c r="P68" s="122">
        <v>152507270.15000001</v>
      </c>
      <c r="Q68" s="123"/>
      <c r="R68" s="122">
        <v>10254475.35</v>
      </c>
      <c r="S68" s="123"/>
      <c r="T68" s="122">
        <v>12814798.949999999</v>
      </c>
      <c r="U68" s="123"/>
      <c r="V68" s="122">
        <v>13800808.27</v>
      </c>
      <c r="W68" s="123"/>
      <c r="X68" s="122"/>
      <c r="Y68" s="123"/>
      <c r="Z68" s="122"/>
      <c r="AA68" s="123"/>
      <c r="AB68" s="122"/>
      <c r="AC68" s="123"/>
    </row>
    <row r="69" spans="1:29">
      <c r="A69" t="s">
        <v>354</v>
      </c>
      <c r="B69">
        <v>0</v>
      </c>
      <c r="C69" t="s">
        <v>468</v>
      </c>
      <c r="D69" t="s">
        <v>469</v>
      </c>
      <c r="E69" t="s">
        <v>457</v>
      </c>
      <c r="F69" t="s">
        <v>467</v>
      </c>
      <c r="G69" s="122">
        <v>13081.31</v>
      </c>
      <c r="H69" s="122">
        <v>18121.68</v>
      </c>
      <c r="I69" s="123">
        <v>0.38529999999999998</v>
      </c>
      <c r="J69" s="122">
        <v>16199.95</v>
      </c>
      <c r="K69" s="123">
        <v>0.2384</v>
      </c>
      <c r="L69" s="122">
        <v>203977.87</v>
      </c>
      <c r="M69" s="123"/>
      <c r="N69" s="122">
        <v>254907.07</v>
      </c>
      <c r="O69" s="123"/>
      <c r="P69" s="122">
        <v>254430.62</v>
      </c>
      <c r="Q69" s="123"/>
      <c r="R69" s="122">
        <v>17453.29</v>
      </c>
      <c r="S69" s="123"/>
      <c r="T69" s="122">
        <v>21811.02</v>
      </c>
      <c r="U69" s="123"/>
      <c r="V69" s="122">
        <v>23854.400000000001</v>
      </c>
      <c r="W69" s="123"/>
      <c r="X69" s="122"/>
      <c r="Y69" s="123"/>
      <c r="Z69" s="122"/>
      <c r="AA69" s="123"/>
      <c r="AB69" s="122"/>
      <c r="AC69" s="123"/>
    </row>
    <row r="70" spans="1:29">
      <c r="A70" t="s">
        <v>354</v>
      </c>
      <c r="B70">
        <v>1</v>
      </c>
      <c r="C70" t="s">
        <v>493</v>
      </c>
      <c r="D70" t="s">
        <v>494</v>
      </c>
      <c r="E70" t="s">
        <v>381</v>
      </c>
      <c r="F70" t="s">
        <v>495</v>
      </c>
      <c r="G70">
        <v>0</v>
      </c>
      <c r="H70">
        <v>0</v>
      </c>
      <c r="I70" s="123">
        <v>0</v>
      </c>
      <c r="J70">
        <v>0</v>
      </c>
      <c r="K70" s="123">
        <v>0</v>
      </c>
      <c r="L70">
        <v>0</v>
      </c>
      <c r="M70" s="123"/>
      <c r="N70">
        <v>0</v>
      </c>
      <c r="O70" s="123"/>
      <c r="P70">
        <v>0</v>
      </c>
      <c r="Q70" s="123"/>
      <c r="R70">
        <v>0</v>
      </c>
      <c r="S70" s="123"/>
      <c r="T70">
        <v>0</v>
      </c>
      <c r="U70" s="123"/>
      <c r="V70">
        <v>0</v>
      </c>
      <c r="W70" s="123"/>
      <c r="Y70" s="123"/>
      <c r="AA70" s="123"/>
      <c r="AC70" s="123"/>
    </row>
    <row r="71" spans="1:29">
      <c r="A71" t="s">
        <v>354</v>
      </c>
      <c r="B71">
        <v>1</v>
      </c>
      <c r="C71" t="s">
        <v>493</v>
      </c>
      <c r="D71" t="s">
        <v>494</v>
      </c>
      <c r="E71" t="s">
        <v>466</v>
      </c>
      <c r="F71" t="s">
        <v>465</v>
      </c>
      <c r="G71">
        <v>0</v>
      </c>
      <c r="H71">
        <v>0</v>
      </c>
      <c r="I71" s="123">
        <v>0</v>
      </c>
      <c r="J71">
        <v>0</v>
      </c>
      <c r="K71" s="123">
        <v>0</v>
      </c>
      <c r="L71">
        <v>0</v>
      </c>
      <c r="M71" s="123"/>
      <c r="N71">
        <v>0</v>
      </c>
      <c r="O71" s="123"/>
      <c r="P71">
        <v>0</v>
      </c>
      <c r="Q71" s="123"/>
      <c r="R71">
        <v>0</v>
      </c>
      <c r="S71" s="123"/>
      <c r="T71">
        <v>0</v>
      </c>
      <c r="U71" s="123"/>
      <c r="V71">
        <v>0</v>
      </c>
      <c r="W71" s="123"/>
      <c r="Y71" s="123"/>
      <c r="AA71" s="123"/>
      <c r="AC71" s="123"/>
    </row>
    <row r="72" spans="1:29">
      <c r="A72" t="s">
        <v>354</v>
      </c>
      <c r="B72">
        <v>1</v>
      </c>
      <c r="C72" t="s">
        <v>493</v>
      </c>
      <c r="D72" t="s">
        <v>493</v>
      </c>
      <c r="E72" t="s">
        <v>381</v>
      </c>
      <c r="F72" t="s">
        <v>231</v>
      </c>
      <c r="G72" s="122">
        <v>35518175</v>
      </c>
      <c r="H72" s="122">
        <v>49203057.75</v>
      </c>
      <c r="I72" s="123">
        <v>-0.92730000000000001</v>
      </c>
      <c r="J72" s="122">
        <v>58357173.880000003</v>
      </c>
      <c r="K72" s="123">
        <v>-0.91379999999999995</v>
      </c>
      <c r="L72" s="122">
        <v>77751049.950000003</v>
      </c>
      <c r="M72" s="123"/>
      <c r="N72" s="122">
        <v>97163932.950000003</v>
      </c>
      <c r="O72" s="123"/>
      <c r="P72" s="122">
        <v>137886382.72</v>
      </c>
      <c r="Q72" s="123"/>
      <c r="R72" s="122">
        <v>14680780.92</v>
      </c>
      <c r="S72" s="123"/>
      <c r="T72" s="122">
        <v>18346282.199999999</v>
      </c>
      <c r="U72" s="123"/>
      <c r="V72" s="122">
        <v>27044748.899999999</v>
      </c>
      <c r="W72" s="123"/>
      <c r="X72" s="122"/>
      <c r="Y72" s="123"/>
      <c r="Z72" s="122"/>
      <c r="AA72" s="123"/>
      <c r="AB72" s="122"/>
      <c r="AC72" s="123"/>
    </row>
    <row r="73" spans="1:29">
      <c r="A73" t="s">
        <v>354</v>
      </c>
      <c r="B73">
        <v>1</v>
      </c>
      <c r="C73" t="s">
        <v>493</v>
      </c>
      <c r="D73" t="s">
        <v>493</v>
      </c>
      <c r="E73" t="s">
        <v>381</v>
      </c>
      <c r="F73" t="s">
        <v>482</v>
      </c>
      <c r="G73" s="122">
        <v>1196316.75</v>
      </c>
      <c r="H73" s="122">
        <v>1657250.95</v>
      </c>
      <c r="I73" s="123">
        <v>-0.98919999999999997</v>
      </c>
      <c r="J73" s="122">
        <v>1842874</v>
      </c>
      <c r="K73" s="123">
        <v>-0.98799999999999999</v>
      </c>
      <c r="L73" s="122">
        <v>11473301.84</v>
      </c>
      <c r="M73" s="123"/>
      <c r="N73" s="122">
        <v>14337955.960000001</v>
      </c>
      <c r="O73" s="123"/>
      <c r="P73" s="122">
        <v>17007035.77</v>
      </c>
      <c r="Q73" s="123"/>
      <c r="R73" s="122">
        <v>997667.36</v>
      </c>
      <c r="S73" s="123"/>
      <c r="T73" s="122">
        <v>1246765.23</v>
      </c>
      <c r="U73" s="123"/>
      <c r="V73" s="122">
        <v>1760846.81</v>
      </c>
      <c r="W73" s="123"/>
      <c r="X73" s="122"/>
      <c r="Y73" s="123"/>
      <c r="Z73" s="122"/>
      <c r="AA73" s="123"/>
      <c r="AB73" s="122"/>
      <c r="AC73" s="123"/>
    </row>
    <row r="74" spans="1:29">
      <c r="A74" t="s">
        <v>354</v>
      </c>
      <c r="B74">
        <v>1</v>
      </c>
      <c r="C74" t="s">
        <v>493</v>
      </c>
      <c r="D74" t="s">
        <v>493</v>
      </c>
      <c r="E74" t="s">
        <v>384</v>
      </c>
      <c r="F74" t="s">
        <v>383</v>
      </c>
      <c r="G74" s="122">
        <v>104171872.31</v>
      </c>
      <c r="H74" s="122">
        <v>144310219.72999999</v>
      </c>
      <c r="I74" s="123">
        <v>-0.99150000000000005</v>
      </c>
      <c r="J74" s="122">
        <v>145909848.55000001</v>
      </c>
      <c r="K74" s="123">
        <v>-0.99139999999999995</v>
      </c>
      <c r="L74" s="122">
        <v>1431221727.74</v>
      </c>
      <c r="M74" s="123"/>
      <c r="N74" s="122">
        <v>1788569207.95</v>
      </c>
      <c r="O74" s="123"/>
      <c r="P74" s="122">
        <v>1681519839.71</v>
      </c>
      <c r="Q74" s="123"/>
      <c r="R74" s="122">
        <v>125401753.54000001</v>
      </c>
      <c r="S74" s="123"/>
      <c r="T74" s="122">
        <v>156712059.09999999</v>
      </c>
      <c r="U74" s="123"/>
      <c r="V74" s="122">
        <v>160739510.53</v>
      </c>
      <c r="W74" s="123"/>
      <c r="X74" s="122"/>
      <c r="Y74" s="123"/>
      <c r="Z74" s="122"/>
      <c r="AA74" s="123"/>
      <c r="AB74" s="122"/>
      <c r="AC74" s="123"/>
    </row>
    <row r="75" spans="1:29">
      <c r="A75" t="s">
        <v>354</v>
      </c>
      <c r="B75">
        <v>1</v>
      </c>
      <c r="C75" t="s">
        <v>493</v>
      </c>
      <c r="D75" t="s">
        <v>493</v>
      </c>
      <c r="E75" t="s">
        <v>466</v>
      </c>
      <c r="F75" t="s">
        <v>465</v>
      </c>
      <c r="G75" s="122">
        <v>72053266.159999996</v>
      </c>
      <c r="H75" s="122">
        <v>99815993.629999995</v>
      </c>
      <c r="I75" s="123">
        <v>-0.99180000000000001</v>
      </c>
      <c r="J75" s="122">
        <v>100468211.91</v>
      </c>
      <c r="K75" s="123">
        <v>-0.99170000000000003</v>
      </c>
      <c r="L75" s="122">
        <v>956731994.66999996</v>
      </c>
      <c r="M75" s="123"/>
      <c r="N75" s="122">
        <v>1195608865.5999999</v>
      </c>
      <c r="O75" s="123"/>
      <c r="P75" s="122">
        <v>1126153610.8399999</v>
      </c>
      <c r="Q75" s="123"/>
      <c r="R75" s="122">
        <v>84469504.959999993</v>
      </c>
      <c r="S75" s="123"/>
      <c r="T75" s="122">
        <v>105559847.83</v>
      </c>
      <c r="U75" s="123"/>
      <c r="V75" s="122">
        <v>108645310.53</v>
      </c>
      <c r="W75" s="123"/>
      <c r="X75" s="122"/>
      <c r="Y75" s="123"/>
      <c r="Z75" s="122"/>
      <c r="AA75" s="123"/>
      <c r="AB75" s="122"/>
      <c r="AC75" s="123"/>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2F246-9ACA-4450-AA77-998FE5710332}">
  <dimension ref="A1:S93"/>
  <sheetViews>
    <sheetView workbookViewId="0">
      <selection activeCell="H2" sqref="H2"/>
    </sheetView>
  </sheetViews>
  <sheetFormatPr defaultColWidth="8.85546875" defaultRowHeight="14.45"/>
  <cols>
    <col min="6" max="6" width="68.28515625" bestFit="1" customWidth="1"/>
    <col min="7" max="7" width="15.28515625" customWidth="1"/>
    <col min="8" max="8" width="26.85546875" bestFit="1" customWidth="1"/>
    <col min="9" max="9" width="25.28515625" bestFit="1" customWidth="1"/>
    <col min="10" max="10" width="11.28515625" bestFit="1" customWidth="1"/>
    <col min="11" max="11" width="26.28515625" bestFit="1" customWidth="1"/>
    <col min="12" max="12" width="24.5703125" bestFit="1" customWidth="1"/>
    <col min="14" max="14" width="25.7109375" bestFit="1" customWidth="1"/>
    <col min="15" max="15" width="23.85546875" bestFit="1" customWidth="1"/>
    <col min="17" max="17" width="25.140625" bestFit="1" customWidth="1"/>
    <col min="18" max="18" width="23.28515625" bestFit="1" customWidth="1"/>
    <col min="19" max="19" width="13.85546875" bestFit="1" customWidth="1"/>
  </cols>
  <sheetData>
    <row r="1" spans="1:19" s="4" customFormat="1">
      <c r="A1" s="4" t="s">
        <v>430</v>
      </c>
      <c r="B1" s="4" t="s">
        <v>431</v>
      </c>
      <c r="C1" s="4" t="s">
        <v>432</v>
      </c>
      <c r="D1" s="4" t="s">
        <v>433</v>
      </c>
      <c r="E1" s="4" t="s">
        <v>434</v>
      </c>
      <c r="F1" s="4" t="s">
        <v>371</v>
      </c>
      <c r="G1" s="4" t="s">
        <v>372</v>
      </c>
      <c r="H1" s="4" t="s">
        <v>541</v>
      </c>
      <c r="I1" s="4" t="s">
        <v>436</v>
      </c>
      <c r="J1" s="4" t="s">
        <v>437</v>
      </c>
      <c r="K1" s="4" t="s">
        <v>542</v>
      </c>
      <c r="L1" s="4" t="s">
        <v>439</v>
      </c>
      <c r="M1" s="4" t="s">
        <v>437</v>
      </c>
      <c r="N1" s="4" t="s">
        <v>543</v>
      </c>
      <c r="O1" s="4" t="s">
        <v>441</v>
      </c>
      <c r="P1" s="4" t="s">
        <v>437</v>
      </c>
      <c r="Q1" s="4" t="s">
        <v>544</v>
      </c>
      <c r="R1" s="4" t="s">
        <v>443</v>
      </c>
      <c r="S1" s="4" t="s">
        <v>437</v>
      </c>
    </row>
    <row r="2" spans="1:19">
      <c r="A2" t="s">
        <v>354</v>
      </c>
      <c r="B2">
        <v>0</v>
      </c>
      <c r="C2" t="s">
        <v>444</v>
      </c>
      <c r="D2" t="s">
        <v>444</v>
      </c>
      <c r="F2" t="s">
        <v>445</v>
      </c>
      <c r="G2" t="s">
        <v>446</v>
      </c>
      <c r="H2" s="122">
        <f>'Raw Results'!G2</f>
        <v>292499728.39999998</v>
      </c>
      <c r="I2" s="122">
        <f>'Raw Results'!H2</f>
        <v>300704763.81999999</v>
      </c>
      <c r="J2" s="99">
        <f>(I2-H2)/H2</f>
        <v>2.8051429192369866E-2</v>
      </c>
      <c r="K2" s="122">
        <f>'Raw Results'!J2</f>
        <v>257934151.40000001</v>
      </c>
      <c r="L2" s="122">
        <f>'Raw Results'!L2</f>
        <v>260429830.83000001</v>
      </c>
      <c r="M2" s="99">
        <f>(L2-K2)/K2</f>
        <v>9.6756455725389729E-3</v>
      </c>
      <c r="N2" s="122">
        <f>'Raw Results'!N2</f>
        <v>258209940.49000001</v>
      </c>
      <c r="O2" s="122">
        <f>'Raw Results'!P2</f>
        <v>261229805.62</v>
      </c>
      <c r="P2" s="99">
        <f>(O2-N2)/N2</f>
        <v>1.1695386801411502E-2</v>
      </c>
      <c r="Q2" s="122">
        <f>'Raw Results'!R2</f>
        <v>238692777.09999999</v>
      </c>
      <c r="R2" s="122">
        <f>'Raw Results'!T2</f>
        <v>238812294.59999999</v>
      </c>
      <c r="S2" s="99">
        <f>(R2-Q2)/Q2</f>
        <v>5.0071686898983257E-4</v>
      </c>
    </row>
    <row r="3" spans="1:19">
      <c r="A3" t="s">
        <v>354</v>
      </c>
      <c r="B3">
        <v>0</v>
      </c>
      <c r="C3" t="s">
        <v>444</v>
      </c>
      <c r="D3" t="s">
        <v>444</v>
      </c>
      <c r="F3" t="s">
        <v>447</v>
      </c>
      <c r="G3" t="s">
        <v>446</v>
      </c>
      <c r="H3" s="122">
        <f>'Raw Results'!G3</f>
        <v>16761071.460000001</v>
      </c>
      <c r="I3" s="122">
        <f>'Raw Results'!H3</f>
        <v>16484227.16</v>
      </c>
      <c r="J3" s="99">
        <f t="shared" ref="J3:J66" si="0">(I3-H3)/H3</f>
        <v>-1.6517100393055702E-2</v>
      </c>
      <c r="K3" s="122">
        <f>'Raw Results'!J3</f>
        <v>13874573.109999999</v>
      </c>
      <c r="L3" s="122">
        <f>'Raw Results'!L3</f>
        <v>13983930.109999999</v>
      </c>
      <c r="M3" s="99">
        <f t="shared" ref="M3:M66" si="1">(L3-K3)/K3</f>
        <v>7.8818280845831378E-3</v>
      </c>
      <c r="N3" s="122">
        <f>'Raw Results'!N3</f>
        <v>14936102.67</v>
      </c>
      <c r="O3" s="122">
        <f>'Raw Results'!P3</f>
        <v>14907687.51</v>
      </c>
      <c r="P3" s="99">
        <f t="shared" ref="P3:P66" si="2">(O3-N3)/N3</f>
        <v>-1.9024480902286238E-3</v>
      </c>
      <c r="Q3" s="122">
        <f>'Raw Results'!R3</f>
        <v>13614239.939999999</v>
      </c>
      <c r="R3" s="122">
        <f>'Raw Results'!T3</f>
        <v>13637563.76</v>
      </c>
      <c r="S3" s="99">
        <f t="shared" ref="S3:S66" si="3">(R3-Q3)/Q3</f>
        <v>1.7131929584605439E-3</v>
      </c>
    </row>
    <row r="4" spans="1:19">
      <c r="A4" t="s">
        <v>354</v>
      </c>
      <c r="B4">
        <v>0</v>
      </c>
      <c r="C4" t="s">
        <v>444</v>
      </c>
      <c r="D4" t="s">
        <v>444</v>
      </c>
      <c r="F4" t="s">
        <v>448</v>
      </c>
      <c r="G4" t="s">
        <v>449</v>
      </c>
      <c r="H4" s="122">
        <f>'Raw Results'!G4</f>
        <v>1119.6099999999999</v>
      </c>
      <c r="I4" s="122">
        <f>'Raw Results'!H4</f>
        <v>1154.3900000000001</v>
      </c>
      <c r="J4" s="99">
        <f t="shared" si="0"/>
        <v>3.106438849242165E-2</v>
      </c>
      <c r="K4" s="122">
        <f>'Raw Results'!J4</f>
        <v>1105.8900000000001</v>
      </c>
      <c r="L4" s="122">
        <f>'Raw Results'!L4</f>
        <v>1120.25</v>
      </c>
      <c r="M4" s="99">
        <f t="shared" si="1"/>
        <v>1.2985016592970276E-2</v>
      </c>
      <c r="N4" s="122">
        <f>'Raw Results'!N4</f>
        <v>1142.23</v>
      </c>
      <c r="O4" s="122">
        <f>'Raw Results'!P4</f>
        <v>1160.73</v>
      </c>
      <c r="P4" s="99">
        <f t="shared" si="2"/>
        <v>1.6196387767787573E-2</v>
      </c>
      <c r="Q4" s="122">
        <f>'Raw Results'!R4</f>
        <v>1097.47</v>
      </c>
      <c r="R4" s="122">
        <f>'Raw Results'!T4</f>
        <v>1098.3499999999999</v>
      </c>
      <c r="S4" s="99">
        <f t="shared" si="3"/>
        <v>8.0184424175593115E-4</v>
      </c>
    </row>
    <row r="5" spans="1:19">
      <c r="A5" t="s">
        <v>354</v>
      </c>
      <c r="B5">
        <v>0</v>
      </c>
      <c r="C5" t="s">
        <v>444</v>
      </c>
      <c r="D5" t="s">
        <v>444</v>
      </c>
      <c r="F5" t="s">
        <v>450</v>
      </c>
      <c r="G5" t="s">
        <v>451</v>
      </c>
      <c r="H5" s="122">
        <f>'Raw Results'!G5</f>
        <v>26914480.739999998</v>
      </c>
      <c r="I5" s="122">
        <f>'Raw Results'!H5</f>
        <v>37908268.57</v>
      </c>
      <c r="J5" s="99">
        <f t="shared" si="0"/>
        <v>0.40847111026225963</v>
      </c>
      <c r="K5" s="122">
        <f>'Raw Results'!J5</f>
        <v>16543253.220000001</v>
      </c>
      <c r="L5" s="122">
        <f>'Raw Results'!L5</f>
        <v>20211769.890000001</v>
      </c>
      <c r="M5" s="99">
        <f t="shared" si="1"/>
        <v>0.22175303860820669</v>
      </c>
      <c r="N5" s="122">
        <f>'Raw Results'!N5</f>
        <v>31531605.489999998</v>
      </c>
      <c r="O5" s="122">
        <f>'Raw Results'!P5</f>
        <v>38534543.689999998</v>
      </c>
      <c r="P5" s="99">
        <f t="shared" si="2"/>
        <v>0.22209266198706332</v>
      </c>
      <c r="Q5" s="122">
        <f>'Raw Results'!R5</f>
        <v>12421795.939999999</v>
      </c>
      <c r="R5" s="122">
        <f>'Raw Results'!T5</f>
        <v>12713995.460000001</v>
      </c>
      <c r="S5" s="99">
        <f t="shared" si="3"/>
        <v>2.3523129941225022E-2</v>
      </c>
    </row>
    <row r="6" spans="1:19">
      <c r="A6" t="s">
        <v>354</v>
      </c>
      <c r="B6">
        <v>0</v>
      </c>
      <c r="C6" t="s">
        <v>444</v>
      </c>
      <c r="D6" t="s">
        <v>444</v>
      </c>
      <c r="F6" t="s">
        <v>452</v>
      </c>
      <c r="G6" t="s">
        <v>451</v>
      </c>
      <c r="H6" s="122">
        <f>'Raw Results'!G6</f>
        <v>7854888.9299999997</v>
      </c>
      <c r="I6" s="122">
        <f>'Raw Results'!H6</f>
        <v>8329076.9699999997</v>
      </c>
      <c r="J6" s="99">
        <f t="shared" si="0"/>
        <v>6.0368522613851915E-2</v>
      </c>
      <c r="K6" s="122">
        <f>'Raw Results'!J6</f>
        <v>6145222.2800000003</v>
      </c>
      <c r="L6" s="122">
        <f>'Raw Results'!L6</f>
        <v>6323302.6299999999</v>
      </c>
      <c r="M6" s="99">
        <f t="shared" si="1"/>
        <v>2.8978666984849834E-2</v>
      </c>
      <c r="N6" s="122">
        <f>'Raw Results'!N6</f>
        <v>5740474.9699999997</v>
      </c>
      <c r="O6" s="122">
        <f>'Raw Results'!P6</f>
        <v>5882101.8399999999</v>
      </c>
      <c r="P6" s="99">
        <f t="shared" si="2"/>
        <v>2.4671629218862377E-2</v>
      </c>
      <c r="Q6" s="122">
        <f>'Raw Results'!R6</f>
        <v>5274364.1900000004</v>
      </c>
      <c r="R6" s="122">
        <f>'Raw Results'!T6</f>
        <v>5282649.82</v>
      </c>
      <c r="S6" s="99">
        <f t="shared" si="3"/>
        <v>1.5709248928447407E-3</v>
      </c>
    </row>
    <row r="7" spans="1:19">
      <c r="A7" t="s">
        <v>354</v>
      </c>
      <c r="B7">
        <v>0</v>
      </c>
      <c r="C7" t="s">
        <v>444</v>
      </c>
      <c r="D7" t="s">
        <v>444</v>
      </c>
      <c r="F7" t="s">
        <v>453</v>
      </c>
      <c r="G7" t="s">
        <v>451</v>
      </c>
      <c r="H7" s="122">
        <f>'Raw Results'!G7</f>
        <v>310235392.39999998</v>
      </c>
      <c r="I7" s="122">
        <f>'Raw Results'!H7</f>
        <v>309992580.82999998</v>
      </c>
      <c r="J7" s="99">
        <f t="shared" si="0"/>
        <v>-7.8266882486097958E-4</v>
      </c>
      <c r="K7" s="122">
        <f>'Raw Results'!J7</f>
        <v>279792356.70999998</v>
      </c>
      <c r="L7" s="122">
        <f>'Raw Results'!L7</f>
        <v>279608590.20999998</v>
      </c>
      <c r="M7" s="99">
        <f t="shared" si="1"/>
        <v>-6.5679599743487932E-4</v>
      </c>
      <c r="N7" s="122">
        <f>'Raw Results'!N7</f>
        <v>283470608.79000002</v>
      </c>
      <c r="O7" s="122">
        <f>'Raw Results'!P7</f>
        <v>282524404.37</v>
      </c>
      <c r="P7" s="99">
        <f t="shared" si="2"/>
        <v>-3.3379277803752185E-3</v>
      </c>
      <c r="Q7" s="122">
        <f>'Raw Results'!R7</f>
        <v>266430693.02000001</v>
      </c>
      <c r="R7" s="122">
        <f>'Raw Results'!T7</f>
        <v>266358404.59999999</v>
      </c>
      <c r="S7" s="99">
        <f t="shared" si="3"/>
        <v>-2.7132166786275727E-4</v>
      </c>
    </row>
    <row r="8" spans="1:19">
      <c r="A8" t="s">
        <v>354</v>
      </c>
      <c r="B8">
        <v>0</v>
      </c>
      <c r="C8" t="s">
        <v>444</v>
      </c>
      <c r="D8" t="s">
        <v>444</v>
      </c>
      <c r="F8" t="s">
        <v>454</v>
      </c>
      <c r="G8" t="s">
        <v>451</v>
      </c>
      <c r="H8" s="122">
        <f>'Raw Results'!G8</f>
        <v>1013565.17</v>
      </c>
      <c r="I8" s="122">
        <f>'Raw Results'!H8</f>
        <v>1013753.02</v>
      </c>
      <c r="J8" s="99">
        <f t="shared" si="0"/>
        <v>1.8533588718323531E-4</v>
      </c>
      <c r="K8" s="122">
        <f>'Raw Results'!J8</f>
        <v>991784.35</v>
      </c>
      <c r="L8" s="122">
        <f>'Raw Results'!L8</f>
        <v>992076.09</v>
      </c>
      <c r="M8" s="99">
        <f t="shared" si="1"/>
        <v>2.9415668839701968E-4</v>
      </c>
      <c r="N8" s="122">
        <f>'Raw Results'!N8</f>
        <v>992739.8</v>
      </c>
      <c r="O8" s="122">
        <f>'Raw Results'!P8</f>
        <v>991208.82</v>
      </c>
      <c r="P8" s="99">
        <f t="shared" si="2"/>
        <v>-1.5421765098972537E-3</v>
      </c>
      <c r="Q8" s="122">
        <f>'Raw Results'!R8</f>
        <v>983330.12</v>
      </c>
      <c r="R8" s="122">
        <f>'Raw Results'!T8</f>
        <v>983248.82</v>
      </c>
      <c r="S8" s="99">
        <f t="shared" si="3"/>
        <v>-8.2678236277402507E-5</v>
      </c>
    </row>
    <row r="9" spans="1:19">
      <c r="A9" t="s">
        <v>354</v>
      </c>
      <c r="B9">
        <v>0</v>
      </c>
      <c r="C9" t="s">
        <v>444</v>
      </c>
      <c r="D9" t="s">
        <v>444</v>
      </c>
      <c r="F9" t="s">
        <v>455</v>
      </c>
      <c r="G9" t="s">
        <v>451</v>
      </c>
      <c r="H9" s="122">
        <f>'Raw Results'!G9</f>
        <v>8052781.9100000001</v>
      </c>
      <c r="I9" s="122">
        <f>'Raw Results'!H9</f>
        <v>8060675.4199999999</v>
      </c>
      <c r="J9" s="99">
        <f t="shared" si="0"/>
        <v>9.8022150459551888E-4</v>
      </c>
      <c r="K9" s="122">
        <f>'Raw Results'!J9</f>
        <v>7137517.6100000003</v>
      </c>
      <c r="L9" s="122">
        <f>'Raw Results'!L9</f>
        <v>7149777.2999999998</v>
      </c>
      <c r="M9" s="99">
        <f t="shared" si="1"/>
        <v>1.7176405957756338E-3</v>
      </c>
      <c r="N9" s="122">
        <f>'Raw Results'!N9</f>
        <v>7177667.2999999998</v>
      </c>
      <c r="O9" s="122">
        <f>'Raw Results'!P9</f>
        <v>7113332.96</v>
      </c>
      <c r="P9" s="99">
        <f t="shared" si="2"/>
        <v>-8.9631265021157848E-3</v>
      </c>
      <c r="Q9" s="122">
        <f>'Raw Results'!R9</f>
        <v>6782258.0199999996</v>
      </c>
      <c r="R9" s="122">
        <f>'Raw Results'!T9</f>
        <v>6778841.6100000003</v>
      </c>
      <c r="S9" s="99">
        <f t="shared" si="3"/>
        <v>-5.0372751816941605E-4</v>
      </c>
    </row>
    <row r="10" spans="1:19">
      <c r="A10" t="s">
        <v>354</v>
      </c>
      <c r="B10">
        <v>0</v>
      </c>
      <c r="C10" t="s">
        <v>444</v>
      </c>
      <c r="D10" t="s">
        <v>444</v>
      </c>
      <c r="F10" t="s">
        <v>456</v>
      </c>
      <c r="G10" t="s">
        <v>457</v>
      </c>
      <c r="H10" s="122">
        <f>'Raw Results'!G10</f>
        <v>1340330.1200000001</v>
      </c>
      <c r="I10" s="122">
        <f>'Raw Results'!H10</f>
        <v>1364964.27</v>
      </c>
      <c r="J10" s="99">
        <f t="shared" si="0"/>
        <v>1.8379166171390602E-2</v>
      </c>
      <c r="K10" s="122">
        <f>'Raw Results'!J10</f>
        <v>1175117.27</v>
      </c>
      <c r="L10" s="122">
        <f>'Raw Results'!L10</f>
        <v>1181665.9099999999</v>
      </c>
      <c r="M10" s="99">
        <f t="shared" si="1"/>
        <v>5.5727544536894585E-3</v>
      </c>
      <c r="N10" s="122">
        <f>'Raw Results'!N10</f>
        <v>1175414.5900000001</v>
      </c>
      <c r="O10" s="122">
        <f>'Raw Results'!P10</f>
        <v>1183603.74</v>
      </c>
      <c r="P10" s="99">
        <f t="shared" si="2"/>
        <v>6.967031096661737E-3</v>
      </c>
      <c r="Q10" s="122">
        <f>'Raw Results'!R10</f>
        <v>1083751.1599999999</v>
      </c>
      <c r="R10" s="122">
        <f>'Raw Results'!T10</f>
        <v>1084003.96</v>
      </c>
      <c r="S10" s="99">
        <f t="shared" si="3"/>
        <v>2.3326387950537149E-4</v>
      </c>
    </row>
    <row r="11" spans="1:19">
      <c r="A11" t="s">
        <v>354</v>
      </c>
      <c r="B11">
        <v>0</v>
      </c>
      <c r="C11" t="s">
        <v>444</v>
      </c>
      <c r="D11" t="s">
        <v>444</v>
      </c>
      <c r="F11" t="s">
        <v>458</v>
      </c>
      <c r="G11" t="s">
        <v>457</v>
      </c>
      <c r="H11" s="122">
        <f>'Raw Results'!G11</f>
        <v>5409098.2599999998</v>
      </c>
      <c r="I11" s="122">
        <f>'Raw Results'!H11</f>
        <v>6074378.5899999999</v>
      </c>
      <c r="J11" s="99">
        <f t="shared" si="0"/>
        <v>0.12299283503864471</v>
      </c>
      <c r="K11" s="122">
        <f>'Raw Results'!J11</f>
        <v>4197061.8499999996</v>
      </c>
      <c r="L11" s="122">
        <f>'Raw Results'!L11</f>
        <v>4425603.8</v>
      </c>
      <c r="M11" s="99">
        <f t="shared" si="1"/>
        <v>5.4452843004922646E-2</v>
      </c>
      <c r="N11" s="122">
        <f>'Raw Results'!N11</f>
        <v>3763197.94</v>
      </c>
      <c r="O11" s="122">
        <f>'Raw Results'!P11</f>
        <v>3925997.17</v>
      </c>
      <c r="P11" s="99">
        <f t="shared" si="2"/>
        <v>4.3260873489955193E-2</v>
      </c>
      <c r="Q11" s="122">
        <f>'Raw Results'!R11</f>
        <v>3452491.51</v>
      </c>
      <c r="R11" s="122">
        <f>'Raw Results'!T11</f>
        <v>3460822.88</v>
      </c>
      <c r="S11" s="99">
        <f t="shared" si="3"/>
        <v>2.4131471361677911E-3</v>
      </c>
    </row>
    <row r="12" spans="1:19">
      <c r="A12" t="s">
        <v>354</v>
      </c>
      <c r="B12">
        <v>0</v>
      </c>
      <c r="C12" t="s">
        <v>444</v>
      </c>
      <c r="D12" t="s">
        <v>444</v>
      </c>
      <c r="F12" t="s">
        <v>459</v>
      </c>
      <c r="G12" t="s">
        <v>460</v>
      </c>
      <c r="H12" s="122">
        <f>'Raw Results'!G12</f>
        <v>142.91</v>
      </c>
      <c r="I12" s="122">
        <f>'Raw Results'!H12</f>
        <v>137.13999999999999</v>
      </c>
      <c r="J12" s="99">
        <f t="shared" si="0"/>
        <v>-4.0375061227345951E-2</v>
      </c>
      <c r="K12" s="122">
        <f>'Raw Results'!J12</f>
        <v>151.71</v>
      </c>
      <c r="L12" s="122">
        <f>'Raw Results'!L12</f>
        <v>149.26</v>
      </c>
      <c r="M12" s="99">
        <f t="shared" si="1"/>
        <v>-1.6149232087535541E-2</v>
      </c>
      <c r="N12" s="122">
        <f>'Raw Results'!N12</f>
        <v>158.27000000000001</v>
      </c>
      <c r="O12" s="122">
        <f>'Raw Results'!P12</f>
        <v>154.88</v>
      </c>
      <c r="P12" s="99">
        <f t="shared" si="2"/>
        <v>-2.1419093953370914E-2</v>
      </c>
      <c r="Q12" s="122">
        <f>'Raw Results'!R12</f>
        <v>159.32</v>
      </c>
      <c r="R12" s="122">
        <f>'Raw Results'!T12</f>
        <v>159.12</v>
      </c>
      <c r="S12" s="99">
        <f t="shared" si="3"/>
        <v>-1.255335174491518E-3</v>
      </c>
    </row>
    <row r="13" spans="1:19">
      <c r="A13" t="s">
        <v>354</v>
      </c>
      <c r="B13">
        <v>1</v>
      </c>
      <c r="C13" t="s">
        <v>444</v>
      </c>
      <c r="D13" t="s">
        <v>444</v>
      </c>
      <c r="F13" t="s">
        <v>231</v>
      </c>
      <c r="G13" t="s">
        <v>381</v>
      </c>
      <c r="H13" s="122">
        <f>'Raw Results'!G13</f>
        <v>0</v>
      </c>
      <c r="I13" s="122">
        <f>'Raw Results'!H13</f>
        <v>0</v>
      </c>
      <c r="J13" s="99" t="e">
        <f t="shared" si="0"/>
        <v>#DIV/0!</v>
      </c>
      <c r="K13" s="122">
        <f>'Raw Results'!J13</f>
        <v>0</v>
      </c>
      <c r="L13" s="122">
        <f>'Raw Results'!L13</f>
        <v>0</v>
      </c>
      <c r="M13" s="99" t="e">
        <f t="shared" si="1"/>
        <v>#DIV/0!</v>
      </c>
      <c r="N13" s="122">
        <f>'Raw Results'!N13</f>
        <v>0</v>
      </c>
      <c r="O13" s="122">
        <f>'Raw Results'!P13</f>
        <v>0</v>
      </c>
      <c r="P13" s="99" t="e">
        <f t="shared" si="2"/>
        <v>#DIV/0!</v>
      </c>
      <c r="Q13" s="122">
        <f>'Raw Results'!R13</f>
        <v>0</v>
      </c>
      <c r="R13" s="122">
        <f>'Raw Results'!T13</f>
        <v>0</v>
      </c>
      <c r="S13" s="99" t="e">
        <f t="shared" si="3"/>
        <v>#DIV/0!</v>
      </c>
    </row>
    <row r="14" spans="1:19">
      <c r="A14" t="s">
        <v>354</v>
      </c>
      <c r="B14">
        <v>0</v>
      </c>
      <c r="C14" t="s">
        <v>444</v>
      </c>
      <c r="D14" t="s">
        <v>444</v>
      </c>
      <c r="F14" t="s">
        <v>461</v>
      </c>
      <c r="G14" t="s">
        <v>457</v>
      </c>
      <c r="H14" s="122">
        <f>'Raw Results'!G14</f>
        <v>174.71</v>
      </c>
      <c r="I14" s="122">
        <f>'Raw Results'!H14</f>
        <v>179.69</v>
      </c>
      <c r="J14" s="99">
        <f t="shared" si="0"/>
        <v>2.8504378684677405E-2</v>
      </c>
      <c r="K14" s="122">
        <f>'Raw Results'!J14</f>
        <v>141.46</v>
      </c>
      <c r="L14" s="122">
        <f>'Raw Results'!L14</f>
        <v>142.71</v>
      </c>
      <c r="M14" s="99">
        <f t="shared" si="1"/>
        <v>8.8364201894528486E-3</v>
      </c>
      <c r="N14" s="122">
        <f>'Raw Results'!N14</f>
        <v>143.69</v>
      </c>
      <c r="O14" s="122">
        <f>'Raw Results'!P14</f>
        <v>146.04</v>
      </c>
      <c r="P14" s="99">
        <f t="shared" si="2"/>
        <v>1.6354652376644126E-2</v>
      </c>
      <c r="Q14" s="122">
        <f>'Raw Results'!R14</f>
        <v>122.72</v>
      </c>
      <c r="R14" s="122">
        <f>'Raw Results'!T14</f>
        <v>122.8</v>
      </c>
      <c r="S14" s="99">
        <f t="shared" si="3"/>
        <v>6.5189048239894308E-4</v>
      </c>
    </row>
    <row r="15" spans="1:19">
      <c r="A15" t="s">
        <v>354</v>
      </c>
      <c r="B15">
        <v>0</v>
      </c>
      <c r="C15" t="s">
        <v>444</v>
      </c>
      <c r="D15" t="s">
        <v>444</v>
      </c>
      <c r="F15" t="s">
        <v>462</v>
      </c>
      <c r="G15" t="s">
        <v>457</v>
      </c>
      <c r="H15" s="122">
        <f>'Raw Results'!G15</f>
        <v>1849172.14</v>
      </c>
      <c r="I15" s="122">
        <f>'Raw Results'!H15</f>
        <v>1915512.04</v>
      </c>
      <c r="J15" s="99">
        <f t="shared" si="0"/>
        <v>3.5875459382597091E-2</v>
      </c>
      <c r="K15" s="122">
        <f>'Raw Results'!J15</f>
        <v>1638175.47</v>
      </c>
      <c r="L15" s="122">
        <f>'Raw Results'!L15</f>
        <v>1704715.68</v>
      </c>
      <c r="M15" s="99">
        <f t="shared" si="1"/>
        <v>4.0618487590953836E-2</v>
      </c>
      <c r="N15" s="122">
        <f>'Raw Results'!N15</f>
        <v>1612779.83</v>
      </c>
      <c r="O15" s="122">
        <f>'Raw Results'!P15</f>
        <v>1594812.74</v>
      </c>
      <c r="P15" s="99">
        <f t="shared" si="2"/>
        <v>-1.114044810443846E-2</v>
      </c>
      <c r="Q15" s="122">
        <f>'Raw Results'!R15</f>
        <v>1524838.12</v>
      </c>
      <c r="R15" s="122">
        <f>'Raw Results'!T15</f>
        <v>1522072.48</v>
      </c>
      <c r="S15" s="99">
        <f t="shared" si="3"/>
        <v>-1.8137269548325105E-3</v>
      </c>
    </row>
    <row r="16" spans="1:19">
      <c r="A16" t="s">
        <v>354</v>
      </c>
      <c r="B16">
        <v>0</v>
      </c>
      <c r="C16" t="s">
        <v>444</v>
      </c>
      <c r="D16" t="s">
        <v>444</v>
      </c>
      <c r="F16" t="s">
        <v>377</v>
      </c>
      <c r="G16" t="s">
        <v>30</v>
      </c>
      <c r="H16" s="122">
        <f>'Raw Results'!G16</f>
        <v>8225147.0099999998</v>
      </c>
      <c r="I16" s="122">
        <f>'Raw Results'!H16</f>
        <v>8188243.6699999999</v>
      </c>
      <c r="J16" s="99">
        <f t="shared" si="0"/>
        <v>-4.4866480751205263E-3</v>
      </c>
      <c r="K16" s="122">
        <f>'Raw Results'!J16</f>
        <v>7321447.9800000004</v>
      </c>
      <c r="L16" s="122">
        <f>'Raw Results'!L16</f>
        <v>7309901.2199999997</v>
      </c>
      <c r="M16" s="99">
        <f t="shared" si="1"/>
        <v>-1.5771142582099869E-3</v>
      </c>
      <c r="N16" s="122">
        <f>'Raw Results'!N16</f>
        <v>7130084.04</v>
      </c>
      <c r="O16" s="122">
        <f>'Raw Results'!P16</f>
        <v>7087049.1900000004</v>
      </c>
      <c r="P16" s="99">
        <f t="shared" si="2"/>
        <v>-6.0356721966491195E-3</v>
      </c>
      <c r="Q16" s="122">
        <f>'Raw Results'!R16</f>
        <v>6852569.9900000002</v>
      </c>
      <c r="R16" s="122">
        <f>'Raw Results'!T16</f>
        <v>6850138.1399999997</v>
      </c>
      <c r="S16" s="99">
        <f t="shared" si="3"/>
        <v>-3.5488145375375563E-4</v>
      </c>
    </row>
    <row r="17" spans="1:19">
      <c r="A17" t="s">
        <v>354</v>
      </c>
      <c r="B17">
        <v>0</v>
      </c>
      <c r="C17" t="s">
        <v>444</v>
      </c>
      <c r="D17" t="s">
        <v>444</v>
      </c>
      <c r="F17" t="s">
        <v>463</v>
      </c>
      <c r="G17" t="s">
        <v>446</v>
      </c>
      <c r="H17" s="122">
        <f>'Raw Results'!G17</f>
        <v>309260799.87</v>
      </c>
      <c r="I17" s="122">
        <f>'Raw Results'!H17</f>
        <v>317188990.97000003</v>
      </c>
      <c r="J17" s="99">
        <f t="shared" si="0"/>
        <v>2.5635939321545748E-2</v>
      </c>
      <c r="K17" s="122">
        <f>'Raw Results'!J17</f>
        <v>271808724.50999999</v>
      </c>
      <c r="L17" s="122">
        <f>'Raw Results'!L17</f>
        <v>274413760.94</v>
      </c>
      <c r="M17" s="99">
        <f t="shared" si="1"/>
        <v>9.5840795202442684E-3</v>
      </c>
      <c r="N17" s="122">
        <f>'Raw Results'!N17</f>
        <v>273146043.16000003</v>
      </c>
      <c r="O17" s="122">
        <f>'Raw Results'!P17</f>
        <v>276137493.13</v>
      </c>
      <c r="P17" s="99">
        <f t="shared" si="2"/>
        <v>1.0951833441891287E-2</v>
      </c>
      <c r="Q17" s="122">
        <f>'Raw Results'!R17</f>
        <v>252307017.03999999</v>
      </c>
      <c r="R17" s="122">
        <f>'Raw Results'!T17</f>
        <v>252449858.37</v>
      </c>
      <c r="S17" s="99">
        <f t="shared" si="3"/>
        <v>5.6614093288323997E-4</v>
      </c>
    </row>
    <row r="18" spans="1:19">
      <c r="A18" t="s">
        <v>354</v>
      </c>
      <c r="B18">
        <v>0</v>
      </c>
      <c r="C18" t="s">
        <v>444</v>
      </c>
      <c r="D18" t="s">
        <v>444</v>
      </c>
      <c r="F18" t="s">
        <v>464</v>
      </c>
      <c r="G18" t="s">
        <v>451</v>
      </c>
      <c r="H18" s="122">
        <f>'Raw Results'!G18</f>
        <v>354071109.16000003</v>
      </c>
      <c r="I18" s="122">
        <f>'Raw Results'!H18</f>
        <v>365304354.81999999</v>
      </c>
      <c r="J18" s="99">
        <f t="shared" si="0"/>
        <v>3.1725959473648591E-2</v>
      </c>
      <c r="K18" s="122">
        <f>'Raw Results'!J18</f>
        <v>310610134.17000002</v>
      </c>
      <c r="L18" s="122">
        <f>'Raw Results'!L18</f>
        <v>314285516.13</v>
      </c>
      <c r="M18" s="99">
        <f t="shared" si="1"/>
        <v>1.183278185633314E-2</v>
      </c>
      <c r="N18" s="122">
        <f>'Raw Results'!N18</f>
        <v>328913096.36000001</v>
      </c>
      <c r="O18" s="122">
        <f>'Raw Results'!P18</f>
        <v>335045591.66000003</v>
      </c>
      <c r="P18" s="99">
        <f t="shared" si="2"/>
        <v>1.864472825152547E-2</v>
      </c>
      <c r="Q18" s="122">
        <f>'Raw Results'!R18</f>
        <v>291892441.27999997</v>
      </c>
      <c r="R18" s="122">
        <f>'Raw Results'!T18</f>
        <v>292117140.31</v>
      </c>
      <c r="S18" s="99">
        <f t="shared" si="3"/>
        <v>7.6980078351699007E-4</v>
      </c>
    </row>
    <row r="19" spans="1:19">
      <c r="A19" t="s">
        <v>354</v>
      </c>
      <c r="B19">
        <v>0</v>
      </c>
      <c r="C19" t="s">
        <v>444</v>
      </c>
      <c r="D19" t="s">
        <v>444</v>
      </c>
      <c r="F19" t="s">
        <v>465</v>
      </c>
      <c r="G19" t="s">
        <v>466</v>
      </c>
      <c r="H19" s="122">
        <f>'Raw Results'!G19</f>
        <v>9208984393.9400005</v>
      </c>
      <c r="I19" s="122">
        <f>'Raw Results'!H19</f>
        <v>9452390952.9099998</v>
      </c>
      <c r="J19" s="99">
        <f t="shared" si="0"/>
        <v>2.6431422680026878E-2</v>
      </c>
      <c r="K19" s="122">
        <f>'Raw Results'!J19</f>
        <v>8096706220.04</v>
      </c>
      <c r="L19" s="122">
        <f>'Raw Results'!L19</f>
        <v>8188883402.6199999</v>
      </c>
      <c r="M19" s="99">
        <f t="shared" si="1"/>
        <v>1.1384528482934699E-2</v>
      </c>
      <c r="N19" s="122">
        <f>'Raw Results'!N19</f>
        <v>8144184381.1800003</v>
      </c>
      <c r="O19" s="122">
        <f>'Raw Results'!P19</f>
        <v>8226181652.2399998</v>
      </c>
      <c r="P19" s="99">
        <f t="shared" si="2"/>
        <v>1.0068199247733509E-2</v>
      </c>
      <c r="Q19" s="122">
        <f>'Raw Results'!R19</f>
        <v>7520496209.8400002</v>
      </c>
      <c r="R19" s="122">
        <f>'Raw Results'!T19</f>
        <v>7523822626.9499998</v>
      </c>
      <c r="S19" s="99">
        <f t="shared" si="3"/>
        <v>4.423135145852865E-4</v>
      </c>
    </row>
    <row r="20" spans="1:19">
      <c r="A20" t="s">
        <v>354</v>
      </c>
      <c r="B20">
        <v>0</v>
      </c>
      <c r="C20" t="s">
        <v>444</v>
      </c>
      <c r="D20" t="s">
        <v>444</v>
      </c>
      <c r="F20" t="s">
        <v>467</v>
      </c>
      <c r="G20" t="s">
        <v>457</v>
      </c>
      <c r="H20" s="122">
        <f>'Raw Results'!G20</f>
        <v>1849346.84</v>
      </c>
      <c r="I20" s="122">
        <f>'Raw Results'!H20</f>
        <v>1915691.73</v>
      </c>
      <c r="J20" s="99">
        <f t="shared" si="0"/>
        <v>3.5874768629123074E-2</v>
      </c>
      <c r="K20" s="122">
        <f>'Raw Results'!J20</f>
        <v>1638316.94</v>
      </c>
      <c r="L20" s="122">
        <f>'Raw Results'!L20</f>
        <v>1704858.39</v>
      </c>
      <c r="M20" s="99">
        <f t="shared" si="1"/>
        <v>4.0615737025828443E-2</v>
      </c>
      <c r="N20" s="122">
        <f>'Raw Results'!N20</f>
        <v>1612923.51</v>
      </c>
      <c r="O20" s="122">
        <f>'Raw Results'!P20</f>
        <v>1594958.78</v>
      </c>
      <c r="P20" s="99">
        <f t="shared" si="2"/>
        <v>-1.1137992526378378E-2</v>
      </c>
      <c r="Q20" s="122">
        <f>'Raw Results'!R20</f>
        <v>1524960.84</v>
      </c>
      <c r="R20" s="122">
        <f>'Raw Results'!T20</f>
        <v>1522195.28</v>
      </c>
      <c r="S20" s="99">
        <f t="shared" si="3"/>
        <v>-1.8135285362475639E-3</v>
      </c>
    </row>
    <row r="21" spans="1:19">
      <c r="A21" t="s">
        <v>354</v>
      </c>
      <c r="B21">
        <v>0</v>
      </c>
      <c r="C21" t="s">
        <v>468</v>
      </c>
      <c r="D21" t="s">
        <v>469</v>
      </c>
      <c r="F21" t="s">
        <v>445</v>
      </c>
      <c r="G21" t="s">
        <v>446</v>
      </c>
      <c r="H21" s="122">
        <f>'Raw Results'!G21</f>
        <v>54909907.219999999</v>
      </c>
      <c r="I21" s="122">
        <f>'Raw Results'!H21</f>
        <v>63114942.630000003</v>
      </c>
      <c r="J21" s="99">
        <f t="shared" si="0"/>
        <v>0.14942723135783154</v>
      </c>
      <c r="K21" s="122">
        <f>'Raw Results'!J21</f>
        <v>20344330.210000001</v>
      </c>
      <c r="L21" s="122">
        <f>'Raw Results'!L21</f>
        <v>22840009.649999999</v>
      </c>
      <c r="M21" s="99">
        <f t="shared" si="1"/>
        <v>0.12267198842325502</v>
      </c>
      <c r="N21" s="122">
        <f>'Raw Results'!N21</f>
        <v>20620119.309999999</v>
      </c>
      <c r="O21" s="122">
        <f>'Raw Results'!P21</f>
        <v>23639984.440000001</v>
      </c>
      <c r="P21" s="99">
        <f t="shared" si="2"/>
        <v>0.14645235968811679</v>
      </c>
      <c r="Q21" s="122">
        <f>'Raw Results'!R21</f>
        <v>1102955.92</v>
      </c>
      <c r="R21" s="122">
        <f>'Raw Results'!T21</f>
        <v>1222473.42</v>
      </c>
      <c r="S21" s="99">
        <f t="shared" si="3"/>
        <v>0.10836108482014405</v>
      </c>
    </row>
    <row r="22" spans="1:19">
      <c r="A22" t="s">
        <v>354</v>
      </c>
      <c r="B22">
        <v>0</v>
      </c>
      <c r="C22" t="s">
        <v>468</v>
      </c>
      <c r="D22" t="s">
        <v>469</v>
      </c>
      <c r="F22" t="s">
        <v>447</v>
      </c>
      <c r="G22" t="s">
        <v>446</v>
      </c>
      <c r="H22" s="122">
        <f>'Raw Results'!G22</f>
        <v>3172716.88</v>
      </c>
      <c r="I22" s="122">
        <f>'Raw Results'!H22</f>
        <v>2895872.57</v>
      </c>
      <c r="J22" s="99">
        <f t="shared" si="0"/>
        <v>-8.7257804736740344E-2</v>
      </c>
      <c r="K22" s="122">
        <f>'Raw Results'!J22</f>
        <v>286218.52</v>
      </c>
      <c r="L22" s="122">
        <f>'Raw Results'!L22</f>
        <v>395575.52</v>
      </c>
      <c r="M22" s="99">
        <f t="shared" si="1"/>
        <v>0.38207520603488548</v>
      </c>
      <c r="N22" s="122">
        <f>'Raw Results'!N22</f>
        <v>1347748.08</v>
      </c>
      <c r="O22" s="122">
        <f>'Raw Results'!P22</f>
        <v>1319332.92</v>
      </c>
      <c r="P22" s="99">
        <f t="shared" si="2"/>
        <v>-2.108343571151676E-2</v>
      </c>
      <c r="Q22" s="122">
        <f>'Raw Results'!R22</f>
        <v>25885.35</v>
      </c>
      <c r="R22" s="122">
        <f>'Raw Results'!T22</f>
        <v>49209.18</v>
      </c>
      <c r="S22" s="99">
        <f t="shared" si="3"/>
        <v>0.90104364051480867</v>
      </c>
    </row>
    <row r="23" spans="1:19">
      <c r="A23" t="s">
        <v>354</v>
      </c>
      <c r="B23">
        <v>0</v>
      </c>
      <c r="C23" t="s">
        <v>468</v>
      </c>
      <c r="D23" t="s">
        <v>469</v>
      </c>
      <c r="F23" t="s">
        <v>470</v>
      </c>
      <c r="G23" t="s">
        <v>451</v>
      </c>
      <c r="H23" s="122">
        <f>'Raw Results'!G23</f>
        <v>0</v>
      </c>
      <c r="I23" s="122">
        <f>'Raw Results'!H23</f>
        <v>0</v>
      </c>
      <c r="J23" s="99" t="e">
        <f t="shared" si="0"/>
        <v>#DIV/0!</v>
      </c>
      <c r="K23" s="122">
        <f>'Raw Results'!J23</f>
        <v>0</v>
      </c>
      <c r="L23" s="122">
        <f>'Raw Results'!L23</f>
        <v>0</v>
      </c>
      <c r="M23" s="99" t="e">
        <f t="shared" si="1"/>
        <v>#DIV/0!</v>
      </c>
      <c r="N23" s="122">
        <f>'Raw Results'!N23</f>
        <v>0</v>
      </c>
      <c r="O23" s="122">
        <f>'Raw Results'!P23</f>
        <v>0</v>
      </c>
      <c r="P23" s="99" t="e">
        <f t="shared" si="2"/>
        <v>#DIV/0!</v>
      </c>
      <c r="Q23" s="122">
        <f>'Raw Results'!R23</f>
        <v>0</v>
      </c>
      <c r="R23" s="122">
        <f>'Raw Results'!T23</f>
        <v>0</v>
      </c>
      <c r="S23" s="99" t="e">
        <f t="shared" si="3"/>
        <v>#DIV/0!</v>
      </c>
    </row>
    <row r="24" spans="1:19">
      <c r="A24" t="s">
        <v>354</v>
      </c>
      <c r="B24">
        <v>0</v>
      </c>
      <c r="C24" t="s">
        <v>468</v>
      </c>
      <c r="D24" t="s">
        <v>469</v>
      </c>
      <c r="F24" t="s">
        <v>450</v>
      </c>
      <c r="G24" t="s">
        <v>451</v>
      </c>
      <c r="H24" s="122">
        <f>'Raw Results'!G24</f>
        <v>15391302.960000001</v>
      </c>
      <c r="I24" s="122">
        <f>'Raw Results'!H24</f>
        <v>26385090.789999999</v>
      </c>
      <c r="J24" s="99">
        <f t="shared" si="0"/>
        <v>0.71428571437853094</v>
      </c>
      <c r="K24" s="122">
        <f>'Raw Results'!J24</f>
        <v>5020075.4400000004</v>
      </c>
      <c r="L24" s="122">
        <f>'Raw Results'!L24</f>
        <v>8688592.1199999992</v>
      </c>
      <c r="M24" s="99">
        <f t="shared" si="1"/>
        <v>0.73076923322092513</v>
      </c>
      <c r="N24" s="122">
        <f>'Raw Results'!N24</f>
        <v>20008427.719999999</v>
      </c>
      <c r="O24" s="122">
        <f>'Raw Results'!P24</f>
        <v>27011365.91</v>
      </c>
      <c r="P24" s="99">
        <f t="shared" si="2"/>
        <v>0.34999942464244771</v>
      </c>
      <c r="Q24" s="122">
        <f>'Raw Results'!R24</f>
        <v>898618.16</v>
      </c>
      <c r="R24" s="122">
        <f>'Raw Results'!T24</f>
        <v>1190817.68</v>
      </c>
      <c r="S24" s="99">
        <f t="shared" si="3"/>
        <v>0.32516538503962561</v>
      </c>
    </row>
    <row r="25" spans="1:19">
      <c r="A25" t="s">
        <v>354</v>
      </c>
      <c r="B25">
        <v>0</v>
      </c>
      <c r="C25" t="s">
        <v>468</v>
      </c>
      <c r="D25" t="s">
        <v>469</v>
      </c>
      <c r="F25" t="s">
        <v>452</v>
      </c>
      <c r="G25" t="s">
        <v>451</v>
      </c>
      <c r="H25" s="122">
        <f>'Raw Results'!G25</f>
        <v>2610202.5099999998</v>
      </c>
      <c r="I25" s="122">
        <f>'Raw Results'!H25</f>
        <v>3084390.55</v>
      </c>
      <c r="J25" s="99">
        <f t="shared" si="0"/>
        <v>0.18166714581850588</v>
      </c>
      <c r="K25" s="122">
        <f>'Raw Results'!J25</f>
        <v>900535.86</v>
      </c>
      <c r="L25" s="122">
        <f>'Raw Results'!L25</f>
        <v>1078616.21</v>
      </c>
      <c r="M25" s="99">
        <f t="shared" si="1"/>
        <v>0.19774931561303952</v>
      </c>
      <c r="N25" s="122">
        <f>'Raw Results'!N25</f>
        <v>495788.54</v>
      </c>
      <c r="O25" s="122">
        <f>'Raw Results'!P25</f>
        <v>637415.41</v>
      </c>
      <c r="P25" s="99">
        <f t="shared" si="2"/>
        <v>0.28565982989441435</v>
      </c>
      <c r="Q25" s="122">
        <f>'Raw Results'!R25</f>
        <v>29677.759999999998</v>
      </c>
      <c r="R25" s="122">
        <f>'Raw Results'!T25</f>
        <v>37963.39</v>
      </c>
      <c r="S25" s="99">
        <f t="shared" si="3"/>
        <v>0.27918650194623856</v>
      </c>
    </row>
    <row r="26" spans="1:19">
      <c r="A26" t="s">
        <v>354</v>
      </c>
      <c r="B26">
        <v>0</v>
      </c>
      <c r="C26" t="s">
        <v>468</v>
      </c>
      <c r="D26" t="s">
        <v>469</v>
      </c>
      <c r="F26" t="s">
        <v>453</v>
      </c>
      <c r="G26" t="s">
        <v>451</v>
      </c>
      <c r="H26" s="122">
        <f>'Raw Results'!G26</f>
        <v>44712403.799999997</v>
      </c>
      <c r="I26" s="122">
        <f>'Raw Results'!H26</f>
        <v>44469592.240000002</v>
      </c>
      <c r="J26" s="99">
        <f t="shared" si="0"/>
        <v>-5.430519036419933E-3</v>
      </c>
      <c r="K26" s="122">
        <f>'Raw Results'!J26</f>
        <v>14269368.109999999</v>
      </c>
      <c r="L26" s="122">
        <f>'Raw Results'!L26</f>
        <v>14085601.609999999</v>
      </c>
      <c r="M26" s="99">
        <f t="shared" si="1"/>
        <v>-1.2878390870806403E-2</v>
      </c>
      <c r="N26" s="122">
        <f>'Raw Results'!N26</f>
        <v>17947620.190000001</v>
      </c>
      <c r="O26" s="122">
        <f>'Raw Results'!P26</f>
        <v>17001415.77</v>
      </c>
      <c r="P26" s="99">
        <f t="shared" si="2"/>
        <v>-5.2720327819685255E-2</v>
      </c>
      <c r="Q26" s="122">
        <f>'Raw Results'!R26</f>
        <v>907704.42</v>
      </c>
      <c r="R26" s="122">
        <f>'Raw Results'!T26</f>
        <v>835416</v>
      </c>
      <c r="S26" s="99">
        <f t="shared" si="3"/>
        <v>-7.9638722041256604E-2</v>
      </c>
    </row>
    <row r="27" spans="1:19">
      <c r="A27" t="s">
        <v>354</v>
      </c>
      <c r="B27">
        <v>0</v>
      </c>
      <c r="C27" t="s">
        <v>468</v>
      </c>
      <c r="D27" t="s">
        <v>469</v>
      </c>
      <c r="F27" t="s">
        <v>454</v>
      </c>
      <c r="G27" t="s">
        <v>451</v>
      </c>
      <c r="H27" s="122">
        <f>'Raw Results'!G27</f>
        <v>30731.55</v>
      </c>
      <c r="I27" s="122">
        <f>'Raw Results'!H27</f>
        <v>30919.39</v>
      </c>
      <c r="J27" s="99">
        <f t="shared" si="0"/>
        <v>6.112285257333267E-3</v>
      </c>
      <c r="K27" s="122">
        <f>'Raw Results'!J27</f>
        <v>8950.7199999999993</v>
      </c>
      <c r="L27" s="122">
        <f>'Raw Results'!L27</f>
        <v>9242.4699999999993</v>
      </c>
      <c r="M27" s="99">
        <f t="shared" si="1"/>
        <v>3.2595143184012014E-2</v>
      </c>
      <c r="N27" s="122">
        <f>'Raw Results'!N27</f>
        <v>9906.17</v>
      </c>
      <c r="O27" s="122">
        <f>'Raw Results'!P27</f>
        <v>8375.19</v>
      </c>
      <c r="P27" s="99">
        <f t="shared" si="2"/>
        <v>-0.15454812505741367</v>
      </c>
      <c r="Q27" s="122">
        <f>'Raw Results'!R27</f>
        <v>496.5</v>
      </c>
      <c r="R27" s="122">
        <f>'Raw Results'!T27</f>
        <v>415.19</v>
      </c>
      <c r="S27" s="99">
        <f t="shared" si="3"/>
        <v>-0.16376636455186305</v>
      </c>
    </row>
    <row r="28" spans="1:19">
      <c r="A28" t="s">
        <v>354</v>
      </c>
      <c r="B28">
        <v>0</v>
      </c>
      <c r="C28" t="s">
        <v>468</v>
      </c>
      <c r="D28" t="s">
        <v>469</v>
      </c>
      <c r="F28" t="s">
        <v>455</v>
      </c>
      <c r="G28" t="s">
        <v>451</v>
      </c>
      <c r="H28" s="122">
        <f>'Raw Results'!G28</f>
        <v>1291387.3999999999</v>
      </c>
      <c r="I28" s="122">
        <f>'Raw Results'!H28</f>
        <v>1299280.8999999999</v>
      </c>
      <c r="J28" s="99">
        <f t="shared" si="0"/>
        <v>6.1124183184689583E-3</v>
      </c>
      <c r="K28" s="122">
        <f>'Raw Results'!J28</f>
        <v>376123.09</v>
      </c>
      <c r="L28" s="122">
        <f>'Raw Results'!L28</f>
        <v>388382.78</v>
      </c>
      <c r="M28" s="99">
        <f t="shared" si="1"/>
        <v>3.2594888019238599E-2</v>
      </c>
      <c r="N28" s="122">
        <f>'Raw Results'!N28</f>
        <v>416272.79</v>
      </c>
      <c r="O28" s="122">
        <f>'Raw Results'!P28</f>
        <v>351938.44</v>
      </c>
      <c r="P28" s="99">
        <f t="shared" si="2"/>
        <v>-0.15454853534865917</v>
      </c>
      <c r="Q28" s="122">
        <f>'Raw Results'!R28</f>
        <v>20863.5</v>
      </c>
      <c r="R28" s="122">
        <f>'Raw Results'!T28</f>
        <v>17447.099999999999</v>
      </c>
      <c r="S28" s="99">
        <f t="shared" si="3"/>
        <v>-0.1637500898698685</v>
      </c>
    </row>
    <row r="29" spans="1:19">
      <c r="A29" t="s">
        <v>354</v>
      </c>
      <c r="B29">
        <v>0</v>
      </c>
      <c r="C29" t="s">
        <v>468</v>
      </c>
      <c r="D29" t="s">
        <v>469</v>
      </c>
      <c r="F29" t="s">
        <v>456</v>
      </c>
      <c r="G29" t="s">
        <v>457</v>
      </c>
      <c r="H29" s="122">
        <f>'Raw Results'!G29</f>
        <v>261751.74</v>
      </c>
      <c r="I29" s="122">
        <f>'Raw Results'!H29</f>
        <v>286385.89</v>
      </c>
      <c r="J29" s="99">
        <f t="shared" si="0"/>
        <v>9.4112650406832157E-2</v>
      </c>
      <c r="K29" s="122">
        <f>'Raw Results'!J29</f>
        <v>96538.89</v>
      </c>
      <c r="L29" s="122">
        <f>'Raw Results'!L29</f>
        <v>103087.53</v>
      </c>
      <c r="M29" s="99">
        <f t="shared" si="1"/>
        <v>6.783421686327655E-2</v>
      </c>
      <c r="N29" s="122">
        <f>'Raw Results'!N29</f>
        <v>96836.21</v>
      </c>
      <c r="O29" s="122">
        <f>'Raw Results'!P29</f>
        <v>105025.36</v>
      </c>
      <c r="P29" s="99">
        <f t="shared" si="2"/>
        <v>8.4567023017526124E-2</v>
      </c>
      <c r="Q29" s="122">
        <f>'Raw Results'!R29</f>
        <v>5172.78</v>
      </c>
      <c r="R29" s="122">
        <f>'Raw Results'!T29</f>
        <v>5425.58</v>
      </c>
      <c r="S29" s="99">
        <f t="shared" si="3"/>
        <v>4.8871206585240468E-2</v>
      </c>
    </row>
    <row r="30" spans="1:19">
      <c r="A30" t="s">
        <v>354</v>
      </c>
      <c r="B30">
        <v>0</v>
      </c>
      <c r="C30" t="s">
        <v>468</v>
      </c>
      <c r="D30" t="s">
        <v>469</v>
      </c>
      <c r="F30" t="s">
        <v>458</v>
      </c>
      <c r="G30" t="s">
        <v>457</v>
      </c>
      <c r="H30" s="122">
        <f>'Raw Results'!G30</f>
        <v>1947916.63</v>
      </c>
      <c r="I30" s="122">
        <f>'Raw Results'!H30</f>
        <v>2607274.86</v>
      </c>
      <c r="J30" s="99">
        <f t="shared" si="0"/>
        <v>0.33849407097058359</v>
      </c>
      <c r="K30" s="122">
        <f>'Raw Results'!J30</f>
        <v>758750.1</v>
      </c>
      <c r="L30" s="122">
        <f>'Raw Results'!L30</f>
        <v>982780.72</v>
      </c>
      <c r="M30" s="99">
        <f t="shared" si="1"/>
        <v>0.29526272220590155</v>
      </c>
      <c r="N30" s="122">
        <f>'Raw Results'!N30</f>
        <v>321234.33</v>
      </c>
      <c r="O30" s="122">
        <f>'Raw Results'!P30</f>
        <v>482044.66</v>
      </c>
      <c r="P30" s="99">
        <f t="shared" si="2"/>
        <v>0.50060132116016354</v>
      </c>
      <c r="Q30" s="122">
        <f>'Raw Results'!R30</f>
        <v>18225.849999999999</v>
      </c>
      <c r="R30" s="122">
        <f>'Raw Results'!T30</f>
        <v>26426.29</v>
      </c>
      <c r="S30" s="99">
        <f t="shared" si="3"/>
        <v>0.44993457095279521</v>
      </c>
    </row>
    <row r="31" spans="1:19">
      <c r="A31" t="s">
        <v>354</v>
      </c>
      <c r="B31">
        <v>0</v>
      </c>
      <c r="C31" t="s">
        <v>468</v>
      </c>
      <c r="D31" t="s">
        <v>469</v>
      </c>
      <c r="F31" t="s">
        <v>471</v>
      </c>
      <c r="G31" t="s">
        <v>449</v>
      </c>
      <c r="H31" s="122">
        <f>'Raw Results'!G31</f>
        <v>0</v>
      </c>
      <c r="I31" s="122">
        <f>'Raw Results'!H31</f>
        <v>0</v>
      </c>
      <c r="J31" s="99" t="e">
        <f t="shared" si="0"/>
        <v>#DIV/0!</v>
      </c>
      <c r="K31" s="122">
        <f>'Raw Results'!J31</f>
        <v>0</v>
      </c>
      <c r="L31" s="122">
        <f>'Raw Results'!L31</f>
        <v>0</v>
      </c>
      <c r="M31" s="99" t="e">
        <f t="shared" si="1"/>
        <v>#DIV/0!</v>
      </c>
      <c r="N31" s="122">
        <f>'Raw Results'!N31</f>
        <v>0</v>
      </c>
      <c r="O31" s="122">
        <f>'Raw Results'!P31</f>
        <v>0</v>
      </c>
      <c r="P31" s="99" t="e">
        <f t="shared" si="2"/>
        <v>#DIV/0!</v>
      </c>
      <c r="Q31" s="122">
        <f>'Raw Results'!R31</f>
        <v>0</v>
      </c>
      <c r="R31" s="122">
        <f>'Raw Results'!T31</f>
        <v>0</v>
      </c>
      <c r="S31" s="99" t="e">
        <f t="shared" si="3"/>
        <v>#DIV/0!</v>
      </c>
    </row>
    <row r="32" spans="1:19">
      <c r="A32" t="s">
        <v>354</v>
      </c>
      <c r="B32">
        <v>0</v>
      </c>
      <c r="C32" t="s">
        <v>468</v>
      </c>
      <c r="D32" t="s">
        <v>469</v>
      </c>
      <c r="F32" t="s">
        <v>472</v>
      </c>
      <c r="G32" t="s">
        <v>451</v>
      </c>
      <c r="H32" s="122">
        <f>'Raw Results'!G32</f>
        <v>421502187.82999998</v>
      </c>
      <c r="I32" s="122">
        <f>'Raw Results'!H32</f>
        <v>414257687.33999997</v>
      </c>
      <c r="J32" s="99">
        <f t="shared" si="0"/>
        <v>-1.7187337810265074E-2</v>
      </c>
      <c r="K32" s="122">
        <f>'Raw Results'!J32</f>
        <v>124347530.95999999</v>
      </c>
      <c r="L32" s="122">
        <f>'Raw Results'!L32</f>
        <v>127284733.79000001</v>
      </c>
      <c r="M32" s="99">
        <f t="shared" si="1"/>
        <v>2.3620917981434227E-2</v>
      </c>
      <c r="N32" s="122">
        <f>'Raw Results'!N32</f>
        <v>129832097.48999999</v>
      </c>
      <c r="O32" s="122">
        <f>'Raw Results'!P32</f>
        <v>108167533.95999999</v>
      </c>
      <c r="P32" s="99">
        <f t="shared" si="2"/>
        <v>-0.16686600577849142</v>
      </c>
      <c r="Q32" s="122">
        <f>'Raw Results'!R32</f>
        <v>6866404.6699999999</v>
      </c>
      <c r="R32" s="122">
        <f>'Raw Results'!T32</f>
        <v>5667665.9199999999</v>
      </c>
      <c r="S32" s="99">
        <f t="shared" si="3"/>
        <v>-0.17458026545353611</v>
      </c>
    </row>
    <row r="33" spans="1:19">
      <c r="A33" t="s">
        <v>354</v>
      </c>
      <c r="B33">
        <v>0</v>
      </c>
      <c r="C33" t="s">
        <v>468</v>
      </c>
      <c r="D33" t="s">
        <v>469</v>
      </c>
      <c r="F33" t="s">
        <v>473</v>
      </c>
      <c r="G33" t="s">
        <v>451</v>
      </c>
      <c r="H33" s="122">
        <f>'Raw Results'!G33</f>
        <v>949716022.61000001</v>
      </c>
      <c r="I33" s="122">
        <f>'Raw Results'!H33</f>
        <v>1197556701.8699999</v>
      </c>
      <c r="J33" s="99">
        <f t="shared" si="0"/>
        <v>0.26096293350815186</v>
      </c>
      <c r="K33" s="122">
        <f>'Raw Results'!J33</f>
        <v>321707082.12</v>
      </c>
      <c r="L33" s="122">
        <f>'Raw Results'!L33</f>
        <v>408638523.16000003</v>
      </c>
      <c r="M33" s="99">
        <f t="shared" si="1"/>
        <v>0.27021923318297891</v>
      </c>
      <c r="N33" s="122">
        <f>'Raw Results'!N33</f>
        <v>505665275.13</v>
      </c>
      <c r="O33" s="122">
        <f>'Raw Results'!P33</f>
        <v>609569550</v>
      </c>
      <c r="P33" s="99">
        <f t="shared" si="2"/>
        <v>0.20548034437066606</v>
      </c>
      <c r="Q33" s="122">
        <f>'Raw Results'!R33</f>
        <v>25685853.050000001</v>
      </c>
      <c r="R33" s="122">
        <f>'Raw Results'!T33</f>
        <v>30259224.989999998</v>
      </c>
      <c r="S33" s="99">
        <f t="shared" si="3"/>
        <v>0.17805022597838141</v>
      </c>
    </row>
    <row r="34" spans="1:19">
      <c r="A34" t="s">
        <v>354</v>
      </c>
      <c r="B34">
        <v>0</v>
      </c>
      <c r="C34" t="s">
        <v>468</v>
      </c>
      <c r="D34" t="s">
        <v>469</v>
      </c>
      <c r="F34" t="s">
        <v>459</v>
      </c>
      <c r="G34" t="s">
        <v>460</v>
      </c>
      <c r="H34" s="122">
        <f>'Raw Results'!G34</f>
        <v>109.24</v>
      </c>
      <c r="I34" s="122">
        <f>'Raw Results'!H34</f>
        <v>88.56</v>
      </c>
      <c r="J34" s="99">
        <f t="shared" si="0"/>
        <v>-0.18930794580739649</v>
      </c>
      <c r="K34" s="122">
        <f>'Raw Results'!J34</f>
        <v>104.97</v>
      </c>
      <c r="L34" s="122">
        <f>'Raw Results'!L34</f>
        <v>85.8</v>
      </c>
      <c r="M34" s="99">
        <f t="shared" si="1"/>
        <v>-0.18262360674478426</v>
      </c>
      <c r="N34" s="122">
        <f>'Raw Results'!N34</f>
        <v>142.29</v>
      </c>
      <c r="O34" s="122">
        <f>'Raw Results'!P34</f>
        <v>92.85</v>
      </c>
      <c r="P34" s="99">
        <f t="shared" si="2"/>
        <v>-0.34745941387307611</v>
      </c>
      <c r="Q34" s="122">
        <f>'Raw Results'!R34</f>
        <v>133.27000000000001</v>
      </c>
      <c r="R34" s="122">
        <f>'Raw Results'!T34</f>
        <v>87.21</v>
      </c>
      <c r="S34" s="99">
        <f t="shared" si="3"/>
        <v>-0.34561416672919648</v>
      </c>
    </row>
    <row r="35" spans="1:19">
      <c r="A35" t="s">
        <v>354</v>
      </c>
      <c r="B35">
        <v>1</v>
      </c>
      <c r="C35" t="s">
        <v>468</v>
      </c>
      <c r="D35" t="s">
        <v>469</v>
      </c>
      <c r="F35" t="s">
        <v>474</v>
      </c>
      <c r="G35" t="s">
        <v>381</v>
      </c>
      <c r="H35" s="122">
        <f>'Raw Results'!G35</f>
        <v>0</v>
      </c>
      <c r="I35" s="122">
        <f>'Raw Results'!H35</f>
        <v>0</v>
      </c>
      <c r="J35" s="99" t="e">
        <f t="shared" si="0"/>
        <v>#DIV/0!</v>
      </c>
      <c r="K35" s="122">
        <f>'Raw Results'!J35</f>
        <v>0</v>
      </c>
      <c r="L35" s="122">
        <f>'Raw Results'!L35</f>
        <v>0</v>
      </c>
      <c r="M35" s="99" t="e">
        <f t="shared" si="1"/>
        <v>#DIV/0!</v>
      </c>
      <c r="N35" s="122">
        <f>'Raw Results'!N35</f>
        <v>0</v>
      </c>
      <c r="O35" s="122">
        <f>'Raw Results'!P35</f>
        <v>0</v>
      </c>
      <c r="P35" s="99" t="e">
        <f t="shared" si="2"/>
        <v>#DIV/0!</v>
      </c>
      <c r="Q35" s="122">
        <f>'Raw Results'!R35</f>
        <v>0</v>
      </c>
      <c r="R35" s="122">
        <f>'Raw Results'!T35</f>
        <v>0</v>
      </c>
      <c r="S35" s="99" t="e">
        <f t="shared" si="3"/>
        <v>#DIV/0!</v>
      </c>
    </row>
    <row r="36" spans="1:19">
      <c r="A36" t="s">
        <v>354</v>
      </c>
      <c r="B36">
        <v>1</v>
      </c>
      <c r="C36" t="s">
        <v>468</v>
      </c>
      <c r="D36" t="s">
        <v>469</v>
      </c>
      <c r="F36" t="s">
        <v>475</v>
      </c>
      <c r="G36" t="s">
        <v>381</v>
      </c>
      <c r="H36" s="122">
        <f>'Raw Results'!G36</f>
        <v>0</v>
      </c>
      <c r="I36" s="122">
        <f>'Raw Results'!H36</f>
        <v>0</v>
      </c>
      <c r="J36" s="99" t="e">
        <f t="shared" si="0"/>
        <v>#DIV/0!</v>
      </c>
      <c r="K36" s="122">
        <f>'Raw Results'!J36</f>
        <v>0</v>
      </c>
      <c r="L36" s="122">
        <f>'Raw Results'!L36</f>
        <v>0</v>
      </c>
      <c r="M36" s="99" t="e">
        <f t="shared" si="1"/>
        <v>#DIV/0!</v>
      </c>
      <c r="N36" s="122">
        <f>'Raw Results'!N36</f>
        <v>0</v>
      </c>
      <c r="O36" s="122">
        <f>'Raw Results'!P36</f>
        <v>0</v>
      </c>
      <c r="P36" s="99" t="e">
        <f t="shared" si="2"/>
        <v>#DIV/0!</v>
      </c>
      <c r="Q36" s="122">
        <f>'Raw Results'!R36</f>
        <v>0</v>
      </c>
      <c r="R36" s="122">
        <f>'Raw Results'!T36</f>
        <v>0</v>
      </c>
      <c r="S36" s="99" t="e">
        <f t="shared" si="3"/>
        <v>#DIV/0!</v>
      </c>
    </row>
    <row r="37" spans="1:19">
      <c r="A37" t="s">
        <v>354</v>
      </c>
      <c r="B37">
        <v>1</v>
      </c>
      <c r="C37" t="s">
        <v>468</v>
      </c>
      <c r="D37" t="s">
        <v>469</v>
      </c>
      <c r="F37" t="s">
        <v>476</v>
      </c>
      <c r="G37" t="s">
        <v>381</v>
      </c>
      <c r="H37" s="122">
        <f>'Raw Results'!G37</f>
        <v>6525853.8099999996</v>
      </c>
      <c r="I37" s="122">
        <f>'Raw Results'!H37</f>
        <v>7720567.5099999998</v>
      </c>
      <c r="J37" s="99">
        <f t="shared" si="0"/>
        <v>0.18307392944801507</v>
      </c>
      <c r="K37" s="122">
        <f>'Raw Results'!J37</f>
        <v>2133866.13</v>
      </c>
      <c r="L37" s="122">
        <f>'Raw Results'!L37</f>
        <v>2529250.63</v>
      </c>
      <c r="M37" s="99">
        <f t="shared" si="1"/>
        <v>0.18529020843495933</v>
      </c>
      <c r="N37" s="122">
        <f>'Raw Results'!N37</f>
        <v>714051.65</v>
      </c>
      <c r="O37" s="122">
        <f>'Raw Results'!P37</f>
        <v>1199656.6499999999</v>
      </c>
      <c r="P37" s="99">
        <f t="shared" si="2"/>
        <v>0.68006985208983117</v>
      </c>
      <c r="Q37" s="122">
        <f>'Raw Results'!R37</f>
        <v>38309.42</v>
      </c>
      <c r="R37" s="122">
        <f>'Raw Results'!T37</f>
        <v>63694.87</v>
      </c>
      <c r="S37" s="99">
        <f t="shared" si="3"/>
        <v>0.662642504115176</v>
      </c>
    </row>
    <row r="38" spans="1:19">
      <c r="A38" t="s">
        <v>354</v>
      </c>
      <c r="B38">
        <v>1</v>
      </c>
      <c r="C38" t="s">
        <v>468</v>
      </c>
      <c r="D38" t="s">
        <v>469</v>
      </c>
      <c r="F38" t="s">
        <v>477</v>
      </c>
      <c r="G38" t="s">
        <v>381</v>
      </c>
      <c r="H38" s="122">
        <f>'Raw Results'!G38</f>
        <v>12831807.35</v>
      </c>
      <c r="I38" s="122">
        <f>'Raw Results'!H38</f>
        <v>15959336.52</v>
      </c>
      <c r="J38" s="99">
        <f t="shared" si="0"/>
        <v>0.24373255338812425</v>
      </c>
      <c r="K38" s="122">
        <f>'Raw Results'!J38</f>
        <v>3234525.85</v>
      </c>
      <c r="L38" s="122">
        <f>'Raw Results'!L38</f>
        <v>4373973.09</v>
      </c>
      <c r="M38" s="99">
        <f t="shared" si="1"/>
        <v>0.35227643643657996</v>
      </c>
      <c r="N38" s="122">
        <f>'Raw Results'!N38</f>
        <v>3548847.17</v>
      </c>
      <c r="O38" s="122">
        <f>'Raw Results'!P38</f>
        <v>4272339.4400000004</v>
      </c>
      <c r="P38" s="99">
        <f t="shared" si="2"/>
        <v>0.20386684332760391</v>
      </c>
      <c r="Q38" s="122">
        <f>'Raw Results'!R38</f>
        <v>178957.55</v>
      </c>
      <c r="R38" s="122">
        <f>'Raw Results'!T38</f>
        <v>212264.31</v>
      </c>
      <c r="S38" s="99">
        <f t="shared" si="3"/>
        <v>0.18611542234457285</v>
      </c>
    </row>
    <row r="39" spans="1:19">
      <c r="A39" t="s">
        <v>354</v>
      </c>
      <c r="B39">
        <v>0</v>
      </c>
      <c r="C39" t="s">
        <v>468</v>
      </c>
      <c r="D39" t="s">
        <v>469</v>
      </c>
      <c r="F39" t="s">
        <v>478</v>
      </c>
      <c r="G39" t="s">
        <v>460</v>
      </c>
      <c r="H39" s="122">
        <f>'Raw Results'!G39</f>
        <v>47.6</v>
      </c>
      <c r="I39" s="122">
        <f>'Raw Results'!H39</f>
        <v>35.01</v>
      </c>
      <c r="J39" s="99">
        <f t="shared" si="0"/>
        <v>-0.26449579831932779</v>
      </c>
      <c r="K39" s="122">
        <f>'Raw Results'!J39</f>
        <v>49.44</v>
      </c>
      <c r="L39" s="122">
        <f>'Raw Results'!L39</f>
        <v>36.28</v>
      </c>
      <c r="M39" s="99">
        <f t="shared" si="1"/>
        <v>-0.2661812297734627</v>
      </c>
      <c r="N39" s="122">
        <f>'Raw Results'!N39</f>
        <v>19.5</v>
      </c>
      <c r="O39" s="122">
        <f>'Raw Results'!P39</f>
        <v>17.41</v>
      </c>
      <c r="P39" s="99">
        <f t="shared" si="2"/>
        <v>-0.10717948717948718</v>
      </c>
      <c r="Q39" s="122">
        <f>'Raw Results'!R39</f>
        <v>22.05</v>
      </c>
      <c r="R39" s="122">
        <f>'Raw Results'!T39</f>
        <v>19.600000000000001</v>
      </c>
      <c r="S39" s="99">
        <f t="shared" si="3"/>
        <v>-0.11111111111111108</v>
      </c>
    </row>
    <row r="40" spans="1:19">
      <c r="A40" t="s">
        <v>354</v>
      </c>
      <c r="B40">
        <v>1</v>
      </c>
      <c r="C40" t="s">
        <v>468</v>
      </c>
      <c r="D40" t="s">
        <v>469</v>
      </c>
      <c r="F40" t="s">
        <v>479</v>
      </c>
      <c r="G40" t="s">
        <v>381</v>
      </c>
      <c r="H40" s="122">
        <f>'Raw Results'!G40</f>
        <v>570048257.75</v>
      </c>
      <c r="I40" s="122">
        <f>'Raw Results'!H40</f>
        <v>977225585</v>
      </c>
      <c r="J40" s="99">
        <f t="shared" si="0"/>
        <v>0.71428571478692493</v>
      </c>
      <c r="K40" s="122">
        <f>'Raw Results'!J40</f>
        <v>185928720.16</v>
      </c>
      <c r="L40" s="122">
        <f>'Raw Results'!L40</f>
        <v>321799708</v>
      </c>
      <c r="M40" s="99">
        <f t="shared" si="1"/>
        <v>0.73076923093472024</v>
      </c>
      <c r="N40" s="122">
        <f>'Raw Results'!N40</f>
        <v>741052878.37</v>
      </c>
      <c r="O40" s="122">
        <f>'Raw Results'!P40</f>
        <v>1000420959.61</v>
      </c>
      <c r="P40" s="99">
        <f t="shared" si="2"/>
        <v>0.34999942488651964</v>
      </c>
      <c r="Q40" s="122">
        <f>'Raw Results'!R40</f>
        <v>33282154.109999999</v>
      </c>
      <c r="R40" s="122">
        <f>'Raw Results'!T40</f>
        <v>44104358.469999999</v>
      </c>
      <c r="S40" s="99">
        <f t="shared" si="3"/>
        <v>0.32516538215140184</v>
      </c>
    </row>
    <row r="41" spans="1:19">
      <c r="A41" t="s">
        <v>354</v>
      </c>
      <c r="B41">
        <v>0</v>
      </c>
      <c r="C41" t="s">
        <v>468</v>
      </c>
      <c r="D41" t="s">
        <v>469</v>
      </c>
      <c r="F41" t="s">
        <v>461</v>
      </c>
      <c r="G41" t="s">
        <v>457</v>
      </c>
      <c r="H41" s="122">
        <f>'Raw Results'!G41</f>
        <v>53.18</v>
      </c>
      <c r="I41" s="122">
        <f>'Raw Results'!H41</f>
        <v>58.16</v>
      </c>
      <c r="J41" s="99">
        <f t="shared" si="0"/>
        <v>9.3644227153065002E-2</v>
      </c>
      <c r="K41" s="122">
        <f>'Raw Results'!J41</f>
        <v>19.940000000000001</v>
      </c>
      <c r="L41" s="122">
        <f>'Raw Results'!L41</f>
        <v>21.18</v>
      </c>
      <c r="M41" s="99">
        <f t="shared" si="1"/>
        <v>6.218655967903703E-2</v>
      </c>
      <c r="N41" s="122">
        <f>'Raw Results'!N41</f>
        <v>22.16</v>
      </c>
      <c r="O41" s="122">
        <f>'Raw Results'!P41</f>
        <v>24.51</v>
      </c>
      <c r="P41" s="99">
        <f t="shared" si="2"/>
        <v>0.1060469314079423</v>
      </c>
      <c r="Q41" s="122">
        <f>'Raw Results'!R41</f>
        <v>1.19</v>
      </c>
      <c r="R41" s="122">
        <f>'Raw Results'!T41</f>
        <v>1.27</v>
      </c>
      <c r="S41" s="99">
        <f t="shared" si="3"/>
        <v>6.7226890756302587E-2</v>
      </c>
    </row>
    <row r="42" spans="1:19">
      <c r="A42" t="s">
        <v>354</v>
      </c>
      <c r="B42">
        <v>0</v>
      </c>
      <c r="C42" t="s">
        <v>468</v>
      </c>
      <c r="D42" t="s">
        <v>469</v>
      </c>
      <c r="F42" t="s">
        <v>462</v>
      </c>
      <c r="G42" t="s">
        <v>457</v>
      </c>
      <c r="H42" s="122">
        <f>'Raw Results'!G42</f>
        <v>336364.04</v>
      </c>
      <c r="I42" s="122">
        <f>'Raw Results'!H42</f>
        <v>402703.94</v>
      </c>
      <c r="J42" s="99">
        <f t="shared" si="0"/>
        <v>0.19722649305793813</v>
      </c>
      <c r="K42" s="122">
        <f>'Raw Results'!J42</f>
        <v>125367.38</v>
      </c>
      <c r="L42" s="122">
        <f>'Raw Results'!L42</f>
        <v>191907.58</v>
      </c>
      <c r="M42" s="99">
        <f t="shared" si="1"/>
        <v>0.53076167022075427</v>
      </c>
      <c r="N42" s="122">
        <f>'Raw Results'!N42</f>
        <v>99971.73</v>
      </c>
      <c r="O42" s="122">
        <f>'Raw Results'!P42</f>
        <v>82004.639999999999</v>
      </c>
      <c r="P42" s="99">
        <f t="shared" si="2"/>
        <v>-0.17972170732666121</v>
      </c>
      <c r="Q42" s="122">
        <f>'Raw Results'!R42</f>
        <v>12030.02</v>
      </c>
      <c r="R42" s="122">
        <f>'Raw Results'!T42</f>
        <v>9264.3799999999992</v>
      </c>
      <c r="S42" s="99">
        <f t="shared" si="3"/>
        <v>-0.22989487964276045</v>
      </c>
    </row>
    <row r="43" spans="1:19">
      <c r="A43" t="s">
        <v>354</v>
      </c>
      <c r="B43">
        <v>1</v>
      </c>
      <c r="C43" t="s">
        <v>468</v>
      </c>
      <c r="D43" t="s">
        <v>469</v>
      </c>
      <c r="F43" t="s">
        <v>480</v>
      </c>
      <c r="G43" t="s">
        <v>30</v>
      </c>
      <c r="H43" s="122">
        <f>'Raw Results'!G43</f>
        <v>0</v>
      </c>
      <c r="I43" s="122">
        <f>'Raw Results'!H43</f>
        <v>0</v>
      </c>
      <c r="J43" s="99" t="e">
        <f t="shared" si="0"/>
        <v>#DIV/0!</v>
      </c>
      <c r="K43" s="122">
        <f>'Raw Results'!J43</f>
        <v>0</v>
      </c>
      <c r="L43" s="122">
        <f>'Raw Results'!L43</f>
        <v>0</v>
      </c>
      <c r="M43" s="99" t="e">
        <f t="shared" si="1"/>
        <v>#DIV/0!</v>
      </c>
      <c r="N43" s="122">
        <f>'Raw Results'!N43</f>
        <v>0</v>
      </c>
      <c r="O43" s="122">
        <f>'Raw Results'!P43</f>
        <v>0</v>
      </c>
      <c r="P43" s="99" t="e">
        <f t="shared" si="2"/>
        <v>#DIV/0!</v>
      </c>
      <c r="Q43" s="122">
        <f>'Raw Results'!R43</f>
        <v>0</v>
      </c>
      <c r="R43" s="122">
        <f>'Raw Results'!T43</f>
        <v>0</v>
      </c>
      <c r="S43" s="99" t="e">
        <f t="shared" si="3"/>
        <v>#DIV/0!</v>
      </c>
    </row>
    <row r="44" spans="1:19">
      <c r="A44" t="s">
        <v>354</v>
      </c>
      <c r="B44">
        <v>1</v>
      </c>
      <c r="C44" t="s">
        <v>468</v>
      </c>
      <c r="D44" t="s">
        <v>469</v>
      </c>
      <c r="F44" t="s">
        <v>481</v>
      </c>
      <c r="G44" t="s">
        <v>30</v>
      </c>
      <c r="H44" s="122">
        <f>'Raw Results'!G44</f>
        <v>0</v>
      </c>
      <c r="I44" s="122">
        <f>'Raw Results'!H44</f>
        <v>0</v>
      </c>
      <c r="J44" s="99" t="e">
        <f t="shared" si="0"/>
        <v>#DIV/0!</v>
      </c>
      <c r="K44" s="122">
        <f>'Raw Results'!J44</f>
        <v>0</v>
      </c>
      <c r="L44" s="122">
        <f>'Raw Results'!L44</f>
        <v>0</v>
      </c>
      <c r="M44" s="99" t="e">
        <f t="shared" si="1"/>
        <v>#DIV/0!</v>
      </c>
      <c r="N44" s="122">
        <f>'Raw Results'!N44</f>
        <v>0</v>
      </c>
      <c r="O44" s="122">
        <f>'Raw Results'!P44</f>
        <v>0</v>
      </c>
      <c r="P44" s="99" t="e">
        <f t="shared" si="2"/>
        <v>#DIV/0!</v>
      </c>
      <c r="Q44" s="122">
        <f>'Raw Results'!R44</f>
        <v>0</v>
      </c>
      <c r="R44" s="122">
        <f>'Raw Results'!T44</f>
        <v>0</v>
      </c>
      <c r="S44" s="99" t="e">
        <f t="shared" si="3"/>
        <v>#DIV/0!</v>
      </c>
    </row>
    <row r="45" spans="1:19">
      <c r="A45" t="s">
        <v>354</v>
      </c>
      <c r="B45">
        <v>1</v>
      </c>
      <c r="C45" t="s">
        <v>468</v>
      </c>
      <c r="D45" t="s">
        <v>469</v>
      </c>
      <c r="F45" t="s">
        <v>373</v>
      </c>
      <c r="G45" t="s">
        <v>30</v>
      </c>
      <c r="H45" s="122">
        <f>'Raw Results'!G45</f>
        <v>184487.95</v>
      </c>
      <c r="I45" s="122">
        <f>'Raw Results'!H45</f>
        <v>176097.83</v>
      </c>
      <c r="J45" s="99">
        <f t="shared" si="0"/>
        <v>-4.5477875384273198E-2</v>
      </c>
      <c r="K45" s="122">
        <f>'Raw Results'!J45</f>
        <v>59902.69</v>
      </c>
      <c r="L45" s="122">
        <f>'Raw Results'!L45</f>
        <v>57375.39</v>
      </c>
      <c r="M45" s="99">
        <f t="shared" si="1"/>
        <v>-4.2190091964150571E-2</v>
      </c>
      <c r="N45" s="122">
        <f>'Raw Results'!N45</f>
        <v>26334.19</v>
      </c>
      <c r="O45" s="122">
        <f>'Raw Results'!P45</f>
        <v>27342.91</v>
      </c>
      <c r="P45" s="99">
        <f t="shared" si="2"/>
        <v>3.8304576673898125E-2</v>
      </c>
      <c r="Q45" s="122">
        <f>'Raw Results'!R45</f>
        <v>1360.74</v>
      </c>
      <c r="R45" s="122">
        <f>'Raw Results'!T45</f>
        <v>1419.21</v>
      </c>
      <c r="S45" s="99">
        <f t="shared" si="3"/>
        <v>4.2969266722518648E-2</v>
      </c>
    </row>
    <row r="46" spans="1:19">
      <c r="A46" t="s">
        <v>354</v>
      </c>
      <c r="B46">
        <v>1</v>
      </c>
      <c r="C46" t="s">
        <v>468</v>
      </c>
      <c r="D46" t="s">
        <v>469</v>
      </c>
      <c r="F46" t="s">
        <v>374</v>
      </c>
      <c r="G46" t="s">
        <v>30</v>
      </c>
      <c r="H46" s="122">
        <f>'Raw Results'!G46</f>
        <v>208307.82</v>
      </c>
      <c r="I46" s="122">
        <f>'Raw Results'!H46</f>
        <v>211021.51</v>
      </c>
      <c r="J46" s="99">
        <f t="shared" si="0"/>
        <v>1.3027307376170525E-2</v>
      </c>
      <c r="K46" s="122">
        <f>'Raw Results'!J46</f>
        <v>52085.79</v>
      </c>
      <c r="L46" s="122">
        <f>'Raw Results'!L46</f>
        <v>57454.51</v>
      </c>
      <c r="M46" s="99">
        <f t="shared" si="1"/>
        <v>0.10307456217905116</v>
      </c>
      <c r="N46" s="122">
        <f>'Raw Results'!N46</f>
        <v>93924.83</v>
      </c>
      <c r="O46" s="122">
        <f>'Raw Results'!P46</f>
        <v>70238.33</v>
      </c>
      <c r="P46" s="99">
        <f t="shared" si="2"/>
        <v>-0.25218571063689976</v>
      </c>
      <c r="Q46" s="122">
        <f>'Raw Results'!R46</f>
        <v>4582.45</v>
      </c>
      <c r="R46" s="122">
        <f>'Raw Results'!T46</f>
        <v>3425.23</v>
      </c>
      <c r="S46" s="99">
        <f t="shared" si="3"/>
        <v>-0.25253303363921042</v>
      </c>
    </row>
    <row r="47" spans="1:19">
      <c r="A47" t="s">
        <v>354</v>
      </c>
      <c r="B47">
        <v>1</v>
      </c>
      <c r="C47" t="s">
        <v>468</v>
      </c>
      <c r="D47" t="s">
        <v>469</v>
      </c>
      <c r="F47" t="s">
        <v>375</v>
      </c>
      <c r="G47" t="s">
        <v>30</v>
      </c>
      <c r="H47" s="122">
        <f>'Raw Results'!G47</f>
        <v>178728.01</v>
      </c>
      <c r="I47" s="122">
        <f>'Raw Results'!H47</f>
        <v>178728.01</v>
      </c>
      <c r="J47" s="99">
        <f t="shared" si="0"/>
        <v>0</v>
      </c>
      <c r="K47" s="122">
        <f>'Raw Results'!J47</f>
        <v>63821.33</v>
      </c>
      <c r="L47" s="122">
        <f>'Raw Results'!L47</f>
        <v>63821.33</v>
      </c>
      <c r="M47" s="99">
        <f t="shared" si="1"/>
        <v>0</v>
      </c>
      <c r="N47" s="122">
        <f>'Raw Results'!N47</f>
        <v>76765.820000000007</v>
      </c>
      <c r="O47" s="122">
        <f>'Raw Results'!P47</f>
        <v>58865.36</v>
      </c>
      <c r="P47" s="99">
        <f t="shared" si="2"/>
        <v>-0.23318268468961845</v>
      </c>
      <c r="Q47" s="122">
        <f>'Raw Results'!R47</f>
        <v>4645.4399999999996</v>
      </c>
      <c r="R47" s="122">
        <f>'Raw Results'!T47</f>
        <v>3599.96</v>
      </c>
      <c r="S47" s="99">
        <f t="shared" si="3"/>
        <v>-0.22505510780464275</v>
      </c>
    </row>
    <row r="48" spans="1:19">
      <c r="A48" t="s">
        <v>354</v>
      </c>
      <c r="B48">
        <v>1</v>
      </c>
      <c r="C48" t="s">
        <v>468</v>
      </c>
      <c r="D48" t="s">
        <v>469</v>
      </c>
      <c r="F48" t="s">
        <v>376</v>
      </c>
      <c r="G48" t="s">
        <v>30</v>
      </c>
      <c r="H48" s="122">
        <f>'Raw Results'!G48</f>
        <v>161626.92000000001</v>
      </c>
      <c r="I48" s="122">
        <f>'Raw Results'!H48</f>
        <v>145464.22</v>
      </c>
      <c r="J48" s="99">
        <f t="shared" si="0"/>
        <v>-0.1000000494967052</v>
      </c>
      <c r="K48" s="122">
        <f>'Raw Results'!J48</f>
        <v>74170.25</v>
      </c>
      <c r="L48" s="122">
        <f>'Raw Results'!L48</f>
        <v>66753.27</v>
      </c>
      <c r="M48" s="99">
        <f t="shared" si="1"/>
        <v>-9.9999393287739977E-2</v>
      </c>
      <c r="N48" s="122">
        <f>'Raw Results'!N48</f>
        <v>10995.38</v>
      </c>
      <c r="O48" s="122">
        <f>'Raw Results'!P48</f>
        <v>9494.2900000000009</v>
      </c>
      <c r="P48" s="99">
        <f t="shared" si="2"/>
        <v>-0.13652006570032127</v>
      </c>
      <c r="Q48" s="122">
        <f>'Raw Results'!R48</f>
        <v>1322.75</v>
      </c>
      <c r="R48" s="122">
        <f>'Raw Results'!T48</f>
        <v>1154.03</v>
      </c>
      <c r="S48" s="99">
        <f t="shared" si="3"/>
        <v>-0.12755244755244757</v>
      </c>
    </row>
    <row r="49" spans="1:19">
      <c r="A49" t="s">
        <v>354</v>
      </c>
      <c r="B49">
        <v>0</v>
      </c>
      <c r="C49" t="s">
        <v>468</v>
      </c>
      <c r="D49" t="s">
        <v>469</v>
      </c>
      <c r="F49" t="s">
        <v>377</v>
      </c>
      <c r="G49" t="s">
        <v>30</v>
      </c>
      <c r="H49" s="122">
        <f>'Raw Results'!G49</f>
        <v>1390127.1</v>
      </c>
      <c r="I49" s="122">
        <f>'Raw Results'!H49</f>
        <v>1353223.76</v>
      </c>
      <c r="J49" s="99">
        <f t="shared" si="0"/>
        <v>-2.654673806445474E-2</v>
      </c>
      <c r="K49" s="122">
        <f>'Raw Results'!J49</f>
        <v>486428.06</v>
      </c>
      <c r="L49" s="122">
        <f>'Raw Results'!L49</f>
        <v>474881.31</v>
      </c>
      <c r="M49" s="99">
        <f t="shared" si="1"/>
        <v>-2.3737836998959313E-2</v>
      </c>
      <c r="N49" s="122">
        <f>'Raw Results'!N49</f>
        <v>295064.13</v>
      </c>
      <c r="O49" s="122">
        <f>'Raw Results'!P49</f>
        <v>252029.28</v>
      </c>
      <c r="P49" s="99">
        <f t="shared" si="2"/>
        <v>-0.14584914133751198</v>
      </c>
      <c r="Q49" s="122">
        <f>'Raw Results'!R49</f>
        <v>17550.080000000002</v>
      </c>
      <c r="R49" s="122">
        <f>'Raw Results'!T49</f>
        <v>15118.23</v>
      </c>
      <c r="S49" s="99">
        <f t="shared" si="3"/>
        <v>-0.13856631992560728</v>
      </c>
    </row>
    <row r="50" spans="1:19">
      <c r="A50" t="s">
        <v>354</v>
      </c>
      <c r="B50">
        <v>0</v>
      </c>
      <c r="C50" t="s">
        <v>468</v>
      </c>
      <c r="D50" t="s">
        <v>469</v>
      </c>
      <c r="F50" t="s">
        <v>378</v>
      </c>
      <c r="G50" t="s">
        <v>30</v>
      </c>
      <c r="H50" s="122">
        <f>'Raw Results'!G50</f>
        <v>161475.01999999999</v>
      </c>
      <c r="I50" s="122">
        <f>'Raw Results'!H50</f>
        <v>174437.07</v>
      </c>
      <c r="J50" s="99">
        <f t="shared" si="0"/>
        <v>8.0272787704253071E-2</v>
      </c>
      <c r="K50" s="122">
        <f>'Raw Results'!J50</f>
        <v>54427.46</v>
      </c>
      <c r="L50" s="122">
        <f>'Raw Results'!L50</f>
        <v>58722.89</v>
      </c>
      <c r="M50" s="99">
        <f t="shared" si="1"/>
        <v>7.8920272965153998E-2</v>
      </c>
      <c r="N50" s="122">
        <f>'Raw Results'!N50</f>
        <v>31476.05</v>
      </c>
      <c r="O50" s="122">
        <f>'Raw Results'!P50</f>
        <v>33968.21</v>
      </c>
      <c r="P50" s="99">
        <f t="shared" si="2"/>
        <v>7.9176389667699729E-2</v>
      </c>
      <c r="Q50" s="122">
        <f>'Raw Results'!R50</f>
        <v>1796.34</v>
      </c>
      <c r="R50" s="122">
        <f>'Raw Results'!T50</f>
        <v>1945.1</v>
      </c>
      <c r="S50" s="99">
        <f t="shared" si="3"/>
        <v>8.281283053319527E-2</v>
      </c>
    </row>
    <row r="51" spans="1:19">
      <c r="A51" t="s">
        <v>354</v>
      </c>
      <c r="B51">
        <v>0</v>
      </c>
      <c r="C51" t="s">
        <v>468</v>
      </c>
      <c r="D51" t="s">
        <v>469</v>
      </c>
      <c r="F51" t="s">
        <v>379</v>
      </c>
      <c r="G51" t="s">
        <v>30</v>
      </c>
      <c r="H51" s="122">
        <f>'Raw Results'!G51</f>
        <v>161146.49</v>
      </c>
      <c r="I51" s="122">
        <f>'Raw Results'!H51</f>
        <v>174082.16</v>
      </c>
      <c r="J51" s="99">
        <f t="shared" si="0"/>
        <v>8.0272738177542768E-2</v>
      </c>
      <c r="K51" s="122">
        <f>'Raw Results'!J51</f>
        <v>54316.72</v>
      </c>
      <c r="L51" s="122">
        <f>'Raw Results'!L51</f>
        <v>58603.42</v>
      </c>
      <c r="M51" s="99">
        <f t="shared" si="1"/>
        <v>7.8920450277557203E-2</v>
      </c>
      <c r="N51" s="122">
        <f>'Raw Results'!N51</f>
        <v>31764.23</v>
      </c>
      <c r="O51" s="122">
        <f>'Raw Results'!P51</f>
        <v>34279.21</v>
      </c>
      <c r="P51" s="99">
        <f t="shared" si="2"/>
        <v>7.9176482477302287E-2</v>
      </c>
      <c r="Q51" s="122">
        <f>'Raw Results'!R51</f>
        <v>1737.28</v>
      </c>
      <c r="R51" s="122">
        <f>'Raw Results'!T51</f>
        <v>1887.9</v>
      </c>
      <c r="S51" s="99">
        <f t="shared" si="3"/>
        <v>8.6698747467305284E-2</v>
      </c>
    </row>
    <row r="52" spans="1:19">
      <c r="A52" t="s">
        <v>354</v>
      </c>
      <c r="B52">
        <v>1</v>
      </c>
      <c r="C52" t="s">
        <v>468</v>
      </c>
      <c r="D52" t="s">
        <v>469</v>
      </c>
      <c r="F52" t="s">
        <v>482</v>
      </c>
      <c r="G52" t="s">
        <v>381</v>
      </c>
      <c r="H52" s="122">
        <f>'Raw Results'!G52</f>
        <v>31700133.82</v>
      </c>
      <c r="I52" s="122">
        <f>'Raw Results'!H52</f>
        <v>37459006.659999996</v>
      </c>
      <c r="J52" s="99">
        <f t="shared" si="0"/>
        <v>0.18166714603477963</v>
      </c>
      <c r="K52" s="122">
        <f>'Raw Results'!J52</f>
        <v>10936740.43</v>
      </c>
      <c r="L52" s="122">
        <f>'Raw Results'!L52</f>
        <v>13099473.310000001</v>
      </c>
      <c r="M52" s="99">
        <f t="shared" si="1"/>
        <v>0.19774931057772219</v>
      </c>
      <c r="N52" s="122">
        <f>'Raw Results'!N52</f>
        <v>6021204.5199999996</v>
      </c>
      <c r="O52" s="122">
        <f>'Raw Results'!P52</f>
        <v>7741220.7800000003</v>
      </c>
      <c r="P52" s="99">
        <f t="shared" si="2"/>
        <v>0.28565983007001411</v>
      </c>
      <c r="Q52" s="122">
        <f>'Raw Results'!R52</f>
        <v>360427.63</v>
      </c>
      <c r="R52" s="122">
        <f>'Raw Results'!T52</f>
        <v>461054.11</v>
      </c>
      <c r="S52" s="99">
        <f t="shared" si="3"/>
        <v>0.27918636537381991</v>
      </c>
    </row>
    <row r="53" spans="1:19">
      <c r="A53" t="s">
        <v>354</v>
      </c>
      <c r="B53">
        <v>0</v>
      </c>
      <c r="C53" t="s">
        <v>468</v>
      </c>
      <c r="D53" t="s">
        <v>469</v>
      </c>
      <c r="F53" t="s">
        <v>463</v>
      </c>
      <c r="G53" t="s">
        <v>446</v>
      </c>
      <c r="H53" s="122">
        <f>'Raw Results'!G53</f>
        <v>58082624.100000001</v>
      </c>
      <c r="I53" s="122">
        <f>'Raw Results'!H53</f>
        <v>66010815.210000001</v>
      </c>
      <c r="J53" s="99">
        <f t="shared" si="0"/>
        <v>0.13649850076246811</v>
      </c>
      <c r="K53" s="122">
        <f>'Raw Results'!J53</f>
        <v>20630548.739999998</v>
      </c>
      <c r="L53" s="122">
        <f>'Raw Results'!L53</f>
        <v>23235585.170000002</v>
      </c>
      <c r="M53" s="99">
        <f t="shared" si="1"/>
        <v>0.12627082598870337</v>
      </c>
      <c r="N53" s="122">
        <f>'Raw Results'!N53</f>
        <v>21967867.390000001</v>
      </c>
      <c r="O53" s="122">
        <f>'Raw Results'!P53</f>
        <v>24959317.359999999</v>
      </c>
      <c r="P53" s="99">
        <f t="shared" si="2"/>
        <v>0.13617389056899248</v>
      </c>
      <c r="Q53" s="122">
        <f>'Raw Results'!R53</f>
        <v>1128841.27</v>
      </c>
      <c r="R53" s="122">
        <f>'Raw Results'!T53</f>
        <v>1271682.6000000001</v>
      </c>
      <c r="S53" s="99">
        <f t="shared" si="3"/>
        <v>0.12653801184997432</v>
      </c>
    </row>
    <row r="54" spans="1:19">
      <c r="A54" t="s">
        <v>354</v>
      </c>
      <c r="B54">
        <v>0</v>
      </c>
      <c r="C54" t="s">
        <v>468</v>
      </c>
      <c r="D54" t="s">
        <v>469</v>
      </c>
      <c r="F54" t="s">
        <v>464</v>
      </c>
      <c r="G54" t="s">
        <v>451</v>
      </c>
      <c r="H54" s="122">
        <f>'Raw Results'!G54</f>
        <v>64036028.210000001</v>
      </c>
      <c r="I54" s="122">
        <f>'Raw Results'!H54</f>
        <v>75269273.870000005</v>
      </c>
      <c r="J54" s="99">
        <f t="shared" si="0"/>
        <v>0.17542071196485912</v>
      </c>
      <c r="K54" s="122">
        <f>'Raw Results'!J54</f>
        <v>20575053.23</v>
      </c>
      <c r="L54" s="122">
        <f>'Raw Results'!L54</f>
        <v>24250435.18</v>
      </c>
      <c r="M54" s="99">
        <f t="shared" si="1"/>
        <v>0.1786329254614521</v>
      </c>
      <c r="N54" s="122">
        <f>'Raw Results'!N54</f>
        <v>38878015.409999996</v>
      </c>
      <c r="O54" s="122">
        <f>'Raw Results'!P54</f>
        <v>45010510.719999999</v>
      </c>
      <c r="P54" s="99">
        <f t="shared" si="2"/>
        <v>0.15773684035380661</v>
      </c>
      <c r="Q54" s="122">
        <f>'Raw Results'!R54</f>
        <v>1857360.34</v>
      </c>
      <c r="R54" s="122">
        <f>'Raw Results'!T54</f>
        <v>2082059.36</v>
      </c>
      <c r="S54" s="99">
        <f t="shared" si="3"/>
        <v>0.12097761277706619</v>
      </c>
    </row>
    <row r="55" spans="1:19">
      <c r="A55" t="s">
        <v>354</v>
      </c>
      <c r="B55">
        <v>0</v>
      </c>
      <c r="C55" t="s">
        <v>468</v>
      </c>
      <c r="D55" t="s">
        <v>469</v>
      </c>
      <c r="F55" t="s">
        <v>483</v>
      </c>
      <c r="G55" t="s">
        <v>381</v>
      </c>
      <c r="H55" s="122">
        <f>'Raw Results'!G55</f>
        <v>0</v>
      </c>
      <c r="I55" s="122">
        <f>'Raw Results'!H55</f>
        <v>0</v>
      </c>
      <c r="J55" s="99" t="e">
        <f t="shared" si="0"/>
        <v>#DIV/0!</v>
      </c>
      <c r="K55" s="122">
        <f>'Raw Results'!J55</f>
        <v>0</v>
      </c>
      <c r="L55" s="122">
        <f>'Raw Results'!L55</f>
        <v>0</v>
      </c>
      <c r="M55" s="99" t="e">
        <f t="shared" si="1"/>
        <v>#DIV/0!</v>
      </c>
      <c r="N55" s="122">
        <f>'Raw Results'!N55</f>
        <v>0</v>
      </c>
      <c r="O55" s="122">
        <f>'Raw Results'!P55</f>
        <v>0</v>
      </c>
      <c r="P55" s="99" t="e">
        <f t="shared" si="2"/>
        <v>#DIV/0!</v>
      </c>
      <c r="Q55" s="122">
        <f>'Raw Results'!R55</f>
        <v>0</v>
      </c>
      <c r="R55" s="122">
        <f>'Raw Results'!T55</f>
        <v>0</v>
      </c>
      <c r="S55" s="99" t="e">
        <f t="shared" si="3"/>
        <v>#DIV/0!</v>
      </c>
    </row>
    <row r="56" spans="1:19">
      <c r="A56" t="s">
        <v>354</v>
      </c>
      <c r="B56">
        <v>0</v>
      </c>
      <c r="C56" t="s">
        <v>468</v>
      </c>
      <c r="D56" t="s">
        <v>469</v>
      </c>
      <c r="F56" t="s">
        <v>484</v>
      </c>
      <c r="G56" t="s">
        <v>381</v>
      </c>
      <c r="H56" s="122">
        <f>'Raw Results'!G56</f>
        <v>0</v>
      </c>
      <c r="I56" s="122">
        <f>'Raw Results'!H56</f>
        <v>0</v>
      </c>
      <c r="J56" s="99" t="e">
        <f t="shared" si="0"/>
        <v>#DIV/0!</v>
      </c>
      <c r="K56" s="122">
        <f>'Raw Results'!J56</f>
        <v>0</v>
      </c>
      <c r="L56" s="122">
        <f>'Raw Results'!L56</f>
        <v>0</v>
      </c>
      <c r="M56" s="99" t="e">
        <f t="shared" si="1"/>
        <v>#DIV/0!</v>
      </c>
      <c r="N56" s="122">
        <f>'Raw Results'!N56</f>
        <v>0</v>
      </c>
      <c r="O56" s="122">
        <f>'Raw Results'!P56</f>
        <v>0</v>
      </c>
      <c r="P56" s="99" t="e">
        <f t="shared" si="2"/>
        <v>#DIV/0!</v>
      </c>
      <c r="Q56" s="122">
        <f>'Raw Results'!R56</f>
        <v>0</v>
      </c>
      <c r="R56" s="122">
        <f>'Raw Results'!T56</f>
        <v>0</v>
      </c>
      <c r="S56" s="99" t="e">
        <f t="shared" si="3"/>
        <v>#DIV/0!</v>
      </c>
    </row>
    <row r="57" spans="1:19">
      <c r="A57" t="s">
        <v>354</v>
      </c>
      <c r="B57">
        <v>0</v>
      </c>
      <c r="C57" t="s">
        <v>468</v>
      </c>
      <c r="D57" t="s">
        <v>469</v>
      </c>
      <c r="F57" t="s">
        <v>380</v>
      </c>
      <c r="G57" t="s">
        <v>381</v>
      </c>
      <c r="H57" s="122">
        <f>'Raw Results'!G57</f>
        <v>193375869.46000001</v>
      </c>
      <c r="I57" s="122">
        <f>'Raw Results'!H57</f>
        <v>188013358.87</v>
      </c>
      <c r="J57" s="99">
        <f t="shared" si="0"/>
        <v>-2.7731022515760397E-2</v>
      </c>
      <c r="K57" s="122">
        <f>'Raw Results'!J57</f>
        <v>66099404.399999999</v>
      </c>
      <c r="L57" s="122">
        <f>'Raw Results'!L57</f>
        <v>63052118.899999999</v>
      </c>
      <c r="M57" s="99">
        <f t="shared" si="1"/>
        <v>-4.6101557611009279E-2</v>
      </c>
      <c r="N57" s="122">
        <f>'Raw Results'!N57</f>
        <v>29715570.879999999</v>
      </c>
      <c r="O57" s="122">
        <f>'Raw Results'!P57</f>
        <v>33250591.329999998</v>
      </c>
      <c r="P57" s="99">
        <f t="shared" si="2"/>
        <v>0.11896188918178373</v>
      </c>
      <c r="Q57" s="122">
        <f>'Raw Results'!R57</f>
        <v>1536024.27</v>
      </c>
      <c r="R57" s="122">
        <f>'Raw Results'!T57</f>
        <v>1704108.58</v>
      </c>
      <c r="S57" s="99">
        <f t="shared" si="3"/>
        <v>0.10942816027249365</v>
      </c>
    </row>
    <row r="58" spans="1:19">
      <c r="A58" t="s">
        <v>354</v>
      </c>
      <c r="B58">
        <v>0</v>
      </c>
      <c r="C58" t="s">
        <v>468</v>
      </c>
      <c r="D58" t="s">
        <v>469</v>
      </c>
      <c r="F58" t="s">
        <v>382</v>
      </c>
      <c r="G58" t="s">
        <v>381</v>
      </c>
      <c r="H58" s="122">
        <f>'Raw Results'!G58</f>
        <v>348277434.41000003</v>
      </c>
      <c r="I58" s="122">
        <f>'Raw Results'!H58</f>
        <v>356950759.11000001</v>
      </c>
      <c r="J58" s="99">
        <f t="shared" si="0"/>
        <v>2.4903493143886995E-2</v>
      </c>
      <c r="K58" s="122">
        <f>'Raw Results'!J58</f>
        <v>91659851.909999996</v>
      </c>
      <c r="L58" s="122">
        <f>'Raw Results'!L58</f>
        <v>99849283.790000007</v>
      </c>
      <c r="M58" s="99">
        <f t="shared" si="1"/>
        <v>8.9345899097034776E-2</v>
      </c>
      <c r="N58" s="122">
        <f>'Raw Results'!N58</f>
        <v>144883879.97999999</v>
      </c>
      <c r="O58" s="122">
        <f>'Raw Results'!P58</f>
        <v>114364771.40000001</v>
      </c>
      <c r="P58" s="99">
        <f t="shared" si="2"/>
        <v>-0.21064530149394736</v>
      </c>
      <c r="Q58" s="122">
        <f>'Raw Results'!R58</f>
        <v>7214862.2199999997</v>
      </c>
      <c r="R58" s="122">
        <f>'Raw Results'!T58</f>
        <v>5613816.9000000004</v>
      </c>
      <c r="S58" s="99">
        <f t="shared" si="3"/>
        <v>-0.22190934091046294</v>
      </c>
    </row>
    <row r="59" spans="1:19">
      <c r="A59" t="s">
        <v>354</v>
      </c>
      <c r="B59">
        <v>0</v>
      </c>
      <c r="C59" t="s">
        <v>468</v>
      </c>
      <c r="D59" t="s">
        <v>469</v>
      </c>
      <c r="F59" t="s">
        <v>383</v>
      </c>
      <c r="G59" t="s">
        <v>384</v>
      </c>
      <c r="H59" s="122">
        <f>'Raw Results'!G59</f>
        <v>2529731064.3099999</v>
      </c>
      <c r="I59" s="122">
        <f>'Raw Results'!H59</f>
        <v>2916947440.3899999</v>
      </c>
      <c r="J59" s="99">
        <f t="shared" si="0"/>
        <v>0.15306622175887918</v>
      </c>
      <c r="K59" s="122">
        <f>'Raw Results'!J59</f>
        <v>936924659.33000004</v>
      </c>
      <c r="L59" s="122">
        <f>'Raw Results'!L59</f>
        <v>1055445458.59</v>
      </c>
      <c r="M59" s="99">
        <f t="shared" si="1"/>
        <v>0.12649981840029151</v>
      </c>
      <c r="N59" s="122">
        <f>'Raw Results'!N59</f>
        <v>938286983.39999998</v>
      </c>
      <c r="O59" s="122">
        <f>'Raw Results'!P59</f>
        <v>1078297601.03</v>
      </c>
      <c r="P59" s="99">
        <f t="shared" si="2"/>
        <v>0.14921939673792986</v>
      </c>
      <c r="Q59" s="122">
        <f>'Raw Results'!R59</f>
        <v>50174894.210000001</v>
      </c>
      <c r="R59" s="122">
        <f>'Raw Results'!T59</f>
        <v>55755101.799999997</v>
      </c>
      <c r="S59" s="99">
        <f t="shared" si="3"/>
        <v>0.11121513413949251</v>
      </c>
    </row>
    <row r="60" spans="1:19">
      <c r="A60" t="s">
        <v>354</v>
      </c>
      <c r="B60">
        <v>0</v>
      </c>
      <c r="C60" t="s">
        <v>468</v>
      </c>
      <c r="D60" t="s">
        <v>469</v>
      </c>
      <c r="F60" t="s">
        <v>465</v>
      </c>
      <c r="G60" t="s">
        <v>466</v>
      </c>
      <c r="H60" s="122">
        <f>'Raw Results'!G60</f>
        <v>1724108778.99</v>
      </c>
      <c r="I60" s="122">
        <f>'Raw Results'!H60</f>
        <v>1967515337.96</v>
      </c>
      <c r="J60" s="99">
        <f t="shared" si="0"/>
        <v>0.14117819126968892</v>
      </c>
      <c r="K60" s="122">
        <f>'Raw Results'!J60</f>
        <v>611830605.09000003</v>
      </c>
      <c r="L60" s="122">
        <f>'Raw Results'!L60</f>
        <v>704007787.66999996</v>
      </c>
      <c r="M60" s="99">
        <f t="shared" si="1"/>
        <v>0.1506580118960226</v>
      </c>
      <c r="N60" s="122">
        <f>'Raw Results'!N60</f>
        <v>659308766.23000002</v>
      </c>
      <c r="O60" s="122">
        <f>'Raw Results'!P60</f>
        <v>741306037.29999995</v>
      </c>
      <c r="P60" s="99">
        <f t="shared" si="2"/>
        <v>0.12436854364741629</v>
      </c>
      <c r="Q60" s="122">
        <f>'Raw Results'!R60</f>
        <v>35620594.890000001</v>
      </c>
      <c r="R60" s="122">
        <f>'Raw Results'!T60</f>
        <v>38947012</v>
      </c>
      <c r="S60" s="99">
        <f t="shared" si="3"/>
        <v>9.3384659079173496E-2</v>
      </c>
    </row>
    <row r="61" spans="1:19">
      <c r="A61" t="s">
        <v>354</v>
      </c>
      <c r="B61">
        <v>0</v>
      </c>
      <c r="C61" t="s">
        <v>468</v>
      </c>
      <c r="D61" t="s">
        <v>469</v>
      </c>
      <c r="F61" t="s">
        <v>485</v>
      </c>
      <c r="G61" t="s">
        <v>466</v>
      </c>
      <c r="H61" s="122">
        <f>'Raw Results'!G61</f>
        <v>788364719.11000001</v>
      </c>
      <c r="I61" s="122">
        <f>'Raw Results'!H61</f>
        <v>1012364214.03</v>
      </c>
      <c r="J61" s="99">
        <f t="shared" si="0"/>
        <v>0.28413181043017405</v>
      </c>
      <c r="K61" s="122">
        <f>'Raw Results'!J61</f>
        <v>260197317.94999999</v>
      </c>
      <c r="L61" s="122">
        <f>'Raw Results'!L61</f>
        <v>337207378.89999998</v>
      </c>
      <c r="M61" s="99">
        <f t="shared" si="1"/>
        <v>0.29596792755872442</v>
      </c>
      <c r="N61" s="122">
        <f>'Raw Results'!N61</f>
        <v>438142321.77999997</v>
      </c>
      <c r="O61" s="122">
        <f>'Raw Results'!P61</f>
        <v>548797302.05999994</v>
      </c>
      <c r="P61" s="99">
        <f t="shared" si="2"/>
        <v>0.25255487721535846</v>
      </c>
      <c r="Q61" s="122">
        <f>'Raw Results'!R61</f>
        <v>21241333.420000002</v>
      </c>
      <c r="R61" s="122">
        <f>'Raw Results'!T61</f>
        <v>26235839.670000002</v>
      </c>
      <c r="S61" s="99">
        <f t="shared" si="3"/>
        <v>0.23513148403844411</v>
      </c>
    </row>
    <row r="62" spans="1:19">
      <c r="A62" t="s">
        <v>354</v>
      </c>
      <c r="B62">
        <v>0</v>
      </c>
      <c r="C62" t="s">
        <v>468</v>
      </c>
      <c r="D62" t="s">
        <v>469</v>
      </c>
      <c r="F62" t="s">
        <v>486</v>
      </c>
      <c r="G62" t="s">
        <v>466</v>
      </c>
      <c r="H62" s="122">
        <f>'Raw Results'!G62</f>
        <v>225698397.91</v>
      </c>
      <c r="I62" s="122">
        <f>'Raw Results'!H62</f>
        <v>226271169.87</v>
      </c>
      <c r="J62" s="99">
        <f t="shared" si="0"/>
        <v>2.5377759226647596E-3</v>
      </c>
      <c r="K62" s="122">
        <f>'Raw Results'!J62</f>
        <v>107130231.41</v>
      </c>
      <c r="L62" s="122">
        <f>'Raw Results'!L62</f>
        <v>107860757.81</v>
      </c>
      <c r="M62" s="99">
        <f t="shared" si="1"/>
        <v>6.8190499580290786E-3</v>
      </c>
      <c r="N62" s="122">
        <f>'Raw Results'!N62</f>
        <v>15246939.74</v>
      </c>
      <c r="O62" s="122">
        <f>'Raw Results'!P62</f>
        <v>14993579.9</v>
      </c>
      <c r="P62" s="99">
        <f t="shared" si="2"/>
        <v>-1.6617094598683043E-2</v>
      </c>
      <c r="Q62" s="122">
        <f>'Raw Results'!R62</f>
        <v>2004519.66</v>
      </c>
      <c r="R62" s="122">
        <f>'Raw Results'!T62</f>
        <v>1948427.81</v>
      </c>
      <c r="S62" s="99">
        <f t="shared" si="3"/>
        <v>-2.7982688880187817E-2</v>
      </c>
    </row>
    <row r="63" spans="1:19">
      <c r="A63" t="s">
        <v>354</v>
      </c>
      <c r="B63">
        <v>0</v>
      </c>
      <c r="C63" t="s">
        <v>468</v>
      </c>
      <c r="D63" t="s">
        <v>469</v>
      </c>
      <c r="F63" t="s">
        <v>487</v>
      </c>
      <c r="G63" t="s">
        <v>466</v>
      </c>
      <c r="H63" s="122">
        <f>'Raw Results'!G63</f>
        <v>0</v>
      </c>
      <c r="I63" s="122">
        <f>'Raw Results'!H63</f>
        <v>0</v>
      </c>
      <c r="J63" s="99" t="e">
        <f t="shared" si="0"/>
        <v>#DIV/0!</v>
      </c>
      <c r="K63" s="122">
        <f>'Raw Results'!J63</f>
        <v>0</v>
      </c>
      <c r="L63" s="122">
        <f>'Raw Results'!L63</f>
        <v>0</v>
      </c>
      <c r="M63" s="99" t="e">
        <f t="shared" si="1"/>
        <v>#DIV/0!</v>
      </c>
      <c r="N63" s="122">
        <f>'Raw Results'!N63</f>
        <v>0</v>
      </c>
      <c r="O63" s="122">
        <f>'Raw Results'!P63</f>
        <v>0</v>
      </c>
      <c r="P63" s="99" t="e">
        <f t="shared" si="2"/>
        <v>#DIV/0!</v>
      </c>
      <c r="Q63" s="122">
        <f>'Raw Results'!R63</f>
        <v>0</v>
      </c>
      <c r="R63" s="122">
        <f>'Raw Results'!T63</f>
        <v>0</v>
      </c>
      <c r="S63" s="99" t="e">
        <f t="shared" si="3"/>
        <v>#DIV/0!</v>
      </c>
    </row>
    <row r="64" spans="1:19">
      <c r="A64" t="s">
        <v>354</v>
      </c>
      <c r="B64">
        <v>0</v>
      </c>
      <c r="C64" t="s">
        <v>468</v>
      </c>
      <c r="D64" t="s">
        <v>469</v>
      </c>
      <c r="F64" t="s">
        <v>488</v>
      </c>
      <c r="G64" t="s">
        <v>466</v>
      </c>
      <c r="H64" s="122">
        <f>'Raw Results'!G64</f>
        <v>0</v>
      </c>
      <c r="I64" s="122">
        <f>'Raw Results'!H64</f>
        <v>0</v>
      </c>
      <c r="J64" s="99" t="e">
        <f t="shared" si="0"/>
        <v>#DIV/0!</v>
      </c>
      <c r="K64" s="122">
        <f>'Raw Results'!J64</f>
        <v>0</v>
      </c>
      <c r="L64" s="122">
        <f>'Raw Results'!L64</f>
        <v>0</v>
      </c>
      <c r="M64" s="99" t="e">
        <f t="shared" si="1"/>
        <v>#DIV/0!</v>
      </c>
      <c r="N64" s="122">
        <f>'Raw Results'!N64</f>
        <v>0</v>
      </c>
      <c r="O64" s="122">
        <f>'Raw Results'!P64</f>
        <v>0</v>
      </c>
      <c r="P64" s="99" t="e">
        <f t="shared" si="2"/>
        <v>#DIV/0!</v>
      </c>
      <c r="Q64" s="122">
        <f>'Raw Results'!R64</f>
        <v>0</v>
      </c>
      <c r="R64" s="122">
        <f>'Raw Results'!T64</f>
        <v>0</v>
      </c>
      <c r="S64" s="99" t="e">
        <f t="shared" si="3"/>
        <v>#DIV/0!</v>
      </c>
    </row>
    <row r="65" spans="1:19">
      <c r="A65" t="s">
        <v>354</v>
      </c>
      <c r="B65">
        <v>0</v>
      </c>
      <c r="C65" t="s">
        <v>468</v>
      </c>
      <c r="D65" t="s">
        <v>469</v>
      </c>
      <c r="F65" t="s">
        <v>489</v>
      </c>
      <c r="G65" t="s">
        <v>466</v>
      </c>
      <c r="H65" s="122">
        <f>'Raw Results'!G65</f>
        <v>137198165.08000001</v>
      </c>
      <c r="I65" s="122">
        <f>'Raw Results'!H65</f>
        <v>131919939.29000001</v>
      </c>
      <c r="J65" s="99">
        <f t="shared" si="0"/>
        <v>-3.8471547975312076E-2</v>
      </c>
      <c r="K65" s="122">
        <f>'Raw Results'!J65</f>
        <v>45229612.899999999</v>
      </c>
      <c r="L65" s="122">
        <f>'Raw Results'!L65</f>
        <v>43870261.770000003</v>
      </c>
      <c r="M65" s="99">
        <f t="shared" si="1"/>
        <v>-3.0054449791676093E-2</v>
      </c>
      <c r="N65" s="122">
        <f>'Raw Results'!N65</f>
        <v>21330915.57</v>
      </c>
      <c r="O65" s="122">
        <f>'Raw Results'!P65</f>
        <v>23216377.530000001</v>
      </c>
      <c r="P65" s="99">
        <f t="shared" si="2"/>
        <v>8.8391046967141548E-2</v>
      </c>
      <c r="Q65" s="122">
        <f>'Raw Results'!R65</f>
        <v>1141038.8999999999</v>
      </c>
      <c r="R65" s="122">
        <f>'Raw Results'!T65</f>
        <v>1224709.6299999999</v>
      </c>
      <c r="S65" s="99">
        <f t="shared" si="3"/>
        <v>7.3328551725975327E-2</v>
      </c>
    </row>
    <row r="66" spans="1:19">
      <c r="A66" t="s">
        <v>354</v>
      </c>
      <c r="B66">
        <v>0</v>
      </c>
      <c r="C66" t="s">
        <v>468</v>
      </c>
      <c r="D66" t="s">
        <v>469</v>
      </c>
      <c r="F66" t="s">
        <v>490</v>
      </c>
      <c r="G66" t="s">
        <v>466</v>
      </c>
      <c r="H66" s="122">
        <f>'Raw Results'!G66</f>
        <v>246663149.50999999</v>
      </c>
      <c r="I66" s="122">
        <f>'Raw Results'!H66</f>
        <v>249942914.72</v>
      </c>
      <c r="J66" s="99">
        <f t="shared" si="0"/>
        <v>1.3296535037825109E-2</v>
      </c>
      <c r="K66" s="122">
        <f>'Raw Results'!J66</f>
        <v>62611309.409999996</v>
      </c>
      <c r="L66" s="122">
        <f>'Raw Results'!L66</f>
        <v>69282130.969999999</v>
      </c>
      <c r="M66" s="99">
        <f t="shared" si="1"/>
        <v>0.10654339643844869</v>
      </c>
      <c r="N66" s="122">
        <f>'Raw Results'!N66</f>
        <v>103883196.29000001</v>
      </c>
      <c r="O66" s="122">
        <f>'Raw Results'!P66</f>
        <v>79766438.349999994</v>
      </c>
      <c r="P66" s="99">
        <f t="shared" si="2"/>
        <v>-0.23215263681987361</v>
      </c>
      <c r="Q66" s="122">
        <f>'Raw Results'!R66</f>
        <v>5348507.21</v>
      </c>
      <c r="R66" s="122">
        <f>'Raw Results'!T66</f>
        <v>4026276.07</v>
      </c>
      <c r="S66" s="99">
        <f t="shared" si="3"/>
        <v>-0.24721498692716545</v>
      </c>
    </row>
    <row r="67" spans="1:19">
      <c r="A67" t="s">
        <v>354</v>
      </c>
      <c r="B67">
        <v>0</v>
      </c>
      <c r="C67" t="s">
        <v>468</v>
      </c>
      <c r="D67" t="s">
        <v>469</v>
      </c>
      <c r="F67" t="s">
        <v>491</v>
      </c>
      <c r="G67" t="s">
        <v>466</v>
      </c>
      <c r="H67" s="122">
        <f>'Raw Results'!G67</f>
        <v>139189842.36000001</v>
      </c>
      <c r="I67" s="122">
        <f>'Raw Results'!H67</f>
        <v>157308727.81999999</v>
      </c>
      <c r="J67" s="99">
        <f t="shared" ref="J67:J75" si="4">(I67-H67)/H67</f>
        <v>0.13017390603214687</v>
      </c>
      <c r="K67" s="122">
        <f>'Raw Results'!J67</f>
        <v>49923001.340000004</v>
      </c>
      <c r="L67" s="122">
        <f>'Raw Results'!L67</f>
        <v>57079029.399999999</v>
      </c>
      <c r="M67" s="99">
        <f t="shared" ref="M67:M75" si="5">(L67-K67)/K67</f>
        <v>0.1433413029650191</v>
      </c>
      <c r="N67" s="122">
        <f>'Raw Results'!N67</f>
        <v>68105743.760000005</v>
      </c>
      <c r="O67" s="122">
        <f>'Raw Results'!P67</f>
        <v>61962869.840000004</v>
      </c>
      <c r="P67" s="99">
        <f t="shared" ref="P67:P75" si="6">(O67-N67)/N67</f>
        <v>-9.0196121220657552E-2</v>
      </c>
      <c r="Q67" s="122">
        <f>'Raw Results'!R67</f>
        <v>4301402.2699999996</v>
      </c>
      <c r="R67" s="122">
        <f>'Raw Results'!T67</f>
        <v>3928263.16</v>
      </c>
      <c r="S67" s="99">
        <f t="shared" ref="S67:S75" si="7">(R67-Q67)/Q67</f>
        <v>-8.6748247798734579E-2</v>
      </c>
    </row>
    <row r="68" spans="1:19">
      <c r="A68" t="s">
        <v>354</v>
      </c>
      <c r="B68">
        <v>0</v>
      </c>
      <c r="C68" t="s">
        <v>468</v>
      </c>
      <c r="D68" t="s">
        <v>469</v>
      </c>
      <c r="F68" t="s">
        <v>492</v>
      </c>
      <c r="G68" t="s">
        <v>466</v>
      </c>
      <c r="H68" s="122">
        <f>'Raw Results'!G68</f>
        <v>186994505.02000001</v>
      </c>
      <c r="I68" s="122">
        <f>'Raw Results'!H68</f>
        <v>189708372.22999999</v>
      </c>
      <c r="J68" s="99">
        <f t="shared" si="4"/>
        <v>1.4513085342853881E-2</v>
      </c>
      <c r="K68" s="122">
        <f>'Raw Results'!J68</f>
        <v>86739132.090000004</v>
      </c>
      <c r="L68" s="122">
        <f>'Raw Results'!L68</f>
        <v>88708228.829999998</v>
      </c>
      <c r="M68" s="99">
        <f t="shared" si="5"/>
        <v>2.2701365491608467E-2</v>
      </c>
      <c r="N68" s="122">
        <f>'Raw Results'!N68</f>
        <v>12599649.1</v>
      </c>
      <c r="O68" s="122">
        <f>'Raw Results'!P68</f>
        <v>12569469.609999999</v>
      </c>
      <c r="P68" s="99">
        <f t="shared" si="6"/>
        <v>-2.395264325258092E-3</v>
      </c>
      <c r="Q68" s="122">
        <f>'Raw Results'!R68</f>
        <v>1583793.45</v>
      </c>
      <c r="R68" s="122">
        <f>'Raw Results'!T68</f>
        <v>1583495.65</v>
      </c>
      <c r="S68" s="99">
        <f t="shared" si="7"/>
        <v>-1.8802956913355499E-4</v>
      </c>
    </row>
    <row r="69" spans="1:19">
      <c r="A69" t="s">
        <v>354</v>
      </c>
      <c r="B69">
        <v>0</v>
      </c>
      <c r="C69" t="s">
        <v>468</v>
      </c>
      <c r="D69" t="s">
        <v>469</v>
      </c>
      <c r="F69" t="s">
        <v>467</v>
      </c>
      <c r="G69" t="s">
        <v>457</v>
      </c>
      <c r="H69" s="122">
        <f>'Raw Results'!G69</f>
        <v>336417.22</v>
      </c>
      <c r="I69" s="122">
        <f>'Raw Results'!H69</f>
        <v>402762.1</v>
      </c>
      <c r="J69" s="99">
        <f t="shared" si="4"/>
        <v>0.19721011903017333</v>
      </c>
      <c r="K69" s="122">
        <f>'Raw Results'!J69</f>
        <v>125387.31</v>
      </c>
      <c r="L69" s="122">
        <f>'Raw Results'!L69</f>
        <v>191928.77</v>
      </c>
      <c r="M69" s="99">
        <f t="shared" si="5"/>
        <v>0.53068735584167159</v>
      </c>
      <c r="N69" s="122">
        <f>'Raw Results'!N69</f>
        <v>99993.89</v>
      </c>
      <c r="O69" s="122">
        <f>'Raw Results'!P69</f>
        <v>82029.149999999994</v>
      </c>
      <c r="P69" s="99">
        <f t="shared" si="6"/>
        <v>-0.17965837712684252</v>
      </c>
      <c r="Q69" s="122">
        <f>'Raw Results'!R69</f>
        <v>12031.21</v>
      </c>
      <c r="R69" s="122">
        <f>'Raw Results'!T69</f>
        <v>9265.65</v>
      </c>
      <c r="S69" s="99">
        <f t="shared" si="7"/>
        <v>-0.22986549150085483</v>
      </c>
    </row>
    <row r="70" spans="1:19">
      <c r="A70" t="s">
        <v>354</v>
      </c>
      <c r="B70">
        <v>1</v>
      </c>
      <c r="C70" t="s">
        <v>493</v>
      </c>
      <c r="D70" t="s">
        <v>494</v>
      </c>
      <c r="F70" t="s">
        <v>495</v>
      </c>
      <c r="G70" t="s">
        <v>381</v>
      </c>
      <c r="H70" s="122">
        <f>'Raw Results'!G70</f>
        <v>0</v>
      </c>
      <c r="I70" s="122">
        <f>'Raw Results'!H70</f>
        <v>0</v>
      </c>
      <c r="J70" s="99" t="e">
        <f t="shared" si="4"/>
        <v>#DIV/0!</v>
      </c>
      <c r="K70" s="122">
        <f>'Raw Results'!J70</f>
        <v>0</v>
      </c>
      <c r="L70" s="122">
        <f>'Raw Results'!L70</f>
        <v>0</v>
      </c>
      <c r="M70" s="99" t="e">
        <f t="shared" si="5"/>
        <v>#DIV/0!</v>
      </c>
      <c r="N70" s="122">
        <f>'Raw Results'!N70</f>
        <v>0</v>
      </c>
      <c r="O70" s="122">
        <f>'Raw Results'!P70</f>
        <v>0</v>
      </c>
      <c r="P70" s="99" t="e">
        <f t="shared" si="6"/>
        <v>#DIV/0!</v>
      </c>
      <c r="Q70" s="122">
        <f>'Raw Results'!R70</f>
        <v>0</v>
      </c>
      <c r="R70" s="122">
        <f>'Raw Results'!T70</f>
        <v>0</v>
      </c>
      <c r="S70" s="99" t="e">
        <f t="shared" si="7"/>
        <v>#DIV/0!</v>
      </c>
    </row>
    <row r="71" spans="1:19">
      <c r="A71" t="s">
        <v>354</v>
      </c>
      <c r="B71">
        <v>1</v>
      </c>
      <c r="C71" t="s">
        <v>493</v>
      </c>
      <c r="D71" t="s">
        <v>494</v>
      </c>
      <c r="F71" t="s">
        <v>465</v>
      </c>
      <c r="G71" t="s">
        <v>466</v>
      </c>
      <c r="H71" s="122">
        <f>'Raw Results'!G71</f>
        <v>0</v>
      </c>
      <c r="I71" s="122">
        <f>'Raw Results'!H71</f>
        <v>0</v>
      </c>
      <c r="J71" s="99" t="e">
        <f t="shared" si="4"/>
        <v>#DIV/0!</v>
      </c>
      <c r="K71" s="122">
        <f>'Raw Results'!J71</f>
        <v>0</v>
      </c>
      <c r="L71" s="122">
        <f>'Raw Results'!L71</f>
        <v>0</v>
      </c>
      <c r="M71" s="99" t="e">
        <f t="shared" si="5"/>
        <v>#DIV/0!</v>
      </c>
      <c r="N71" s="122">
        <f>'Raw Results'!N71</f>
        <v>0</v>
      </c>
      <c r="O71" s="122">
        <f>'Raw Results'!P71</f>
        <v>0</v>
      </c>
      <c r="P71" s="99" t="e">
        <f t="shared" si="6"/>
        <v>#DIV/0!</v>
      </c>
      <c r="Q71" s="122">
        <f>'Raw Results'!R71</f>
        <v>0</v>
      </c>
      <c r="R71" s="122">
        <f>'Raw Results'!T71</f>
        <v>0</v>
      </c>
      <c r="S71" s="99" t="e">
        <f t="shared" si="7"/>
        <v>#DIV/0!</v>
      </c>
    </row>
    <row r="72" spans="1:19">
      <c r="A72" t="s">
        <v>354</v>
      </c>
      <c r="B72">
        <v>1</v>
      </c>
      <c r="C72" t="s">
        <v>493</v>
      </c>
      <c r="D72" t="s">
        <v>493</v>
      </c>
      <c r="F72" t="s">
        <v>231</v>
      </c>
      <c r="G72" t="s">
        <v>381</v>
      </c>
      <c r="H72" s="122">
        <f>'Raw Results'!G72</f>
        <v>570048257.75</v>
      </c>
      <c r="I72" s="122">
        <f>'Raw Results'!H72</f>
        <v>977225585</v>
      </c>
      <c r="J72" s="99">
        <f t="shared" si="4"/>
        <v>0.71428571478692493</v>
      </c>
      <c r="K72" s="122">
        <f>'Raw Results'!J72</f>
        <v>185928720.16</v>
      </c>
      <c r="L72" s="122">
        <f>'Raw Results'!L72</f>
        <v>321799708</v>
      </c>
      <c r="M72" s="99">
        <f t="shared" si="5"/>
        <v>0.73076923093472024</v>
      </c>
      <c r="N72" s="122">
        <f>'Raw Results'!N72</f>
        <v>741052878.37</v>
      </c>
      <c r="O72" s="122">
        <f>'Raw Results'!P72</f>
        <v>1000420959.61</v>
      </c>
      <c r="P72" s="99">
        <f t="shared" si="6"/>
        <v>0.34999942488651964</v>
      </c>
      <c r="Q72" s="122">
        <f>'Raw Results'!R72</f>
        <v>33282154.109999999</v>
      </c>
      <c r="R72" s="122">
        <f>'Raw Results'!T72</f>
        <v>44104358.469999999</v>
      </c>
      <c r="S72" s="99">
        <f t="shared" si="7"/>
        <v>0.32516538215140184</v>
      </c>
    </row>
    <row r="73" spans="1:19">
      <c r="A73" t="s">
        <v>354</v>
      </c>
      <c r="B73">
        <v>1</v>
      </c>
      <c r="C73" t="s">
        <v>493</v>
      </c>
      <c r="D73" t="s">
        <v>493</v>
      </c>
      <c r="F73" t="s">
        <v>482</v>
      </c>
      <c r="G73" t="s">
        <v>381</v>
      </c>
      <c r="H73" s="122">
        <f>'Raw Results'!G73</f>
        <v>31700133.82</v>
      </c>
      <c r="I73" s="122">
        <f>'Raw Results'!H73</f>
        <v>37459006.659999996</v>
      </c>
      <c r="J73" s="99">
        <f t="shared" si="4"/>
        <v>0.18166714603477963</v>
      </c>
      <c r="K73" s="122">
        <f>'Raw Results'!J73</f>
        <v>10936740.43</v>
      </c>
      <c r="L73" s="122">
        <f>'Raw Results'!L73</f>
        <v>13099473.310000001</v>
      </c>
      <c r="M73" s="99">
        <f t="shared" si="5"/>
        <v>0.19774931057772219</v>
      </c>
      <c r="N73" s="122">
        <f>'Raw Results'!N73</f>
        <v>6021204.5199999996</v>
      </c>
      <c r="O73" s="122">
        <f>'Raw Results'!P73</f>
        <v>7741220.7800000003</v>
      </c>
      <c r="P73" s="99">
        <f t="shared" si="6"/>
        <v>0.28565983007001411</v>
      </c>
      <c r="Q73" s="122">
        <f>'Raw Results'!R73</f>
        <v>360427.63</v>
      </c>
      <c r="R73" s="122">
        <f>'Raw Results'!T73</f>
        <v>461054.11</v>
      </c>
      <c r="S73" s="99">
        <f t="shared" si="7"/>
        <v>0.27918636537381991</v>
      </c>
    </row>
    <row r="74" spans="1:19">
      <c r="A74" t="s">
        <v>354</v>
      </c>
      <c r="B74">
        <v>1</v>
      </c>
      <c r="C74" t="s">
        <v>493</v>
      </c>
      <c r="D74" t="s">
        <v>493</v>
      </c>
      <c r="F74" t="s">
        <v>383</v>
      </c>
      <c r="G74" t="s">
        <v>384</v>
      </c>
      <c r="H74" s="122">
        <f>'Raw Results'!G74</f>
        <v>2529731064.3099999</v>
      </c>
      <c r="I74" s="122">
        <f>'Raw Results'!H74</f>
        <v>2916947440.3899999</v>
      </c>
      <c r="J74" s="99">
        <f t="shared" si="4"/>
        <v>0.15306622175887918</v>
      </c>
      <c r="K74" s="122">
        <f>'Raw Results'!J74</f>
        <v>936924659.33000004</v>
      </c>
      <c r="L74" s="122">
        <f>'Raw Results'!L74</f>
        <v>1055445458.59</v>
      </c>
      <c r="M74" s="99">
        <f t="shared" si="5"/>
        <v>0.12649981840029151</v>
      </c>
      <c r="N74" s="122">
        <f>'Raw Results'!N74</f>
        <v>938286983.39999998</v>
      </c>
      <c r="O74" s="122">
        <f>'Raw Results'!P74</f>
        <v>1078297601.03</v>
      </c>
      <c r="P74" s="99">
        <f t="shared" si="6"/>
        <v>0.14921939673792986</v>
      </c>
      <c r="Q74" s="122">
        <f>'Raw Results'!R74</f>
        <v>50174894.210000001</v>
      </c>
      <c r="R74" s="122">
        <f>'Raw Results'!T74</f>
        <v>55755101.799999997</v>
      </c>
      <c r="S74" s="99">
        <f t="shared" si="7"/>
        <v>0.11121513413949251</v>
      </c>
    </row>
    <row r="75" spans="1:19">
      <c r="A75" t="s">
        <v>354</v>
      </c>
      <c r="B75">
        <v>1</v>
      </c>
      <c r="C75" t="s">
        <v>493</v>
      </c>
      <c r="D75" t="s">
        <v>493</v>
      </c>
      <c r="F75" t="s">
        <v>465</v>
      </c>
      <c r="G75" t="s">
        <v>466</v>
      </c>
      <c r="H75" s="122">
        <f>'Raw Results'!G75</f>
        <v>1724108778.99</v>
      </c>
      <c r="I75" s="122">
        <f>'Raw Results'!H75</f>
        <v>1967515337.96</v>
      </c>
      <c r="J75" s="99">
        <f t="shared" si="4"/>
        <v>0.14117819126968892</v>
      </c>
      <c r="K75" s="122">
        <f>'Raw Results'!J75</f>
        <v>611830605.09000003</v>
      </c>
      <c r="L75" s="122">
        <f>'Raw Results'!L75</f>
        <v>704007787.66999996</v>
      </c>
      <c r="M75" s="99">
        <f t="shared" si="5"/>
        <v>0.1506580118960226</v>
      </c>
      <c r="N75" s="122">
        <f>'Raw Results'!N75</f>
        <v>659308766.23000002</v>
      </c>
      <c r="O75" s="122">
        <f>'Raw Results'!P75</f>
        <v>741306037.29999995</v>
      </c>
      <c r="P75" s="99">
        <f t="shared" si="6"/>
        <v>0.12436854364741629</v>
      </c>
      <c r="Q75" s="122">
        <f>'Raw Results'!R75</f>
        <v>35620594.890000001</v>
      </c>
      <c r="R75" s="122">
        <f>'Raw Results'!T75</f>
        <v>38947012</v>
      </c>
      <c r="S75" s="99">
        <f t="shared" si="7"/>
        <v>9.3384659079173496E-2</v>
      </c>
    </row>
    <row r="78" spans="1:19">
      <c r="F78" t="s">
        <v>545</v>
      </c>
      <c r="G78" t="s">
        <v>207</v>
      </c>
      <c r="H78" s="120">
        <f>(H59/H49)/365</f>
        <v>4.9857096082836447</v>
      </c>
      <c r="I78" s="120">
        <f t="shared" ref="I78:R78" si="8">(I59/I49)/365</f>
        <v>5.9056285140798153</v>
      </c>
      <c r="J78" s="120"/>
      <c r="K78" s="120">
        <f t="shared" si="8"/>
        <v>5.2770740135277405</v>
      </c>
      <c r="L78" s="120">
        <f t="shared" si="8"/>
        <v>6.0891665612134966</v>
      </c>
      <c r="M78" s="120"/>
      <c r="N78" s="120">
        <f t="shared" si="8"/>
        <v>8.7121713831804666</v>
      </c>
      <c r="O78" s="120">
        <f t="shared" si="8"/>
        <v>11.721812651378912</v>
      </c>
      <c r="P78" s="120"/>
      <c r="Q78" s="120">
        <f t="shared" si="8"/>
        <v>7.8327542432308617</v>
      </c>
      <c r="R78" s="120">
        <f t="shared" si="8"/>
        <v>10.103940974680491</v>
      </c>
    </row>
    <row r="80" spans="1:19">
      <c r="F80" t="s">
        <v>546</v>
      </c>
      <c r="G80" t="s">
        <v>384</v>
      </c>
      <c r="H80" s="118">
        <f>H59*0.8*1000</f>
        <v>2023784851448</v>
      </c>
      <c r="I80" s="118"/>
      <c r="J80" s="118"/>
      <c r="K80" s="118">
        <f>K59*0.8*1000</f>
        <v>749539727464.00012</v>
      </c>
      <c r="L80" s="118"/>
      <c r="M80" s="118"/>
      <c r="N80" s="118">
        <f>N59*0.4*1000</f>
        <v>375314793360</v>
      </c>
      <c r="O80" s="118"/>
      <c r="P80" s="118"/>
      <c r="Q80" s="118">
        <f>Q59*4*1000</f>
        <v>200699576840</v>
      </c>
      <c r="R80" s="118"/>
    </row>
    <row r="81" spans="6:19">
      <c r="G81" t="s">
        <v>412</v>
      </c>
      <c r="H81" s="118">
        <f>H80/1000</f>
        <v>2023784851.448</v>
      </c>
      <c r="I81" s="118"/>
      <c r="J81" s="118"/>
      <c r="K81" s="118">
        <f t="shared" ref="K81" si="9">K80/1000</f>
        <v>749539727.46400011</v>
      </c>
      <c r="L81" s="118"/>
      <c r="M81" s="118"/>
      <c r="N81" s="118">
        <f t="shared" ref="N81" si="10">N80/1000</f>
        <v>375314793.36000001</v>
      </c>
      <c r="O81" s="118"/>
      <c r="P81" s="118"/>
      <c r="Q81" s="118">
        <f t="shared" ref="Q81" si="11">Q80/1000</f>
        <v>200699576.84</v>
      </c>
      <c r="R81" s="118"/>
    </row>
    <row r="82" spans="6:19">
      <c r="F82" t="s">
        <v>547</v>
      </c>
      <c r="G82" t="s">
        <v>548</v>
      </c>
      <c r="H82">
        <v>31.5</v>
      </c>
      <c r="K82">
        <v>31.5</v>
      </c>
      <c r="N82">
        <v>31.5</v>
      </c>
      <c r="Q82">
        <v>31.5</v>
      </c>
    </row>
    <row r="83" spans="6:19">
      <c r="H83" s="127">
        <f>H81/H82</f>
        <v>64247138.141206346</v>
      </c>
      <c r="I83" s="127"/>
      <c r="J83" s="127"/>
      <c r="K83" s="127">
        <f t="shared" ref="K83" si="12">K81/K82</f>
        <v>23794911.982984129</v>
      </c>
      <c r="L83" s="98"/>
      <c r="M83" s="98"/>
      <c r="N83" s="98">
        <f t="shared" ref="N83" si="13">N81/N82</f>
        <v>11914755.344761904</v>
      </c>
      <c r="O83" s="98"/>
      <c r="P83" s="98"/>
      <c r="Q83" s="98">
        <f t="shared" ref="Q83" si="14">Q81/Q82</f>
        <v>6371415.1377777783</v>
      </c>
      <c r="R83" s="98"/>
      <c r="S83" s="98">
        <f>SUM(H83,K83,N83,Q83)</f>
        <v>106328220.60673016</v>
      </c>
    </row>
    <row r="84" spans="6:19">
      <c r="H84" s="97"/>
      <c r="I84" s="98"/>
      <c r="J84" s="98"/>
      <c r="K84" s="98"/>
    </row>
    <row r="86" spans="6:19">
      <c r="H86" s="95"/>
      <c r="I86" s="95"/>
    </row>
    <row r="87" spans="6:19">
      <c r="H87" s="98">
        <v>9827700</v>
      </c>
      <c r="I87" s="98"/>
    </row>
    <row r="88" spans="6:19">
      <c r="H88" s="98">
        <f>H87*0.12</f>
        <v>1179324</v>
      </c>
      <c r="I88" s="127">
        <f>H88/17</f>
        <v>69372</v>
      </c>
    </row>
    <row r="89" spans="6:19">
      <c r="H89" s="98">
        <f>H87*0.037</f>
        <v>363624.89999999997</v>
      </c>
      <c r="I89" s="127">
        <f>H89/7</f>
        <v>51946.41428571428</v>
      </c>
    </row>
    <row r="90" spans="6:19">
      <c r="H90" s="129"/>
      <c r="I90" s="127">
        <f>I88*6</f>
        <v>416232</v>
      </c>
      <c r="J90" s="127">
        <f>I90*0.3</f>
        <v>124869.59999999999</v>
      </c>
    </row>
    <row r="91" spans="6:19">
      <c r="H91" s="129"/>
      <c r="I91" s="127">
        <f>I89*4</f>
        <v>207785.65714285712</v>
      </c>
      <c r="J91" s="127">
        <f>I91*0.3</f>
        <v>62335.697142857134</v>
      </c>
    </row>
    <row r="92" spans="6:19">
      <c r="H92" s="118"/>
      <c r="I92" s="127">
        <f>SUM(I90:I91)</f>
        <v>624017.65714285709</v>
      </c>
      <c r="J92" s="130">
        <f>SUM(J90:J91)</f>
        <v>187205.29714285713</v>
      </c>
      <c r="K92" t="s">
        <v>549</v>
      </c>
    </row>
    <row r="93" spans="6:19">
      <c r="I93" s="98"/>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CC336-EA74-412D-93CA-FA020DC5D6BF}">
  <sheetPr>
    <tabColor rgb="FFFFC000"/>
  </sheetPr>
  <dimension ref="A1:AD76"/>
  <sheetViews>
    <sheetView zoomScale="130" workbookViewId="0">
      <pane xSplit="6" ySplit="1" topLeftCell="G16" activePane="bottomRight" state="frozen"/>
      <selection pane="bottomRight" activeCell="A16" sqref="A16"/>
      <selection pane="bottomLeft" activeCell="A2" sqref="A2"/>
      <selection pane="topRight" activeCell="G1" sqref="G1"/>
    </sheetView>
  </sheetViews>
  <sheetFormatPr defaultColWidth="8.85546875" defaultRowHeight="14.45"/>
  <cols>
    <col min="1" max="2" width="6.28515625" customWidth="1"/>
    <col min="5" max="5" width="3.7109375" customWidth="1"/>
    <col min="6" max="6" width="34.7109375" customWidth="1"/>
    <col min="7" max="7" width="15.7109375" bestFit="1" customWidth="1"/>
    <col min="8" max="9" width="23.7109375" bestFit="1" customWidth="1"/>
    <col min="10" max="10" width="25.28515625" bestFit="1" customWidth="1"/>
    <col min="11" max="11" width="8" bestFit="1" customWidth="1"/>
    <col min="12" max="13" width="23.28515625" bestFit="1" customWidth="1"/>
    <col min="14" max="14" width="24.5703125" bestFit="1" customWidth="1"/>
    <col min="15" max="15" width="7.7109375" bestFit="1" customWidth="1"/>
    <col min="16" max="17" width="22.42578125" bestFit="1" customWidth="1"/>
    <col min="18" max="18" width="23.85546875" bestFit="1" customWidth="1"/>
    <col min="19" max="19" width="8" bestFit="1" customWidth="1"/>
    <col min="20" max="21" width="21.85546875" bestFit="1" customWidth="1"/>
    <col min="22" max="22" width="23.28515625" bestFit="1" customWidth="1"/>
    <col min="23" max="23" width="7.7109375" bestFit="1" customWidth="1"/>
    <col min="24" max="24" width="3.5703125" customWidth="1"/>
    <col min="25" max="25" width="4.7109375" customWidth="1"/>
    <col min="26" max="28" width="17.42578125" bestFit="1" customWidth="1"/>
    <col min="30" max="30" width="4" customWidth="1"/>
  </cols>
  <sheetData>
    <row r="1" spans="1:30" s="4" customFormat="1">
      <c r="A1" s="4" t="s">
        <v>430</v>
      </c>
      <c r="B1" s="4" t="s">
        <v>431</v>
      </c>
      <c r="C1" s="4" t="s">
        <v>432</v>
      </c>
      <c r="D1" s="4" t="s">
        <v>433</v>
      </c>
      <c r="E1" s="4" t="s">
        <v>434</v>
      </c>
      <c r="F1" s="4" t="s">
        <v>371</v>
      </c>
      <c r="G1" s="4" t="s">
        <v>372</v>
      </c>
      <c r="H1" s="4" t="str">
        <f>'Raw Results 2024'!G1</f>
        <v>B1OMBaseline</v>
      </c>
      <c r="I1" s="4" t="str">
        <f>'Raw Results 2024'!H1</f>
        <v>B1OMWOP</v>
      </c>
      <c r="J1" s="4" t="str">
        <f>'Raw Results 2024'!J1</f>
        <v>B1OMWP</v>
      </c>
      <c r="K1" s="4" t="str">
        <f>'Raw Results 2024'!K1</f>
        <v>delta</v>
      </c>
      <c r="L1" s="4" t="str">
        <f>'Raw Results 2024'!L1</f>
        <v>B1LGlocalBaseline</v>
      </c>
      <c r="M1" s="4" t="str">
        <f>'Raw Results 2024'!N1</f>
        <v>B1LGlocalWoP</v>
      </c>
      <c r="N1" s="4" t="str">
        <f>'Raw Results 2024'!P1</f>
        <v>B1LGlocalWP</v>
      </c>
      <c r="O1" s="4" t="str">
        <f>'Raw Results 2024'!Q1</f>
        <v>delta</v>
      </c>
      <c r="P1" s="4" t="str">
        <f>'Raw Results 2024'!R1</f>
        <v>B1LGcrossBaseline</v>
      </c>
      <c r="Q1" s="4" t="str">
        <f>'Raw Results 2024'!T1</f>
        <v>B1LGcrossWoP</v>
      </c>
      <c r="R1" s="4" t="str">
        <f>'Raw Results 2024'!V1</f>
        <v>B1LGcrossWP</v>
      </c>
      <c r="S1" s="4" t="str">
        <f>'Raw Results 2024'!W1</f>
        <v>delta</v>
      </c>
      <c r="Z1" s="4" t="s">
        <v>550</v>
      </c>
      <c r="AA1" s="4" t="s">
        <v>551</v>
      </c>
      <c r="AB1" s="4" t="s">
        <v>552</v>
      </c>
      <c r="AC1" s="4" t="s">
        <v>437</v>
      </c>
      <c r="AD1" s="132"/>
    </row>
    <row r="2" spans="1:30">
      <c r="A2" t="s">
        <v>354</v>
      </c>
      <c r="B2">
        <v>0</v>
      </c>
      <c r="C2" t="s">
        <v>444</v>
      </c>
      <c r="D2" t="s">
        <v>444</v>
      </c>
      <c r="F2" t="s">
        <v>445</v>
      </c>
      <c r="G2" t="s">
        <v>446</v>
      </c>
      <c r="H2" s="95">
        <f>'Raw Results 2024'!G2</f>
        <v>239846487.94</v>
      </c>
      <c r="I2" s="95">
        <f>'Raw Results 2024'!H2</f>
        <v>240716001.84999999</v>
      </c>
      <c r="J2" s="95">
        <f>'Raw Results 2024'!J2</f>
        <v>240749333.66999999</v>
      </c>
      <c r="K2" s="99">
        <f>(J2-I2)/I2</f>
        <v>1.3846948164569162E-4</v>
      </c>
      <c r="L2" s="95">
        <f>'Raw Results 2024'!L2</f>
        <v>404736681.06999999</v>
      </c>
      <c r="M2" s="95">
        <f>'Raw Results 2024'!N2</f>
        <v>412399366.45999998</v>
      </c>
      <c r="N2" s="95">
        <f>'Raw Results 2024'!P2</f>
        <v>410190656.01999998</v>
      </c>
      <c r="O2" s="99">
        <f>(N2-M2)/M2</f>
        <v>-5.3557561423029686E-3</v>
      </c>
      <c r="P2" s="95">
        <f>'Raw Results 2024'!R2</f>
        <v>376761000.32999998</v>
      </c>
      <c r="Q2" s="95">
        <f>'Raw Results 2024'!T2</f>
        <v>377438716.81</v>
      </c>
      <c r="R2" s="95">
        <f>'Raw Results 2024'!V2</f>
        <v>377541979.51999998</v>
      </c>
      <c r="S2" s="99">
        <f>(R2-Q2)/Q2</f>
        <v>2.7358801681164112E-4</v>
      </c>
      <c r="T2" s="95"/>
      <c r="U2" s="95"/>
      <c r="V2" s="95"/>
      <c r="W2" s="99"/>
      <c r="Z2" s="98">
        <f>H2+L2+P2+T2</f>
        <v>1021344169.3399999</v>
      </c>
      <c r="AA2" s="98">
        <f>I2+M2+Q2+U2</f>
        <v>1030554085.1199999</v>
      </c>
      <c r="AB2" s="98">
        <f>J2+N2+R2+V2</f>
        <v>1028481969.2099999</v>
      </c>
      <c r="AC2" s="99">
        <f>(AB2-AA2)/AA2</f>
        <v>-2.0106813799672485E-3</v>
      </c>
      <c r="AD2" s="133"/>
    </row>
    <row r="3" spans="1:30">
      <c r="A3" t="s">
        <v>354</v>
      </c>
      <c r="B3">
        <v>0</v>
      </c>
      <c r="C3" t="s">
        <v>444</v>
      </c>
      <c r="D3" t="s">
        <v>444</v>
      </c>
      <c r="F3" t="s">
        <v>447</v>
      </c>
      <c r="G3" t="s">
        <v>446</v>
      </c>
      <c r="H3" s="95">
        <f>'Raw Results 2024'!G3</f>
        <v>13719027.34</v>
      </c>
      <c r="I3" s="95">
        <f>'Raw Results 2024'!H3</f>
        <v>13769376.74</v>
      </c>
      <c r="J3" s="95">
        <f>'Raw Results 2024'!J3</f>
        <v>13779957.060000001</v>
      </c>
      <c r="K3" s="99">
        <f t="shared" ref="K3:K66" si="0">(J3-I3)/I3</f>
        <v>7.6839498256043052E-4</v>
      </c>
      <c r="L3" s="95">
        <f>'Raw Results 2024'!L3</f>
        <v>25189195.960000001</v>
      </c>
      <c r="M3" s="95">
        <f>'Raw Results 2024'!N3</f>
        <v>25688831.670000002</v>
      </c>
      <c r="N3" s="95">
        <f>'Raw Results 2024'!P3</f>
        <v>25365702.850000001</v>
      </c>
      <c r="O3" s="99">
        <f t="shared" ref="O3:O66" si="1">(N3-M3)/M3</f>
        <v>-1.257857204838776E-2</v>
      </c>
      <c r="P3" s="95">
        <f>'Raw Results 2024'!R3</f>
        <v>23360586.350000001</v>
      </c>
      <c r="Q3" s="95">
        <f>'Raw Results 2024'!T3</f>
        <v>23403654.760000002</v>
      </c>
      <c r="R3" s="95">
        <f>'Raw Results 2024'!V3</f>
        <v>23390393.510000002</v>
      </c>
      <c r="S3" s="99">
        <f t="shared" ref="S3:S66" si="2">(R3-Q3)/Q3</f>
        <v>-5.6663158536525936E-4</v>
      </c>
      <c r="T3" s="95"/>
      <c r="U3" s="95"/>
      <c r="V3" s="95"/>
      <c r="W3" s="99"/>
      <c r="Z3" s="98">
        <f t="shared" ref="Z3:Z66" si="3">H3+L3+P3+T3</f>
        <v>62268809.649999999</v>
      </c>
      <c r="AA3" s="98">
        <f t="shared" ref="AA3:AA66" si="4">I3+M3+Q3+U3</f>
        <v>62861863.170000002</v>
      </c>
      <c r="AB3" s="98">
        <f t="shared" ref="AB3:AB66" si="5">J3+N3+R3+V3</f>
        <v>62536053.420000002</v>
      </c>
      <c r="AC3" s="99">
        <f t="shared" ref="AC3:AC66" si="6">(AB3-AA3)/AA3</f>
        <v>-5.1829477137656397E-3</v>
      </c>
      <c r="AD3" s="133"/>
    </row>
    <row r="4" spans="1:30">
      <c r="A4" t="s">
        <v>354</v>
      </c>
      <c r="B4">
        <v>0</v>
      </c>
      <c r="C4" t="s">
        <v>444</v>
      </c>
      <c r="D4" t="s">
        <v>444</v>
      </c>
      <c r="F4" t="s">
        <v>448</v>
      </c>
      <c r="G4" t="s">
        <v>449</v>
      </c>
      <c r="H4" s="95">
        <f>'Raw Results 2024'!G4</f>
        <v>1097.57</v>
      </c>
      <c r="I4" s="95">
        <f>'Raw Results 2024'!H4</f>
        <v>1098.52</v>
      </c>
      <c r="J4" s="95">
        <f>'Raw Results 2024'!J4</f>
        <v>1099.28</v>
      </c>
      <c r="K4" s="99">
        <f t="shared" si="0"/>
        <v>6.9183993008774616E-4</v>
      </c>
      <c r="L4" s="95">
        <f>'Raw Results 2024'!L4</f>
        <v>1182.56</v>
      </c>
      <c r="M4" s="95">
        <f>'Raw Results 2024'!N4</f>
        <v>1184.28</v>
      </c>
      <c r="N4" s="95">
        <f>'Raw Results 2024'!P4</f>
        <v>1186.03</v>
      </c>
      <c r="O4" s="99">
        <f t="shared" si="1"/>
        <v>1.4776910865673658E-3</v>
      </c>
      <c r="P4" s="95">
        <f>'Raw Results 2024'!R4</f>
        <v>1175.8699999999999</v>
      </c>
      <c r="Q4" s="95">
        <f>'Raw Results 2024'!T4</f>
        <v>1176.07</v>
      </c>
      <c r="R4" s="95">
        <f>'Raw Results 2024'!V4</f>
        <v>1176.8</v>
      </c>
      <c r="S4" s="99">
        <f t="shared" si="2"/>
        <v>6.2071135221544488E-4</v>
      </c>
      <c r="T4" s="95"/>
      <c r="U4" s="95"/>
      <c r="V4" s="95"/>
      <c r="W4" s="99"/>
      <c r="Z4" s="98">
        <f t="shared" si="3"/>
        <v>3456</v>
      </c>
      <c r="AA4" s="98">
        <f t="shared" si="4"/>
        <v>3458.87</v>
      </c>
      <c r="AB4" s="98">
        <f t="shared" si="5"/>
        <v>3462.1099999999997</v>
      </c>
      <c r="AC4" s="99">
        <f t="shared" si="6"/>
        <v>9.367221086654838E-4</v>
      </c>
      <c r="AD4" s="133"/>
    </row>
    <row r="5" spans="1:30">
      <c r="A5" t="s">
        <v>354</v>
      </c>
      <c r="B5">
        <v>0</v>
      </c>
      <c r="C5" t="s">
        <v>444</v>
      </c>
      <c r="D5" t="s">
        <v>444</v>
      </c>
      <c r="F5" t="s">
        <v>450</v>
      </c>
      <c r="G5" t="s">
        <v>451</v>
      </c>
      <c r="H5" s="95">
        <f>'Raw Results 2024'!G5</f>
        <v>12482168.5</v>
      </c>
      <c r="I5" s="95">
        <f>'Raw Results 2024'!H5</f>
        <v>12851660.34</v>
      </c>
      <c r="J5" s="95">
        <f>'Raw Results 2024'!J5</f>
        <v>13098821.470000001</v>
      </c>
      <c r="K5" s="99">
        <f t="shared" si="0"/>
        <v>1.9231844249005481E-2</v>
      </c>
      <c r="L5" s="95">
        <f>'Raw Results 2024'!L5</f>
        <v>19832570.870000001</v>
      </c>
      <c r="M5" s="95">
        <f>'Raw Results 2024'!N5</f>
        <v>20220828.530000001</v>
      </c>
      <c r="N5" s="95">
        <f>'Raw Results 2024'!P5</f>
        <v>21035277.52</v>
      </c>
      <c r="O5" s="99">
        <f t="shared" si="1"/>
        <v>4.0277725949343104E-2</v>
      </c>
      <c r="P5" s="95">
        <f>'Raw Results 2024'!R5</f>
        <v>18571165.489999998</v>
      </c>
      <c r="Q5" s="95">
        <f>'Raw Results 2024'!T5</f>
        <v>18644475.510000002</v>
      </c>
      <c r="R5" s="95">
        <f>'Raw Results 2024'!V5</f>
        <v>18818444.850000001</v>
      </c>
      <c r="S5" s="99">
        <f t="shared" si="2"/>
        <v>9.3308787317021094E-3</v>
      </c>
      <c r="T5" s="95"/>
      <c r="U5" s="95"/>
      <c r="V5" s="95"/>
      <c r="W5" s="99"/>
      <c r="Z5" s="98">
        <f t="shared" si="3"/>
        <v>50885904.859999999</v>
      </c>
      <c r="AA5" s="98">
        <f t="shared" si="4"/>
        <v>51716964.380000003</v>
      </c>
      <c r="AB5" s="98">
        <f t="shared" si="5"/>
        <v>52952543.840000004</v>
      </c>
      <c r="AC5" s="99">
        <f t="shared" si="6"/>
        <v>2.3891182995996272E-2</v>
      </c>
      <c r="AD5" s="133"/>
    </row>
    <row r="6" spans="1:30">
      <c r="A6" t="s">
        <v>354</v>
      </c>
      <c r="B6">
        <v>0</v>
      </c>
      <c r="C6" t="s">
        <v>444</v>
      </c>
      <c r="D6" t="s">
        <v>444</v>
      </c>
      <c r="F6" t="s">
        <v>452</v>
      </c>
      <c r="G6" t="s">
        <v>451</v>
      </c>
      <c r="H6" s="95">
        <f>'Raw Results 2024'!G6</f>
        <v>5343191.6500000004</v>
      </c>
      <c r="I6" s="95">
        <f>'Raw Results 2024'!H6</f>
        <v>5381145.1699999999</v>
      </c>
      <c r="J6" s="95">
        <f>'Raw Results 2024'!J6</f>
        <v>5396429.4500000002</v>
      </c>
      <c r="K6" s="99">
        <f t="shared" si="0"/>
        <v>2.8403396520893824E-3</v>
      </c>
      <c r="L6" s="95">
        <f>'Raw Results 2024'!L6</f>
        <v>13371039.210000001</v>
      </c>
      <c r="M6" s="95">
        <f>'Raw Results 2024'!N6</f>
        <v>13503910.4</v>
      </c>
      <c r="N6" s="95">
        <f>'Raw Results 2024'!P6</f>
        <v>13627710.279999999</v>
      </c>
      <c r="O6" s="99">
        <f t="shared" si="1"/>
        <v>9.1677059705608643E-3</v>
      </c>
      <c r="P6" s="95">
        <f>'Raw Results 2024'!R6</f>
        <v>12885148.08</v>
      </c>
      <c r="Q6" s="95">
        <f>'Raw Results 2024'!T6</f>
        <v>12896701.98</v>
      </c>
      <c r="R6" s="95">
        <f>'Raw Results 2024'!V6</f>
        <v>12920546.619999999</v>
      </c>
      <c r="S6" s="99">
        <f t="shared" si="2"/>
        <v>1.8488943946271396E-3</v>
      </c>
      <c r="T6" s="95"/>
      <c r="U6" s="95"/>
      <c r="V6" s="95"/>
      <c r="W6" s="99"/>
      <c r="Z6" s="98">
        <f t="shared" si="3"/>
        <v>31599378.939999998</v>
      </c>
      <c r="AA6" s="98">
        <f t="shared" si="4"/>
        <v>31781757.550000001</v>
      </c>
      <c r="AB6" s="98">
        <f t="shared" si="5"/>
        <v>31944686.350000001</v>
      </c>
      <c r="AC6" s="99">
        <f t="shared" si="6"/>
        <v>5.1264880409359467E-3</v>
      </c>
      <c r="AD6" s="133"/>
    </row>
    <row r="7" spans="1:30">
      <c r="A7" t="s">
        <v>354</v>
      </c>
      <c r="B7">
        <v>0</v>
      </c>
      <c r="C7" t="s">
        <v>444</v>
      </c>
      <c r="D7" t="s">
        <v>444</v>
      </c>
      <c r="F7" t="s">
        <v>453</v>
      </c>
      <c r="G7" t="s">
        <v>451</v>
      </c>
      <c r="H7" s="95">
        <f>'Raw Results 2024'!G7</f>
        <v>268424949.97</v>
      </c>
      <c r="I7" s="95">
        <f>'Raw Results 2024'!H7</f>
        <v>269543070.16000003</v>
      </c>
      <c r="J7" s="95">
        <f>'Raw Results 2024'!J7</f>
        <v>269265957.04000002</v>
      </c>
      <c r="K7" s="99">
        <f t="shared" si="0"/>
        <v>-1.0280847503722176E-3</v>
      </c>
      <c r="L7" s="95">
        <f>'Raw Results 2024'!L7</f>
        <v>878392864.87</v>
      </c>
      <c r="M7" s="95">
        <f>'Raw Results 2024'!N7</f>
        <v>882415879.35000002</v>
      </c>
      <c r="N7" s="95">
        <f>'Raw Results 2024'!P7</f>
        <v>880515338.66999996</v>
      </c>
      <c r="O7" s="99">
        <f t="shared" si="1"/>
        <v>-2.153792474133661E-3</v>
      </c>
      <c r="P7" s="95">
        <f>'Raw Results 2024'!R7</f>
        <v>863684350.09000003</v>
      </c>
      <c r="Q7" s="95">
        <f>'Raw Results 2024'!T7</f>
        <v>864034941.72000003</v>
      </c>
      <c r="R7" s="95">
        <f>'Raw Results 2024'!V7</f>
        <v>863933345.03999996</v>
      </c>
      <c r="S7" s="99">
        <f t="shared" si="2"/>
        <v>-1.1758399469102752E-4</v>
      </c>
      <c r="T7" s="95"/>
      <c r="U7" s="95"/>
      <c r="V7" s="95"/>
      <c r="W7" s="99"/>
      <c r="Z7" s="98">
        <f t="shared" si="3"/>
        <v>2010502164.9299998</v>
      </c>
      <c r="AA7" s="98">
        <f t="shared" si="4"/>
        <v>2015993891.23</v>
      </c>
      <c r="AB7" s="98">
        <f t="shared" si="5"/>
        <v>2013714640.75</v>
      </c>
      <c r="AC7" s="99">
        <f t="shared" si="6"/>
        <v>-1.1305840210703222E-3</v>
      </c>
      <c r="AD7" s="133"/>
    </row>
    <row r="8" spans="1:30">
      <c r="A8" t="s">
        <v>354</v>
      </c>
      <c r="B8">
        <v>0</v>
      </c>
      <c r="C8" t="s">
        <v>444</v>
      </c>
      <c r="D8" t="s">
        <v>444</v>
      </c>
      <c r="F8" t="s">
        <v>454</v>
      </c>
      <c r="G8" t="s">
        <v>451</v>
      </c>
      <c r="H8" s="95">
        <f>'Raw Results 2024'!G8</f>
        <v>985517.97</v>
      </c>
      <c r="I8" s="95">
        <f>'Raw Results 2024'!H8</f>
        <v>986552.31999999995</v>
      </c>
      <c r="J8" s="95">
        <f>'Raw Results 2024'!J8</f>
        <v>986646.34</v>
      </c>
      <c r="K8" s="99">
        <f t="shared" si="0"/>
        <v>9.5301585221571047E-5</v>
      </c>
      <c r="L8" s="95">
        <f>'Raw Results 2024'!L8</f>
        <v>1732105.74</v>
      </c>
      <c r="M8" s="95">
        <f>'Raw Results 2024'!N8</f>
        <v>1737992.7</v>
      </c>
      <c r="N8" s="95">
        <f>'Raw Results 2024'!P8</f>
        <v>1737582.46</v>
      </c>
      <c r="O8" s="99">
        <f t="shared" si="1"/>
        <v>-2.3604241835997972E-4</v>
      </c>
      <c r="P8" s="95">
        <f>'Raw Results 2024'!R8</f>
        <v>1710577.96</v>
      </c>
      <c r="Q8" s="95">
        <f>'Raw Results 2024'!T8</f>
        <v>1711089.87</v>
      </c>
      <c r="R8" s="95">
        <f>'Raw Results 2024'!V8</f>
        <v>1711262.89</v>
      </c>
      <c r="S8" s="99">
        <f t="shared" si="2"/>
        <v>1.011168396431368E-4</v>
      </c>
      <c r="T8" s="95"/>
      <c r="U8" s="95"/>
      <c r="V8" s="95"/>
      <c r="W8" s="99"/>
      <c r="Z8" s="98">
        <f t="shared" si="3"/>
        <v>4428201.67</v>
      </c>
      <c r="AA8" s="98">
        <f t="shared" si="4"/>
        <v>4435634.8900000006</v>
      </c>
      <c r="AB8" s="98">
        <f t="shared" si="5"/>
        <v>4435491.6899999995</v>
      </c>
      <c r="AC8" s="99">
        <f t="shared" si="6"/>
        <v>-3.2283991706341181E-5</v>
      </c>
      <c r="AD8" s="133"/>
    </row>
    <row r="9" spans="1:30">
      <c r="A9" t="s">
        <v>354</v>
      </c>
      <c r="B9">
        <v>0</v>
      </c>
      <c r="C9" t="s">
        <v>444</v>
      </c>
      <c r="D9" t="s">
        <v>444</v>
      </c>
      <c r="F9" t="s">
        <v>455</v>
      </c>
      <c r="G9" t="s">
        <v>451</v>
      </c>
      <c r="H9" s="95">
        <f>'Raw Results 2024'!G9</f>
        <v>6823155.1100000003</v>
      </c>
      <c r="I9" s="95">
        <f>'Raw Results 2024'!H9</f>
        <v>6846950.4400000004</v>
      </c>
      <c r="J9" s="95">
        <f>'Raw Results 2024'!J9</f>
        <v>6852748.5300000003</v>
      </c>
      <c r="K9" s="99">
        <f t="shared" si="0"/>
        <v>8.4681349029887981E-4</v>
      </c>
      <c r="L9" s="95">
        <f>'Raw Results 2024'!L9</f>
        <v>39337078.859999999</v>
      </c>
      <c r="M9" s="95">
        <f>'Raw Results 2024'!N9</f>
        <v>39377578.149999999</v>
      </c>
      <c r="N9" s="95">
        <f>'Raw Results 2024'!P9</f>
        <v>39374755.920000002</v>
      </c>
      <c r="O9" s="99">
        <f t="shared" si="1"/>
        <v>-7.1670989750717361E-5</v>
      </c>
      <c r="P9" s="95">
        <f>'Raw Results 2024'!R9</f>
        <v>39188978.719999999</v>
      </c>
      <c r="Q9" s="95">
        <f>'Raw Results 2024'!T9</f>
        <v>39192500.350000001</v>
      </c>
      <c r="R9" s="95">
        <f>'Raw Results 2024'!V9</f>
        <v>39193690.700000003</v>
      </c>
      <c r="S9" s="99">
        <f t="shared" si="2"/>
        <v>3.0371882104263095E-5</v>
      </c>
      <c r="T9" s="95"/>
      <c r="U9" s="95"/>
      <c r="V9" s="95"/>
      <c r="W9" s="99"/>
      <c r="Z9" s="98">
        <f t="shared" si="3"/>
        <v>85349212.689999998</v>
      </c>
      <c r="AA9" s="98">
        <f t="shared" si="4"/>
        <v>85417028.939999998</v>
      </c>
      <c r="AB9" s="98">
        <f t="shared" si="5"/>
        <v>85421195.150000006</v>
      </c>
      <c r="AC9" s="99">
        <f t="shared" si="6"/>
        <v>4.8774934596880454E-5</v>
      </c>
      <c r="AD9" s="133"/>
    </row>
    <row r="10" spans="1:30">
      <c r="A10" t="s">
        <v>354</v>
      </c>
      <c r="B10">
        <v>0</v>
      </c>
      <c r="C10" t="s">
        <v>444</v>
      </c>
      <c r="D10" t="s">
        <v>444</v>
      </c>
      <c r="F10" t="s">
        <v>456</v>
      </c>
      <c r="G10" t="s">
        <v>457</v>
      </c>
      <c r="H10" s="95">
        <f>'Raw Results 2024'!G10</f>
        <v>1089103.58</v>
      </c>
      <c r="I10" s="95">
        <f>'Raw Results 2024'!H10</f>
        <v>1093159.02</v>
      </c>
      <c r="J10" s="95">
        <f>'Raw Results 2024'!J10</f>
        <v>1092898.81</v>
      </c>
      <c r="K10" s="99">
        <f t="shared" si="0"/>
        <v>-2.3803490182056289E-4</v>
      </c>
      <c r="L10" s="95">
        <f>'Raw Results 2024'!L10</f>
        <v>1997352.95</v>
      </c>
      <c r="M10" s="95">
        <f>'Raw Results 2024'!N10</f>
        <v>2031820.8</v>
      </c>
      <c r="N10" s="95">
        <f>'Raw Results 2024'!P10</f>
        <v>2019343.54</v>
      </c>
      <c r="O10" s="99">
        <f t="shared" si="1"/>
        <v>-6.1409254201945417E-3</v>
      </c>
      <c r="P10" s="95">
        <f>'Raw Results 2024'!R10</f>
        <v>1871555.17</v>
      </c>
      <c r="Q10" s="95">
        <f>'Raw Results 2024'!T10</f>
        <v>1874613.84</v>
      </c>
      <c r="R10" s="95">
        <f>'Raw Results 2024'!V10</f>
        <v>1874678.96</v>
      </c>
      <c r="S10" s="99">
        <f t="shared" si="2"/>
        <v>3.4737820990310691E-5</v>
      </c>
      <c r="T10" s="95"/>
      <c r="U10" s="95"/>
      <c r="V10" s="95"/>
      <c r="W10" s="99"/>
      <c r="Z10" s="98">
        <f t="shared" si="3"/>
        <v>4958011.7</v>
      </c>
      <c r="AA10" s="98">
        <f t="shared" si="4"/>
        <v>4999593.66</v>
      </c>
      <c r="AB10" s="98">
        <f t="shared" si="5"/>
        <v>4986921.3100000005</v>
      </c>
      <c r="AC10" s="99">
        <f t="shared" si="6"/>
        <v>-2.5346759880481222E-3</v>
      </c>
      <c r="AD10" s="133"/>
    </row>
    <row r="11" spans="1:30">
      <c r="A11" t="s">
        <v>354</v>
      </c>
      <c r="B11">
        <v>0</v>
      </c>
      <c r="C11" t="s">
        <v>444</v>
      </c>
      <c r="D11" t="s">
        <v>444</v>
      </c>
      <c r="F11" t="s">
        <v>458</v>
      </c>
      <c r="G11" t="s">
        <v>457</v>
      </c>
      <c r="H11" s="95">
        <f>'Raw Results 2024'!G11</f>
        <v>3487956.6</v>
      </c>
      <c r="I11" s="95">
        <f>'Raw Results 2024'!H11</f>
        <v>3508813.68</v>
      </c>
      <c r="J11" s="95">
        <f>'Raw Results 2024'!J11</f>
        <v>3513079.75</v>
      </c>
      <c r="K11" s="99">
        <f t="shared" si="0"/>
        <v>1.2158154832546801E-3</v>
      </c>
      <c r="L11" s="95">
        <f>'Raw Results 2024'!L11</f>
        <v>6155278.4800000004</v>
      </c>
      <c r="M11" s="95">
        <f>'Raw Results 2024'!N11</f>
        <v>6377736.8799999999</v>
      </c>
      <c r="N11" s="95">
        <f>'Raw Results 2024'!P11</f>
        <v>6390691.9900000002</v>
      </c>
      <c r="O11" s="99">
        <f t="shared" si="1"/>
        <v>2.0313020502031646E-3</v>
      </c>
      <c r="P11" s="95">
        <f>'Raw Results 2024'!R11</f>
        <v>5344774.7</v>
      </c>
      <c r="Q11" s="95">
        <f>'Raw Results 2024'!T11</f>
        <v>5364397.6100000003</v>
      </c>
      <c r="R11" s="95">
        <f>'Raw Results 2024'!V11</f>
        <v>5379463.1699999999</v>
      </c>
      <c r="S11" s="99">
        <f t="shared" si="2"/>
        <v>2.8084346268284145E-3</v>
      </c>
      <c r="T11" s="95"/>
      <c r="U11" s="95"/>
      <c r="V11" s="95"/>
      <c r="W11" s="99"/>
      <c r="Z11" s="98">
        <f t="shared" si="3"/>
        <v>14988009.780000001</v>
      </c>
      <c r="AA11" s="98">
        <f t="shared" si="4"/>
        <v>15250948.170000002</v>
      </c>
      <c r="AB11" s="98">
        <f t="shared" si="5"/>
        <v>15283234.91</v>
      </c>
      <c r="AC11" s="99">
        <f t="shared" si="6"/>
        <v>2.1170316520719222E-3</v>
      </c>
      <c r="AD11" s="133"/>
    </row>
    <row r="12" spans="1:30">
      <c r="A12" t="s">
        <v>354</v>
      </c>
      <c r="B12">
        <v>0</v>
      </c>
      <c r="C12" t="s">
        <v>444</v>
      </c>
      <c r="D12" t="s">
        <v>444</v>
      </c>
      <c r="F12" t="s">
        <v>459</v>
      </c>
      <c r="G12" t="s">
        <v>460</v>
      </c>
      <c r="H12" s="95">
        <f>'Raw Results 2024'!G12</f>
        <v>158.69999999999999</v>
      </c>
      <c r="I12" s="95">
        <f>'Raw Results 2024'!H12</f>
        <v>158.41</v>
      </c>
      <c r="J12" s="95">
        <f>'Raw Results 2024'!J12</f>
        <v>158.24</v>
      </c>
      <c r="K12" s="99">
        <f t="shared" si="0"/>
        <v>-1.0731645729435484E-3</v>
      </c>
      <c r="L12" s="95">
        <f>'Raw Results 2024'!L12</f>
        <v>117.17</v>
      </c>
      <c r="M12" s="95">
        <f>'Raw Results 2024'!N12</f>
        <v>118.26</v>
      </c>
      <c r="N12" s="95">
        <f>'Raw Results 2024'!P12</f>
        <v>115.14</v>
      </c>
      <c r="O12" s="99">
        <f t="shared" si="1"/>
        <v>-2.6382546930492173E-2</v>
      </c>
      <c r="P12" s="95">
        <f>'Raw Results 2024'!R12</f>
        <v>112.61</v>
      </c>
      <c r="Q12" s="95">
        <f>'Raw Results 2024'!T12</f>
        <v>112.65</v>
      </c>
      <c r="R12" s="95">
        <f>'Raw Results 2024'!V12</f>
        <v>112.41</v>
      </c>
      <c r="S12" s="99">
        <f t="shared" si="2"/>
        <v>-2.1304926764315053E-3</v>
      </c>
      <c r="T12" s="95"/>
      <c r="U12" s="95"/>
      <c r="V12" s="95"/>
      <c r="W12" s="99"/>
      <c r="Z12" s="98">
        <f t="shared" si="3"/>
        <v>388.48</v>
      </c>
      <c r="AA12" s="98">
        <f t="shared" si="4"/>
        <v>389.32000000000005</v>
      </c>
      <c r="AB12" s="98">
        <f t="shared" si="5"/>
        <v>385.78999999999996</v>
      </c>
      <c r="AC12" s="99">
        <f t="shared" si="6"/>
        <v>-9.0670913387446983E-3</v>
      </c>
      <c r="AD12" s="133"/>
    </row>
    <row r="13" spans="1:30">
      <c r="A13" t="s">
        <v>354</v>
      </c>
      <c r="B13">
        <v>1</v>
      </c>
      <c r="C13" t="s">
        <v>444</v>
      </c>
      <c r="D13" t="s">
        <v>444</v>
      </c>
      <c r="F13" t="s">
        <v>231</v>
      </c>
      <c r="G13" t="s">
        <v>381</v>
      </c>
      <c r="H13" s="95">
        <f>'Raw Results 2024'!G13</f>
        <v>0</v>
      </c>
      <c r="I13" s="95">
        <f>'Raw Results 2024'!H13</f>
        <v>0</v>
      </c>
      <c r="J13" s="95">
        <f>'Raw Results 2024'!J13</f>
        <v>0</v>
      </c>
      <c r="K13" s="99" t="e">
        <f t="shared" si="0"/>
        <v>#DIV/0!</v>
      </c>
      <c r="L13" s="95">
        <f>'Raw Results 2024'!L13</f>
        <v>0</v>
      </c>
      <c r="M13" s="95">
        <f>'Raw Results 2024'!N13</f>
        <v>0</v>
      </c>
      <c r="N13" s="95">
        <f>'Raw Results 2024'!P13</f>
        <v>0</v>
      </c>
      <c r="O13" s="99" t="e">
        <f t="shared" si="1"/>
        <v>#DIV/0!</v>
      </c>
      <c r="P13" s="95">
        <f>'Raw Results 2024'!R13</f>
        <v>0</v>
      </c>
      <c r="Q13" s="95">
        <f>'Raw Results 2024'!T13</f>
        <v>0</v>
      </c>
      <c r="R13" s="95">
        <f>'Raw Results 2024'!V13</f>
        <v>0</v>
      </c>
      <c r="S13" s="99" t="e">
        <f t="shared" si="2"/>
        <v>#DIV/0!</v>
      </c>
      <c r="T13" s="95"/>
      <c r="U13" s="95"/>
      <c r="V13" s="95"/>
      <c r="W13" s="99"/>
      <c r="Z13" s="98">
        <f t="shared" si="3"/>
        <v>0</v>
      </c>
      <c r="AA13" s="98">
        <f t="shared" si="4"/>
        <v>0</v>
      </c>
      <c r="AB13" s="98">
        <f t="shared" si="5"/>
        <v>0</v>
      </c>
      <c r="AC13" s="99" t="e">
        <f t="shared" si="6"/>
        <v>#DIV/0!</v>
      </c>
      <c r="AD13" s="133"/>
    </row>
    <row r="14" spans="1:30">
      <c r="A14" t="s">
        <v>354</v>
      </c>
      <c r="B14">
        <v>0</v>
      </c>
      <c r="C14" t="s">
        <v>444</v>
      </c>
      <c r="D14" t="s">
        <v>444</v>
      </c>
      <c r="F14" t="s">
        <v>461</v>
      </c>
      <c r="G14" t="s">
        <v>457</v>
      </c>
      <c r="H14" s="95">
        <f>'Raw Results 2024'!G14</f>
        <v>123.55</v>
      </c>
      <c r="I14" s="95">
        <f>'Raw Results 2024'!H14</f>
        <v>124.33</v>
      </c>
      <c r="J14" s="95">
        <f>'Raw Results 2024'!J14</f>
        <v>124.3</v>
      </c>
      <c r="K14" s="99">
        <f t="shared" si="0"/>
        <v>-2.4129333226092768E-4</v>
      </c>
      <c r="L14" s="95">
        <f>'Raw Results 2024'!L14</f>
        <v>317.38</v>
      </c>
      <c r="M14" s="95">
        <f>'Raw Results 2024'!N14</f>
        <v>325.49</v>
      </c>
      <c r="N14" s="95">
        <f>'Raw Results 2024'!P14</f>
        <v>304.77999999999997</v>
      </c>
      <c r="O14" s="99">
        <f t="shared" si="1"/>
        <v>-6.3627146763341538E-2</v>
      </c>
      <c r="P14" s="95">
        <f>'Raw Results 2024'!R14</f>
        <v>287.77999999999997</v>
      </c>
      <c r="Q14" s="95">
        <f>'Raw Results 2024'!T14</f>
        <v>288.5</v>
      </c>
      <c r="R14" s="95">
        <f>'Raw Results 2024'!V14</f>
        <v>286.89</v>
      </c>
      <c r="S14" s="99">
        <f t="shared" si="2"/>
        <v>-5.5805892547660784E-3</v>
      </c>
      <c r="T14" s="95"/>
      <c r="U14" s="95"/>
      <c r="V14" s="95"/>
      <c r="W14" s="99"/>
      <c r="Z14" s="98">
        <f t="shared" si="3"/>
        <v>728.71</v>
      </c>
      <c r="AA14" s="98">
        <f t="shared" si="4"/>
        <v>738.31999999999994</v>
      </c>
      <c r="AB14" s="98">
        <f t="shared" si="5"/>
        <v>715.97</v>
      </c>
      <c r="AC14" s="99">
        <f t="shared" si="6"/>
        <v>-3.027142702351272E-2</v>
      </c>
      <c r="AD14" s="133"/>
    </row>
    <row r="15" spans="1:30">
      <c r="A15" t="s">
        <v>354</v>
      </c>
      <c r="B15">
        <v>0</v>
      </c>
      <c r="C15" t="s">
        <v>444</v>
      </c>
      <c r="D15" t="s">
        <v>444</v>
      </c>
      <c r="F15" t="s">
        <v>462</v>
      </c>
      <c r="G15" t="s">
        <v>457</v>
      </c>
      <c r="H15" s="95">
        <f>'Raw Results 2024'!G15</f>
        <v>1525887.38</v>
      </c>
      <c r="I15" s="95">
        <f>'Raw Results 2024'!H15</f>
        <v>1530926.98</v>
      </c>
      <c r="J15" s="95">
        <f>'Raw Results 2024'!J15</f>
        <v>1529005.28</v>
      </c>
      <c r="K15" s="99">
        <f t="shared" si="0"/>
        <v>-1.2552525529336176E-3</v>
      </c>
      <c r="L15" s="95">
        <f>'Raw Results 2024'!L15</f>
        <v>3005808.37</v>
      </c>
      <c r="M15" s="95">
        <f>'Raw Results 2024'!N15</f>
        <v>3056729.45</v>
      </c>
      <c r="N15" s="95">
        <f>'Raw Results 2024'!P15</f>
        <v>3056273.71</v>
      </c>
      <c r="O15" s="99">
        <f t="shared" si="1"/>
        <v>-1.4909399325485723E-4</v>
      </c>
      <c r="P15" s="95">
        <f>'Raw Results 2024'!R15</f>
        <v>2819313.38</v>
      </c>
      <c r="Q15" s="95">
        <f>'Raw Results 2024'!T15</f>
        <v>2823670.39</v>
      </c>
      <c r="R15" s="95">
        <f>'Raw Results 2024'!V15</f>
        <v>2825715.38</v>
      </c>
      <c r="S15" s="99">
        <f t="shared" si="2"/>
        <v>7.2423113095709368E-4</v>
      </c>
      <c r="T15" s="95"/>
      <c r="U15" s="95"/>
      <c r="V15" s="95"/>
      <c r="W15" s="99"/>
      <c r="Z15" s="98">
        <f t="shared" si="3"/>
        <v>7351009.1299999999</v>
      </c>
      <c r="AA15" s="98">
        <f t="shared" si="4"/>
        <v>7411326.8200000003</v>
      </c>
      <c r="AB15" s="98">
        <f t="shared" si="5"/>
        <v>7410994.3700000001</v>
      </c>
      <c r="AC15" s="99">
        <f t="shared" si="6"/>
        <v>-4.4857015224729525E-5</v>
      </c>
      <c r="AD15" s="133"/>
    </row>
    <row r="16" spans="1:30" s="220" customFormat="1">
      <c r="A16" s="220" t="s">
        <v>354</v>
      </c>
      <c r="B16" s="220">
        <v>0</v>
      </c>
      <c r="C16" s="220" t="s">
        <v>444</v>
      </c>
      <c r="D16" s="220" t="s">
        <v>444</v>
      </c>
      <c r="F16" s="220" t="s">
        <v>377</v>
      </c>
      <c r="G16" s="220" t="s">
        <v>30</v>
      </c>
      <c r="H16" s="221">
        <f>'Raw Results 2024'!G16</f>
        <v>6885153.5899999999</v>
      </c>
      <c r="I16" s="221">
        <f>'Raw Results 2024'!H16</f>
        <v>6904470.46</v>
      </c>
      <c r="J16" s="221">
        <f>'Raw Results 2024'!J16</f>
        <v>6900301.0199999996</v>
      </c>
      <c r="K16" s="222">
        <f t="shared" si="0"/>
        <v>-6.0387542015791456E-4</v>
      </c>
      <c r="L16" s="221">
        <f>'Raw Results 2024'!L16</f>
        <v>11315565.210000001</v>
      </c>
      <c r="M16" s="221">
        <f>'Raw Results 2024'!N16</f>
        <v>11500807.710000001</v>
      </c>
      <c r="N16" s="221">
        <f>'Raw Results 2024'!P16</f>
        <v>11425354.609999999</v>
      </c>
      <c r="O16" s="222">
        <f t="shared" si="1"/>
        <v>-6.5606783369132156E-3</v>
      </c>
      <c r="P16" s="221">
        <f>'Raw Results 2024'!R16</f>
        <v>10638159.640000001</v>
      </c>
      <c r="Q16" s="221">
        <f>'Raw Results 2024'!T16</f>
        <v>10654267.5</v>
      </c>
      <c r="R16" s="221">
        <f>'Raw Results 2024'!V16</f>
        <v>10650277.32</v>
      </c>
      <c r="S16" s="222">
        <f t="shared" si="2"/>
        <v>-3.7451471910196569E-4</v>
      </c>
      <c r="T16" s="221"/>
      <c r="U16" s="221"/>
      <c r="V16" s="221"/>
      <c r="W16" s="222"/>
      <c r="Z16" s="223">
        <f t="shared" si="3"/>
        <v>28838878.440000001</v>
      </c>
      <c r="AA16" s="223">
        <f t="shared" si="4"/>
        <v>29059545.670000002</v>
      </c>
      <c r="AB16" s="223">
        <f t="shared" si="5"/>
        <v>28975932.949999999</v>
      </c>
      <c r="AC16" s="222">
        <f t="shared" si="6"/>
        <v>-2.877289306223435E-3</v>
      </c>
    </row>
    <row r="17" spans="1:30">
      <c r="A17" t="s">
        <v>354</v>
      </c>
      <c r="B17">
        <v>0</v>
      </c>
      <c r="C17" t="s">
        <v>444</v>
      </c>
      <c r="D17" t="s">
        <v>444</v>
      </c>
      <c r="F17" t="s">
        <v>463</v>
      </c>
      <c r="G17" t="s">
        <v>446</v>
      </c>
      <c r="H17" s="95">
        <f>'Raw Results 2024'!G17</f>
        <v>253565515.27000001</v>
      </c>
      <c r="I17" s="95">
        <f>'Raw Results 2024'!H17</f>
        <v>254485378.59</v>
      </c>
      <c r="J17" s="95">
        <f>'Raw Results 2024'!J17</f>
        <v>254529290.72999999</v>
      </c>
      <c r="K17" s="99">
        <f t="shared" si="0"/>
        <v>1.7255270319766505E-4</v>
      </c>
      <c r="L17" s="95">
        <f>'Raw Results 2024'!L17</f>
        <v>429925877.02999997</v>
      </c>
      <c r="M17" s="95">
        <f>'Raw Results 2024'!N17</f>
        <v>438088198.13</v>
      </c>
      <c r="N17" s="95">
        <f>'Raw Results 2024'!P17</f>
        <v>435556358.87</v>
      </c>
      <c r="O17" s="99">
        <f t="shared" si="1"/>
        <v>-5.7792911811075142E-3</v>
      </c>
      <c r="P17" s="95">
        <f>'Raw Results 2024'!R17</f>
        <v>400121586.68000001</v>
      </c>
      <c r="Q17" s="95">
        <f>'Raw Results 2024'!T17</f>
        <v>400842371.56999999</v>
      </c>
      <c r="R17" s="95">
        <f>'Raw Results 2024'!V17</f>
        <v>400932373.04000002</v>
      </c>
      <c r="S17" s="99">
        <f t="shared" si="2"/>
        <v>2.2453082903265743E-4</v>
      </c>
      <c r="T17" s="95"/>
      <c r="U17" s="95"/>
      <c r="V17" s="95"/>
      <c r="W17" s="99"/>
      <c r="Z17" s="98">
        <f t="shared" si="3"/>
        <v>1083612978.98</v>
      </c>
      <c r="AA17" s="98">
        <f t="shared" si="4"/>
        <v>1093415948.29</v>
      </c>
      <c r="AB17" s="98">
        <f t="shared" si="5"/>
        <v>1091018022.6400001</v>
      </c>
      <c r="AC17" s="99">
        <f t="shared" si="6"/>
        <v>-2.1930589669466481E-3</v>
      </c>
      <c r="AD17" s="133"/>
    </row>
    <row r="18" spans="1:30">
      <c r="A18" t="s">
        <v>354</v>
      </c>
      <c r="B18">
        <v>0</v>
      </c>
      <c r="C18" t="s">
        <v>444</v>
      </c>
      <c r="D18" t="s">
        <v>444</v>
      </c>
      <c r="F18" t="s">
        <v>464</v>
      </c>
      <c r="G18" t="s">
        <v>451</v>
      </c>
      <c r="H18" s="95">
        <f>'Raw Results 2024'!G18</f>
        <v>294058983.19999999</v>
      </c>
      <c r="I18" s="95">
        <f>'Raw Results 2024'!H18</f>
        <v>295609378.43000001</v>
      </c>
      <c r="J18" s="95">
        <f>'Raw Results 2024'!J18</f>
        <v>295600602.82999998</v>
      </c>
      <c r="K18" s="99">
        <f t="shared" si="0"/>
        <v>-2.9686473570735832E-5</v>
      </c>
      <c r="L18" s="95">
        <f>'Raw Results 2024'!L18</f>
        <v>952665659.55999994</v>
      </c>
      <c r="M18" s="95">
        <f>'Raw Results 2024'!N18</f>
        <v>957256189.13999999</v>
      </c>
      <c r="N18" s="95">
        <f>'Raw Results 2024'!P18</f>
        <v>956290664.85000002</v>
      </c>
      <c r="O18" s="99">
        <f t="shared" si="1"/>
        <v>-1.008637291619279E-3</v>
      </c>
      <c r="P18" s="95">
        <f>'Raw Results 2024'!R18</f>
        <v>936040220.34000003</v>
      </c>
      <c r="Q18" s="95">
        <f>'Raw Results 2024'!T18</f>
        <v>936479709.42999995</v>
      </c>
      <c r="R18" s="95">
        <f>'Raw Results 2024'!V18</f>
        <v>936577290.09000003</v>
      </c>
      <c r="S18" s="99">
        <f t="shared" si="2"/>
        <v>1.0419943861835461E-4</v>
      </c>
      <c r="T18" s="95"/>
      <c r="U18" s="95"/>
      <c r="V18" s="95"/>
      <c r="W18" s="99"/>
      <c r="Z18" s="98">
        <f t="shared" si="3"/>
        <v>2182764863.0999999</v>
      </c>
      <c r="AA18" s="98">
        <f t="shared" si="4"/>
        <v>2189345277</v>
      </c>
      <c r="AB18" s="98">
        <f t="shared" si="5"/>
        <v>2188468557.77</v>
      </c>
      <c r="AC18" s="99">
        <f t="shared" si="6"/>
        <v>-4.0044813360885838E-4</v>
      </c>
      <c r="AD18" s="133"/>
    </row>
    <row r="19" spans="1:30">
      <c r="A19" t="s">
        <v>354</v>
      </c>
      <c r="B19">
        <v>0</v>
      </c>
      <c r="C19" t="s">
        <v>444</v>
      </c>
      <c r="D19" t="s">
        <v>444</v>
      </c>
      <c r="F19" t="s">
        <v>465</v>
      </c>
      <c r="G19" t="s">
        <v>466</v>
      </c>
      <c r="H19" s="95">
        <f>'Raw Results 2024'!G19</f>
        <v>7556928881.1000004</v>
      </c>
      <c r="I19" s="95">
        <f>'Raw Results 2024'!H19</f>
        <v>7584691608.5799999</v>
      </c>
      <c r="J19" s="95">
        <f>'Raw Results 2024'!J19</f>
        <v>7585343826.8599997</v>
      </c>
      <c r="K19" s="99">
        <f t="shared" si="0"/>
        <v>8.5991403956612651E-5</v>
      </c>
      <c r="L19" s="95">
        <f>'Raw Results 2024'!L19</f>
        <v>13381336666.75</v>
      </c>
      <c r="M19" s="95">
        <f>'Raw Results 2024'!N19</f>
        <v>13620213537.68</v>
      </c>
      <c r="N19" s="95">
        <f>'Raw Results 2024'!P19</f>
        <v>13550758282.92</v>
      </c>
      <c r="O19" s="99">
        <f t="shared" si="1"/>
        <v>-5.0994248047472896E-3</v>
      </c>
      <c r="P19" s="95">
        <f>'Raw Results 2024'!R19</f>
        <v>12509074177.040001</v>
      </c>
      <c r="Q19" s="95">
        <f>'Raw Results 2024'!T19</f>
        <v>12530164519.91</v>
      </c>
      <c r="R19" s="95">
        <f>'Raw Results 2024'!V19</f>
        <v>12533249982.610001</v>
      </c>
      <c r="S19" s="99">
        <f t="shared" si="2"/>
        <v>2.4624279235105562E-4</v>
      </c>
      <c r="T19" s="95"/>
      <c r="U19" s="95"/>
      <c r="V19" s="95"/>
      <c r="W19" s="99"/>
      <c r="Z19" s="98">
        <f t="shared" si="3"/>
        <v>33447339724.889999</v>
      </c>
      <c r="AA19" s="98">
        <f t="shared" si="4"/>
        <v>33735069666.170002</v>
      </c>
      <c r="AB19" s="98">
        <f t="shared" si="5"/>
        <v>33669352092.389999</v>
      </c>
      <c r="AC19" s="99">
        <f t="shared" si="6"/>
        <v>-1.9480491497518707E-3</v>
      </c>
      <c r="AD19" s="133"/>
    </row>
    <row r="20" spans="1:30">
      <c r="A20" t="s">
        <v>354</v>
      </c>
      <c r="B20">
        <v>0</v>
      </c>
      <c r="C20" t="s">
        <v>444</v>
      </c>
      <c r="D20" t="s">
        <v>444</v>
      </c>
      <c r="F20" t="s">
        <v>467</v>
      </c>
      <c r="G20" t="s">
        <v>457</v>
      </c>
      <c r="H20" s="95">
        <f>'Raw Results 2024'!G20</f>
        <v>1526010.94</v>
      </c>
      <c r="I20" s="95">
        <f>'Raw Results 2024'!H20</f>
        <v>1531051.31</v>
      </c>
      <c r="J20" s="95">
        <f>'Raw Results 2024'!J20</f>
        <v>1529129.58</v>
      </c>
      <c r="K20" s="99">
        <f t="shared" si="0"/>
        <v>-1.2551702137271815E-3</v>
      </c>
      <c r="L20" s="95">
        <f>'Raw Results 2024'!L20</f>
        <v>3006125.74</v>
      </c>
      <c r="M20" s="95">
        <f>'Raw Results 2024'!N20</f>
        <v>3057054.94</v>
      </c>
      <c r="N20" s="95">
        <f>'Raw Results 2024'!P20</f>
        <v>3056578.49</v>
      </c>
      <c r="O20" s="99">
        <f t="shared" si="1"/>
        <v>-1.5585261284173081E-4</v>
      </c>
      <c r="P20" s="95">
        <f>'Raw Results 2024'!R20</f>
        <v>2819601.16</v>
      </c>
      <c r="Q20" s="95">
        <f>'Raw Results 2024'!T20</f>
        <v>2823958.89</v>
      </c>
      <c r="R20" s="95">
        <f>'Raw Results 2024'!V20</f>
        <v>2826002.27</v>
      </c>
      <c r="S20" s="99">
        <f t="shared" si="2"/>
        <v>7.235870207727734E-4</v>
      </c>
      <c r="T20" s="95"/>
      <c r="U20" s="95"/>
      <c r="V20" s="95"/>
      <c r="W20" s="99"/>
      <c r="Z20" s="98">
        <f t="shared" si="3"/>
        <v>7351737.8399999999</v>
      </c>
      <c r="AA20" s="98">
        <f t="shared" si="4"/>
        <v>7412065.1400000006</v>
      </c>
      <c r="AB20" s="98">
        <f t="shared" si="5"/>
        <v>7411710.3399999999</v>
      </c>
      <c r="AC20" s="99">
        <f t="shared" si="6"/>
        <v>-4.7867900955973659E-5</v>
      </c>
      <c r="AD20" s="133"/>
    </row>
    <row r="21" spans="1:30">
      <c r="A21" t="s">
        <v>354</v>
      </c>
      <c r="B21">
        <v>0</v>
      </c>
      <c r="C21" t="s">
        <v>468</v>
      </c>
      <c r="D21" t="s">
        <v>469</v>
      </c>
      <c r="F21" t="s">
        <v>445</v>
      </c>
      <c r="G21" t="s">
        <v>446</v>
      </c>
      <c r="H21" s="95">
        <f>'Raw Results 2024'!G21</f>
        <v>2256666.7599999998</v>
      </c>
      <c r="I21" s="95">
        <f>'Raw Results 2024'!H21</f>
        <v>3126180.67</v>
      </c>
      <c r="J21" s="95">
        <f>'Raw Results 2024'!J21</f>
        <v>3159512.49</v>
      </c>
      <c r="K21" s="99">
        <f t="shared" si="0"/>
        <v>1.0662154084651895E-2</v>
      </c>
      <c r="L21" s="95">
        <f>'Raw Results 2024'!L21</f>
        <v>30690021.41</v>
      </c>
      <c r="M21" s="95">
        <f>'Raw Results 2024'!N21</f>
        <v>38352706.799999997</v>
      </c>
      <c r="N21" s="95">
        <f>'Raw Results 2024'!P21</f>
        <v>36143996.359999999</v>
      </c>
      <c r="O21" s="99">
        <f t="shared" si="1"/>
        <v>-5.7589427821037077E-2</v>
      </c>
      <c r="P21" s="95">
        <f>'Raw Results 2024'!R21</f>
        <v>2714340.67</v>
      </c>
      <c r="Q21" s="95">
        <f>'Raw Results 2024'!T21</f>
        <v>3392057.15</v>
      </c>
      <c r="R21" s="95">
        <f>'Raw Results 2024'!V21</f>
        <v>3495319.86</v>
      </c>
      <c r="S21" s="99">
        <f t="shared" si="2"/>
        <v>3.0442503010304517E-2</v>
      </c>
      <c r="T21" s="95"/>
      <c r="U21" s="95"/>
      <c r="V21" s="95"/>
      <c r="W21" s="99"/>
      <c r="Z21" s="98">
        <f t="shared" si="3"/>
        <v>35661028.840000004</v>
      </c>
      <c r="AA21" s="98">
        <f t="shared" si="4"/>
        <v>44870944.619999997</v>
      </c>
      <c r="AB21" s="98">
        <f t="shared" si="5"/>
        <v>42798828.710000001</v>
      </c>
      <c r="AC21" s="99">
        <f t="shared" si="6"/>
        <v>-4.6179458167154505E-2</v>
      </c>
      <c r="AD21" s="133"/>
    </row>
    <row r="22" spans="1:30">
      <c r="A22" t="s">
        <v>354</v>
      </c>
      <c r="B22">
        <v>0</v>
      </c>
      <c r="C22" t="s">
        <v>468</v>
      </c>
      <c r="D22" t="s">
        <v>469</v>
      </c>
      <c r="F22" t="s">
        <v>447</v>
      </c>
      <c r="G22" t="s">
        <v>446</v>
      </c>
      <c r="H22" s="95">
        <f>'Raw Results 2024'!G22</f>
        <v>130672.75</v>
      </c>
      <c r="I22" s="95">
        <f>'Raw Results 2024'!H22</f>
        <v>181022.16</v>
      </c>
      <c r="J22" s="95">
        <f>'Raw Results 2024'!J22</f>
        <v>191602.47</v>
      </c>
      <c r="K22" s="99">
        <f t="shared" si="0"/>
        <v>5.8447595587192182E-2</v>
      </c>
      <c r="L22" s="95">
        <f>'Raw Results 2024'!L22</f>
        <v>2001104.03</v>
      </c>
      <c r="M22" s="95">
        <f>'Raw Results 2024'!N22</f>
        <v>2500739.7400000002</v>
      </c>
      <c r="N22" s="95">
        <f>'Raw Results 2024'!P22</f>
        <v>2177610.92</v>
      </c>
      <c r="O22" s="99">
        <f t="shared" si="1"/>
        <v>-0.12921329430306899</v>
      </c>
      <c r="P22" s="95">
        <f>'Raw Results 2024'!R22</f>
        <v>172494.42</v>
      </c>
      <c r="Q22" s="95">
        <f>'Raw Results 2024'!T22</f>
        <v>215562.83</v>
      </c>
      <c r="R22" s="95">
        <f>'Raw Results 2024'!V22</f>
        <v>202301.58</v>
      </c>
      <c r="S22" s="99">
        <f t="shared" si="2"/>
        <v>-6.1519186772598974E-2</v>
      </c>
      <c r="T22" s="95"/>
      <c r="U22" s="95"/>
      <c r="V22" s="95"/>
      <c r="W22" s="99"/>
      <c r="Z22" s="98">
        <f t="shared" si="3"/>
        <v>2304271.2000000002</v>
      </c>
      <c r="AA22" s="98">
        <f t="shared" si="4"/>
        <v>2897324.7300000004</v>
      </c>
      <c r="AB22" s="98">
        <f t="shared" si="5"/>
        <v>2571514.9700000002</v>
      </c>
      <c r="AC22" s="99">
        <f t="shared" si="6"/>
        <v>-0.11245193078512818</v>
      </c>
      <c r="AD22" s="133"/>
    </row>
    <row r="23" spans="1:30">
      <c r="A23" t="s">
        <v>354</v>
      </c>
      <c r="B23">
        <v>0</v>
      </c>
      <c r="C23" t="s">
        <v>468</v>
      </c>
      <c r="D23" t="s">
        <v>469</v>
      </c>
      <c r="F23" t="s">
        <v>470</v>
      </c>
      <c r="G23" t="s">
        <v>451</v>
      </c>
      <c r="H23" s="95">
        <f>'Raw Results 2024'!G23</f>
        <v>0</v>
      </c>
      <c r="I23" s="95">
        <f>'Raw Results 2024'!H23</f>
        <v>0</v>
      </c>
      <c r="J23" s="95">
        <f>'Raw Results 2024'!J23</f>
        <v>0</v>
      </c>
      <c r="K23" s="99" t="e">
        <f t="shared" si="0"/>
        <v>#DIV/0!</v>
      </c>
      <c r="L23" s="95">
        <f>'Raw Results 2024'!L23</f>
        <v>0</v>
      </c>
      <c r="M23" s="95">
        <f>'Raw Results 2024'!N23</f>
        <v>0</v>
      </c>
      <c r="N23" s="95">
        <f>'Raw Results 2024'!P23</f>
        <v>0</v>
      </c>
      <c r="O23" s="99" t="e">
        <f t="shared" si="1"/>
        <v>#DIV/0!</v>
      </c>
      <c r="P23" s="95">
        <f>'Raw Results 2024'!R23</f>
        <v>0</v>
      </c>
      <c r="Q23" s="95">
        <f>'Raw Results 2024'!T23</f>
        <v>0</v>
      </c>
      <c r="R23" s="95">
        <f>'Raw Results 2024'!V23</f>
        <v>0</v>
      </c>
      <c r="S23" s="99" t="e">
        <f t="shared" si="2"/>
        <v>#DIV/0!</v>
      </c>
      <c r="T23" s="95"/>
      <c r="U23" s="95"/>
      <c r="V23" s="95"/>
      <c r="W23" s="99"/>
      <c r="Z23" s="98">
        <f t="shared" si="3"/>
        <v>0</v>
      </c>
      <c r="AA23" s="98">
        <f t="shared" si="4"/>
        <v>0</v>
      </c>
      <c r="AB23" s="98">
        <f t="shared" si="5"/>
        <v>0</v>
      </c>
      <c r="AC23" s="99" t="e">
        <f t="shared" si="6"/>
        <v>#DIV/0!</v>
      </c>
      <c r="AD23" s="133"/>
    </row>
    <row r="24" spans="1:30">
      <c r="A24" t="s">
        <v>354</v>
      </c>
      <c r="B24">
        <v>0</v>
      </c>
      <c r="C24" t="s">
        <v>468</v>
      </c>
      <c r="D24" t="s">
        <v>469</v>
      </c>
      <c r="F24" t="s">
        <v>450</v>
      </c>
      <c r="G24" t="s">
        <v>451</v>
      </c>
      <c r="H24" s="95">
        <f>'Raw Results 2024'!G24</f>
        <v>958990.72</v>
      </c>
      <c r="I24" s="95">
        <f>'Raw Results 2024'!H24</f>
        <v>1328482.56</v>
      </c>
      <c r="J24" s="95">
        <f>'Raw Results 2024'!J24</f>
        <v>1575643.69</v>
      </c>
      <c r="K24" s="99">
        <f t="shared" si="0"/>
        <v>0.18604770393071618</v>
      </c>
      <c r="L24" s="95">
        <f>'Raw Results 2024'!L24</f>
        <v>1555020</v>
      </c>
      <c r="M24" s="95">
        <f>'Raw Results 2024'!N24</f>
        <v>1943278.66</v>
      </c>
      <c r="N24" s="95">
        <f>'Raw Results 2024'!P24</f>
        <v>2757727.65</v>
      </c>
      <c r="O24" s="99">
        <f t="shared" si="1"/>
        <v>0.41911075686901228</v>
      </c>
      <c r="P24" s="95">
        <f>'Raw Results 2024'!R24</f>
        <v>293615.62</v>
      </c>
      <c r="Q24" s="95">
        <f>'Raw Results 2024'!T24</f>
        <v>366925.64</v>
      </c>
      <c r="R24" s="95">
        <f>'Raw Results 2024'!V24</f>
        <v>540894.98</v>
      </c>
      <c r="S24" s="99">
        <f t="shared" si="2"/>
        <v>0.47412696479864413</v>
      </c>
      <c r="T24" s="95"/>
      <c r="U24" s="95"/>
      <c r="V24" s="95"/>
      <c r="W24" s="99"/>
      <c r="Z24" s="98">
        <f t="shared" si="3"/>
        <v>2807626.34</v>
      </c>
      <c r="AA24" s="98">
        <f t="shared" si="4"/>
        <v>3638686.86</v>
      </c>
      <c r="AB24" s="98">
        <f t="shared" si="5"/>
        <v>4874266.32</v>
      </c>
      <c r="AC24" s="99">
        <f t="shared" si="6"/>
        <v>0.33956740646816763</v>
      </c>
      <c r="AD24" s="133"/>
    </row>
    <row r="25" spans="1:30">
      <c r="A25" t="s">
        <v>354</v>
      </c>
      <c r="B25">
        <v>0</v>
      </c>
      <c r="C25" t="s">
        <v>468</v>
      </c>
      <c r="D25" t="s">
        <v>469</v>
      </c>
      <c r="F25" t="s">
        <v>452</v>
      </c>
      <c r="G25" t="s">
        <v>451</v>
      </c>
      <c r="H25" s="95">
        <f>'Raw Results 2024'!G25</f>
        <v>98505.23</v>
      </c>
      <c r="I25" s="95">
        <f>'Raw Results 2024'!H25</f>
        <v>136458.75</v>
      </c>
      <c r="J25" s="95">
        <f>'Raw Results 2024'!J25</f>
        <v>151743.03</v>
      </c>
      <c r="K25" s="99">
        <f t="shared" si="0"/>
        <v>0.1120065953997087</v>
      </c>
      <c r="L25" s="95">
        <f>'Raw Results 2024'!L25</f>
        <v>532165.92000000004</v>
      </c>
      <c r="M25" s="95">
        <f>'Raw Results 2024'!N25</f>
        <v>665037.11</v>
      </c>
      <c r="N25" s="95">
        <f>'Raw Results 2024'!P25</f>
        <v>788836.98</v>
      </c>
      <c r="O25" s="99">
        <f t="shared" si="1"/>
        <v>0.18615482976581563</v>
      </c>
      <c r="P25" s="95">
        <f>'Raw Results 2024'!R25</f>
        <v>46274.78</v>
      </c>
      <c r="Q25" s="95">
        <f>'Raw Results 2024'!T25</f>
        <v>57828.68</v>
      </c>
      <c r="R25" s="95">
        <f>'Raw Results 2024'!V25</f>
        <v>81673.320000000007</v>
      </c>
      <c r="S25" s="99">
        <f t="shared" si="2"/>
        <v>0.41233242743911858</v>
      </c>
      <c r="T25" s="95"/>
      <c r="U25" s="95"/>
      <c r="V25" s="95"/>
      <c r="W25" s="99"/>
      <c r="Z25" s="98">
        <f t="shared" si="3"/>
        <v>676945.93</v>
      </c>
      <c r="AA25" s="98">
        <f t="shared" si="4"/>
        <v>859324.54</v>
      </c>
      <c r="AB25" s="98">
        <f t="shared" si="5"/>
        <v>1022253.3300000001</v>
      </c>
      <c r="AC25" s="99">
        <f t="shared" si="6"/>
        <v>0.18960099754628215</v>
      </c>
      <c r="AD25" s="133"/>
    </row>
    <row r="26" spans="1:30">
      <c r="A26" t="s">
        <v>354</v>
      </c>
      <c r="B26">
        <v>0</v>
      </c>
      <c r="C26" t="s">
        <v>468</v>
      </c>
      <c r="D26" t="s">
        <v>469</v>
      </c>
      <c r="F26" t="s">
        <v>453</v>
      </c>
      <c r="G26" t="s">
        <v>451</v>
      </c>
      <c r="H26" s="95">
        <f>'Raw Results 2024'!G26</f>
        <v>2901961.37</v>
      </c>
      <c r="I26" s="95">
        <f>'Raw Results 2024'!H26</f>
        <v>4020081.56</v>
      </c>
      <c r="J26" s="95">
        <f>'Raw Results 2024'!J26</f>
        <v>3742968.44</v>
      </c>
      <c r="K26" s="99">
        <f t="shared" si="0"/>
        <v>-6.8932213405142981E-2</v>
      </c>
      <c r="L26" s="95">
        <f>'Raw Results 2024'!L26</f>
        <v>16112679.779999999</v>
      </c>
      <c r="M26" s="95">
        <f>'Raw Results 2024'!N26</f>
        <v>20135694.260000002</v>
      </c>
      <c r="N26" s="95">
        <f>'Raw Results 2024'!P26</f>
        <v>18235153.57</v>
      </c>
      <c r="O26" s="99">
        <f t="shared" si="1"/>
        <v>-9.4386648181059601E-2</v>
      </c>
      <c r="P26" s="95">
        <f>'Raw Results 2024'!R26</f>
        <v>1404164</v>
      </c>
      <c r="Q26" s="95">
        <f>'Raw Results 2024'!T26</f>
        <v>1754756.62</v>
      </c>
      <c r="R26" s="95">
        <f>'Raw Results 2024'!V26</f>
        <v>1653159.94</v>
      </c>
      <c r="S26" s="99">
        <f t="shared" si="2"/>
        <v>-5.7897875319028666E-2</v>
      </c>
      <c r="T26" s="95"/>
      <c r="U26" s="95"/>
      <c r="V26" s="95"/>
      <c r="W26" s="99"/>
      <c r="Z26" s="98">
        <f t="shared" si="3"/>
        <v>20418805.149999999</v>
      </c>
      <c r="AA26" s="98">
        <f t="shared" si="4"/>
        <v>25910532.440000001</v>
      </c>
      <c r="AB26" s="98">
        <f t="shared" si="5"/>
        <v>23631281.950000003</v>
      </c>
      <c r="AC26" s="99">
        <f t="shared" si="6"/>
        <v>-8.7966177278601621E-2</v>
      </c>
      <c r="AD26" s="133"/>
    </row>
    <row r="27" spans="1:30">
      <c r="A27" t="s">
        <v>354</v>
      </c>
      <c r="B27">
        <v>0</v>
      </c>
      <c r="C27" t="s">
        <v>468</v>
      </c>
      <c r="D27" t="s">
        <v>469</v>
      </c>
      <c r="F27" t="s">
        <v>454</v>
      </c>
      <c r="G27" t="s">
        <v>451</v>
      </c>
      <c r="H27" s="95">
        <f>'Raw Results 2024'!G27</f>
        <v>2684.34</v>
      </c>
      <c r="I27" s="95">
        <f>'Raw Results 2024'!H27</f>
        <v>3718.69</v>
      </c>
      <c r="J27" s="95">
        <f>'Raw Results 2024'!J27</f>
        <v>3812.71</v>
      </c>
      <c r="K27" s="99">
        <f t="shared" si="0"/>
        <v>2.5283097004590322E-2</v>
      </c>
      <c r="L27" s="95">
        <f>'Raw Results 2024'!L27</f>
        <v>23578.02</v>
      </c>
      <c r="M27" s="95">
        <f>'Raw Results 2024'!N27</f>
        <v>29464.98</v>
      </c>
      <c r="N27" s="95">
        <f>'Raw Results 2024'!P27</f>
        <v>29054.74</v>
      </c>
      <c r="O27" s="99">
        <f t="shared" si="1"/>
        <v>-1.3922968893920782E-2</v>
      </c>
      <c r="P27" s="95">
        <f>'Raw Results 2024'!R27</f>
        <v>2050.2399999999998</v>
      </c>
      <c r="Q27" s="95">
        <f>'Raw Results 2024'!T27</f>
        <v>2562.14</v>
      </c>
      <c r="R27" s="95">
        <f>'Raw Results 2024'!V27</f>
        <v>2735.17</v>
      </c>
      <c r="S27" s="99">
        <f t="shared" si="2"/>
        <v>6.753339005674952E-2</v>
      </c>
      <c r="T27" s="95"/>
      <c r="U27" s="95"/>
      <c r="V27" s="95"/>
      <c r="W27" s="99"/>
      <c r="Z27" s="98">
        <f t="shared" si="3"/>
        <v>28312.6</v>
      </c>
      <c r="AA27" s="98">
        <f t="shared" si="4"/>
        <v>35745.81</v>
      </c>
      <c r="AB27" s="98">
        <f t="shared" si="5"/>
        <v>35602.620000000003</v>
      </c>
      <c r="AC27" s="99">
        <f t="shared" si="6"/>
        <v>-4.0057841744247803E-3</v>
      </c>
      <c r="AD27" s="133"/>
    </row>
    <row r="28" spans="1:30">
      <c r="A28" t="s">
        <v>354</v>
      </c>
      <c r="B28">
        <v>0</v>
      </c>
      <c r="C28" t="s">
        <v>468</v>
      </c>
      <c r="D28" t="s">
        <v>469</v>
      </c>
      <c r="F28" t="s">
        <v>455</v>
      </c>
      <c r="G28" t="s">
        <v>451</v>
      </c>
      <c r="H28" s="95">
        <f>'Raw Results 2024'!G28</f>
        <v>61760.59</v>
      </c>
      <c r="I28" s="95">
        <f>'Raw Results 2024'!H28</f>
        <v>85555.93</v>
      </c>
      <c r="J28" s="95">
        <f>'Raw Results 2024'!J28</f>
        <v>91354.01</v>
      </c>
      <c r="K28" s="99">
        <f t="shared" si="0"/>
        <v>6.776946963232125E-2</v>
      </c>
      <c r="L28" s="95">
        <f>'Raw Results 2024'!L28</f>
        <v>162204.76</v>
      </c>
      <c r="M28" s="95">
        <f>'Raw Results 2024'!N28</f>
        <v>202704.05</v>
      </c>
      <c r="N28" s="95">
        <f>'Raw Results 2024'!P28</f>
        <v>199881.82</v>
      </c>
      <c r="O28" s="99">
        <f t="shared" si="1"/>
        <v>-1.3922908792399468E-2</v>
      </c>
      <c r="P28" s="95">
        <f>'Raw Results 2024'!R28</f>
        <v>14104.61</v>
      </c>
      <c r="Q28" s="95">
        <f>'Raw Results 2024'!T28</f>
        <v>17626.240000000002</v>
      </c>
      <c r="R28" s="95">
        <f>'Raw Results 2024'!V28</f>
        <v>18816.59</v>
      </c>
      <c r="S28" s="99">
        <f t="shared" si="2"/>
        <v>6.7532837406049068E-2</v>
      </c>
      <c r="T28" s="95"/>
      <c r="U28" s="95"/>
      <c r="V28" s="95"/>
      <c r="W28" s="99"/>
      <c r="Z28" s="98">
        <f t="shared" si="3"/>
        <v>238069.96000000002</v>
      </c>
      <c r="AA28" s="98">
        <f t="shared" si="4"/>
        <v>305886.21999999997</v>
      </c>
      <c r="AB28" s="98">
        <f t="shared" si="5"/>
        <v>310052.42000000004</v>
      </c>
      <c r="AC28" s="99">
        <f t="shared" si="6"/>
        <v>1.3620097041311865E-2</v>
      </c>
      <c r="AD28" s="133"/>
    </row>
    <row r="29" spans="1:30">
      <c r="A29" t="s">
        <v>354</v>
      </c>
      <c r="B29">
        <v>0</v>
      </c>
      <c r="C29" t="s">
        <v>468</v>
      </c>
      <c r="D29" t="s">
        <v>469</v>
      </c>
      <c r="F29" t="s">
        <v>456</v>
      </c>
      <c r="G29" t="s">
        <v>457</v>
      </c>
      <c r="H29" s="95">
        <f>'Raw Results 2024'!G29</f>
        <v>10525.2</v>
      </c>
      <c r="I29" s="95">
        <f>'Raw Results 2024'!H29</f>
        <v>14580.64</v>
      </c>
      <c r="J29" s="95">
        <f>'Raw Results 2024'!J29</f>
        <v>14320.43</v>
      </c>
      <c r="K29" s="99">
        <f t="shared" si="0"/>
        <v>-1.7846267379209631E-2</v>
      </c>
      <c r="L29" s="95">
        <f>'Raw Results 2024'!L29</f>
        <v>138048.12</v>
      </c>
      <c r="M29" s="95">
        <f>'Raw Results 2024'!N29</f>
        <v>172515.98</v>
      </c>
      <c r="N29" s="95">
        <f>'Raw Results 2024'!P29</f>
        <v>160038.71</v>
      </c>
      <c r="O29" s="99">
        <f t="shared" si="1"/>
        <v>-7.2325299951923397E-2</v>
      </c>
      <c r="P29" s="95">
        <f>'Raw Results 2024'!R29</f>
        <v>12250.34</v>
      </c>
      <c r="Q29" s="95">
        <f>'Raw Results 2024'!T29</f>
        <v>15309.01</v>
      </c>
      <c r="R29" s="95">
        <f>'Raw Results 2024'!V29</f>
        <v>15374.13</v>
      </c>
      <c r="S29" s="99">
        <f t="shared" si="2"/>
        <v>4.2537041911919178E-3</v>
      </c>
      <c r="T29" s="95"/>
      <c r="U29" s="95"/>
      <c r="V29" s="95"/>
      <c r="W29" s="99"/>
      <c r="Z29" s="98">
        <f t="shared" si="3"/>
        <v>160823.66</v>
      </c>
      <c r="AA29" s="98">
        <f t="shared" si="4"/>
        <v>202405.63</v>
      </c>
      <c r="AB29" s="98">
        <f t="shared" si="5"/>
        <v>189733.27</v>
      </c>
      <c r="AC29" s="99">
        <f t="shared" si="6"/>
        <v>-6.2608732770921521E-2</v>
      </c>
      <c r="AD29" s="133"/>
    </row>
    <row r="30" spans="1:30">
      <c r="A30" t="s">
        <v>354</v>
      </c>
      <c r="B30">
        <v>0</v>
      </c>
      <c r="C30" t="s">
        <v>468</v>
      </c>
      <c r="D30" t="s">
        <v>469</v>
      </c>
      <c r="F30" t="s">
        <v>458</v>
      </c>
      <c r="G30" t="s">
        <v>457</v>
      </c>
      <c r="H30" s="95">
        <f>'Raw Results 2024'!G30</f>
        <v>53057.1</v>
      </c>
      <c r="I30" s="95">
        <f>'Raw Results 2024'!H30</f>
        <v>73504.47</v>
      </c>
      <c r="J30" s="95">
        <f>'Raw Results 2024'!J30</f>
        <v>77602.03</v>
      </c>
      <c r="K30" s="99">
        <f t="shared" si="0"/>
        <v>5.5745725396020102E-2</v>
      </c>
      <c r="L30" s="95">
        <f>'Raw Results 2024'!L30</f>
        <v>859112.47</v>
      </c>
      <c r="M30" s="95">
        <f>'Raw Results 2024'!N30</f>
        <v>1074088.1200000001</v>
      </c>
      <c r="N30" s="95">
        <f>'Raw Results 2024'!P30</f>
        <v>1087110.2</v>
      </c>
      <c r="O30" s="99">
        <f t="shared" si="1"/>
        <v>1.2123846970767948E-2</v>
      </c>
      <c r="P30" s="95">
        <f>'Raw Results 2024'!R30</f>
        <v>76013.78</v>
      </c>
      <c r="Q30" s="95">
        <f>'Raw Results 2024'!T30</f>
        <v>94996.44</v>
      </c>
      <c r="R30" s="95">
        <f>'Raw Results 2024'!V30</f>
        <v>109761.49</v>
      </c>
      <c r="S30" s="99">
        <f t="shared" si="2"/>
        <v>0.15542740338480054</v>
      </c>
      <c r="T30" s="95"/>
      <c r="U30" s="95"/>
      <c r="V30" s="95"/>
      <c r="W30" s="99"/>
      <c r="Z30" s="98">
        <f t="shared" si="3"/>
        <v>988183.35</v>
      </c>
      <c r="AA30" s="98">
        <f t="shared" si="4"/>
        <v>1242589.03</v>
      </c>
      <c r="AB30" s="98">
        <f t="shared" si="5"/>
        <v>1274473.72</v>
      </c>
      <c r="AC30" s="99">
        <f t="shared" si="6"/>
        <v>2.5659883702659071E-2</v>
      </c>
      <c r="AD30" s="133"/>
    </row>
    <row r="31" spans="1:30">
      <c r="A31" t="s">
        <v>354</v>
      </c>
      <c r="B31">
        <v>0</v>
      </c>
      <c r="C31" t="s">
        <v>468</v>
      </c>
      <c r="D31" t="s">
        <v>469</v>
      </c>
      <c r="F31" t="s">
        <v>471</v>
      </c>
      <c r="G31" t="s">
        <v>449</v>
      </c>
      <c r="H31" s="95">
        <f>'Raw Results 2024'!G31</f>
        <v>0</v>
      </c>
      <c r="I31" s="95">
        <f>'Raw Results 2024'!H31</f>
        <v>0</v>
      </c>
      <c r="J31" s="95">
        <f>'Raw Results 2024'!J31</f>
        <v>0</v>
      </c>
      <c r="K31" s="99" t="e">
        <f t="shared" si="0"/>
        <v>#DIV/0!</v>
      </c>
      <c r="L31" s="95">
        <f>'Raw Results 2024'!L31</f>
        <v>0</v>
      </c>
      <c r="M31" s="95">
        <f>'Raw Results 2024'!N31</f>
        <v>0</v>
      </c>
      <c r="N31" s="95">
        <f>'Raw Results 2024'!P31</f>
        <v>0</v>
      </c>
      <c r="O31" s="99" t="e">
        <f t="shared" si="1"/>
        <v>#DIV/0!</v>
      </c>
      <c r="P31" s="95">
        <f>'Raw Results 2024'!R31</f>
        <v>0</v>
      </c>
      <c r="Q31" s="95">
        <f>'Raw Results 2024'!T31</f>
        <v>0</v>
      </c>
      <c r="R31" s="95">
        <f>'Raw Results 2024'!V31</f>
        <v>0</v>
      </c>
      <c r="S31" s="99" t="e">
        <f t="shared" si="2"/>
        <v>#DIV/0!</v>
      </c>
      <c r="T31" s="95"/>
      <c r="U31" s="95"/>
      <c r="V31" s="95"/>
      <c r="W31" s="99"/>
      <c r="Z31" s="98">
        <f t="shared" si="3"/>
        <v>0</v>
      </c>
      <c r="AA31" s="98">
        <f t="shared" si="4"/>
        <v>0</v>
      </c>
      <c r="AB31" s="98">
        <f t="shared" si="5"/>
        <v>0</v>
      </c>
      <c r="AC31" s="99" t="e">
        <f t="shared" si="6"/>
        <v>#DIV/0!</v>
      </c>
      <c r="AD31" s="133"/>
    </row>
    <row r="32" spans="1:30">
      <c r="A32" t="s">
        <v>354</v>
      </c>
      <c r="B32">
        <v>0</v>
      </c>
      <c r="C32" t="s">
        <v>468</v>
      </c>
      <c r="D32" t="s">
        <v>469</v>
      </c>
      <c r="F32" t="s">
        <v>472</v>
      </c>
      <c r="G32" t="s">
        <v>451</v>
      </c>
      <c r="H32" s="95">
        <f>'Raw Results 2024'!G32</f>
        <v>16646087.189999999</v>
      </c>
      <c r="I32" s="95">
        <f>'Raw Results 2024'!H32</f>
        <v>23059288.579999998</v>
      </c>
      <c r="J32" s="95">
        <f>'Raw Results 2024'!J32</f>
        <v>24618438.609999999</v>
      </c>
      <c r="K32" s="99">
        <f t="shared" si="0"/>
        <v>6.761483662389732E-2</v>
      </c>
      <c r="L32" s="95">
        <f>'Raw Results 2024'!L32</f>
        <v>331632756.56999999</v>
      </c>
      <c r="M32" s="95">
        <f>'Raw Results 2024'!N32</f>
        <v>414434832.41000003</v>
      </c>
      <c r="N32" s="95">
        <f>'Raw Results 2024'!P32</f>
        <v>377870330.11000001</v>
      </c>
      <c r="O32" s="99">
        <f t="shared" si="1"/>
        <v>-8.8227386890653001E-2</v>
      </c>
      <c r="P32" s="95">
        <f>'Raw Results 2024'!R32</f>
        <v>22036740.510000002</v>
      </c>
      <c r="Q32" s="95">
        <f>'Raw Results 2024'!T32</f>
        <v>27538879.07</v>
      </c>
      <c r="R32" s="95">
        <f>'Raw Results 2024'!V32</f>
        <v>30599806.649999999</v>
      </c>
      <c r="S32" s="99">
        <f t="shared" si="2"/>
        <v>0.11114931628914693</v>
      </c>
      <c r="T32" s="95"/>
      <c r="U32" s="95"/>
      <c r="V32" s="95"/>
      <c r="W32" s="99"/>
      <c r="Z32" s="98">
        <f t="shared" si="3"/>
        <v>370315584.26999998</v>
      </c>
      <c r="AA32" s="98">
        <f t="shared" si="4"/>
        <v>465033000.06</v>
      </c>
      <c r="AB32" s="98">
        <f t="shared" si="5"/>
        <v>433088575.37</v>
      </c>
      <c r="AC32" s="99">
        <f t="shared" si="6"/>
        <v>-6.8692812522720817E-2</v>
      </c>
      <c r="AD32" s="133"/>
    </row>
    <row r="33" spans="1:30">
      <c r="A33" t="s">
        <v>354</v>
      </c>
      <c r="B33">
        <v>0</v>
      </c>
      <c r="C33" t="s">
        <v>468</v>
      </c>
      <c r="D33" t="s">
        <v>469</v>
      </c>
      <c r="F33" t="s">
        <v>473</v>
      </c>
      <c r="G33" t="s">
        <v>451</v>
      </c>
      <c r="H33" s="95">
        <f>'Raw Results 2024'!G33</f>
        <v>47005309.119999997</v>
      </c>
      <c r="I33" s="95">
        <f>'Raw Results 2024'!H33</f>
        <v>65116300.68</v>
      </c>
      <c r="J33" s="95">
        <f>'Raw Results 2024'!J33</f>
        <v>64574473.960000001</v>
      </c>
      <c r="K33" s="99">
        <f t="shared" si="0"/>
        <v>-8.3209075813856382E-3</v>
      </c>
      <c r="L33" s="95">
        <f>'Raw Results 2024'!L33</f>
        <v>625067151.51999998</v>
      </c>
      <c r="M33" s="95">
        <f>'Raw Results 2024'!N33</f>
        <v>781133935.23000002</v>
      </c>
      <c r="N33" s="95">
        <f>'Raw Results 2024'!P33</f>
        <v>748240787.89999998</v>
      </c>
      <c r="O33" s="99">
        <f t="shared" si="1"/>
        <v>-4.2109484489769172E-2</v>
      </c>
      <c r="P33" s="95">
        <f>'Raw Results 2024'!R33</f>
        <v>62429974.340000004</v>
      </c>
      <c r="Q33" s="95">
        <f>'Raw Results 2024'!T33</f>
        <v>78017482.019999996</v>
      </c>
      <c r="R33" s="95">
        <f>'Raw Results 2024'!V33</f>
        <v>78041685.129999995</v>
      </c>
      <c r="S33" s="99">
        <f t="shared" si="2"/>
        <v>3.1022675140675353E-4</v>
      </c>
      <c r="T33" s="95"/>
      <c r="U33" s="95"/>
      <c r="V33" s="95"/>
      <c r="W33" s="99"/>
      <c r="Z33" s="98">
        <f t="shared" si="3"/>
        <v>734502434.98000002</v>
      </c>
      <c r="AA33" s="98">
        <f t="shared" si="4"/>
        <v>924267717.92999995</v>
      </c>
      <c r="AB33" s="98">
        <f t="shared" si="5"/>
        <v>890856946.99000001</v>
      </c>
      <c r="AC33" s="99">
        <f t="shared" si="6"/>
        <v>-3.6148369451685564E-2</v>
      </c>
      <c r="AD33" s="133"/>
    </row>
    <row r="34" spans="1:30">
      <c r="A34" t="s">
        <v>354</v>
      </c>
      <c r="B34">
        <v>0</v>
      </c>
      <c r="C34" t="s">
        <v>468</v>
      </c>
      <c r="D34" t="s">
        <v>469</v>
      </c>
      <c r="F34" t="s">
        <v>459</v>
      </c>
      <c r="G34" t="s">
        <v>460</v>
      </c>
      <c r="H34" s="95">
        <f>'Raw Results 2024'!G34</f>
        <v>98.56</v>
      </c>
      <c r="I34" s="95">
        <f>'Raw Results 2024'!H34</f>
        <v>98.56</v>
      </c>
      <c r="J34" s="95">
        <f>'Raw Results 2024'!J34</f>
        <v>93.92</v>
      </c>
      <c r="K34" s="99">
        <f t="shared" si="0"/>
        <v>-4.707792207792208E-2</v>
      </c>
      <c r="L34" s="95">
        <f>'Raw Results 2024'!L34</f>
        <v>182.39</v>
      </c>
      <c r="M34" s="95">
        <f>'Raw Results 2024'!N34</f>
        <v>182.39</v>
      </c>
      <c r="N34" s="95">
        <f>'Raw Results 2024'!P34</f>
        <v>140.19999999999999</v>
      </c>
      <c r="O34" s="99">
        <f t="shared" si="1"/>
        <v>-0.23131750644223917</v>
      </c>
      <c r="P34" s="95">
        <f>'Raw Results 2024'!R34</f>
        <v>139.38</v>
      </c>
      <c r="Q34" s="95">
        <f>'Raw Results 2024'!T34</f>
        <v>139.38</v>
      </c>
      <c r="R34" s="95">
        <f>'Raw Results 2024'!V34</f>
        <v>109.66</v>
      </c>
      <c r="S34" s="99">
        <f t="shared" si="2"/>
        <v>-0.21323001865403932</v>
      </c>
      <c r="T34" s="95"/>
      <c r="U34" s="95"/>
      <c r="V34" s="95"/>
      <c r="W34" s="99"/>
      <c r="Z34" s="98">
        <f>Z32/(Z52*0.21)</f>
        <v>129.02397378631397</v>
      </c>
      <c r="AA34" s="98">
        <f t="shared" ref="AA34:AB34" si="7">AA32/(AA52*0.21)</f>
        <v>128.43326966590095</v>
      </c>
      <c r="AB34" s="98">
        <f t="shared" si="7"/>
        <v>100.06069119181032</v>
      </c>
      <c r="AC34" s="99">
        <f t="shared" si="6"/>
        <v>-0.22091299667054692</v>
      </c>
      <c r="AD34" s="133"/>
    </row>
    <row r="35" spans="1:30">
      <c r="A35" t="s">
        <v>354</v>
      </c>
      <c r="B35">
        <v>1</v>
      </c>
      <c r="C35" t="s">
        <v>468</v>
      </c>
      <c r="D35" t="s">
        <v>469</v>
      </c>
      <c r="F35" t="s">
        <v>474</v>
      </c>
      <c r="G35" t="s">
        <v>381</v>
      </c>
      <c r="H35" s="95">
        <f>'Raw Results 2024'!G35</f>
        <v>0</v>
      </c>
      <c r="I35" s="95">
        <f>'Raw Results 2024'!H35</f>
        <v>0</v>
      </c>
      <c r="J35" s="95">
        <f>'Raw Results 2024'!J35</f>
        <v>0</v>
      </c>
      <c r="K35" s="99" t="e">
        <f t="shared" si="0"/>
        <v>#DIV/0!</v>
      </c>
      <c r="L35" s="95">
        <f>'Raw Results 2024'!L35</f>
        <v>0</v>
      </c>
      <c r="M35" s="95">
        <f>'Raw Results 2024'!N35</f>
        <v>0</v>
      </c>
      <c r="N35" s="95">
        <f>'Raw Results 2024'!P35</f>
        <v>0</v>
      </c>
      <c r="O35" s="99" t="e">
        <f t="shared" si="1"/>
        <v>#DIV/0!</v>
      </c>
      <c r="P35" s="95">
        <f>'Raw Results 2024'!R35</f>
        <v>0</v>
      </c>
      <c r="Q35" s="95">
        <f>'Raw Results 2024'!T35</f>
        <v>0</v>
      </c>
      <c r="R35" s="95">
        <f>'Raw Results 2024'!V35</f>
        <v>0</v>
      </c>
      <c r="S35" s="99" t="e">
        <f t="shared" si="2"/>
        <v>#DIV/0!</v>
      </c>
      <c r="T35" s="95"/>
      <c r="U35" s="95"/>
      <c r="V35" s="95"/>
      <c r="W35" s="99"/>
      <c r="Z35" s="98">
        <f t="shared" si="3"/>
        <v>0</v>
      </c>
      <c r="AA35" s="98">
        <f t="shared" si="4"/>
        <v>0</v>
      </c>
      <c r="AB35" s="98">
        <f t="shared" si="5"/>
        <v>0</v>
      </c>
      <c r="AC35" s="99" t="e">
        <f t="shared" si="6"/>
        <v>#DIV/0!</v>
      </c>
      <c r="AD35" s="133"/>
    </row>
    <row r="36" spans="1:30">
      <c r="A36" t="s">
        <v>354</v>
      </c>
      <c r="B36">
        <v>1</v>
      </c>
      <c r="C36" t="s">
        <v>468</v>
      </c>
      <c r="D36" t="s">
        <v>469</v>
      </c>
      <c r="F36" t="s">
        <v>475</v>
      </c>
      <c r="G36" t="s">
        <v>381</v>
      </c>
      <c r="H36" s="95">
        <f>'Raw Results 2024'!G36</f>
        <v>0</v>
      </c>
      <c r="I36" s="95">
        <f>'Raw Results 2024'!H36</f>
        <v>0</v>
      </c>
      <c r="J36" s="95">
        <f>'Raw Results 2024'!J36</f>
        <v>0</v>
      </c>
      <c r="K36" s="99" t="e">
        <f t="shared" si="0"/>
        <v>#DIV/0!</v>
      </c>
      <c r="L36" s="95">
        <f>'Raw Results 2024'!L36</f>
        <v>0</v>
      </c>
      <c r="M36" s="95">
        <f>'Raw Results 2024'!N36</f>
        <v>0</v>
      </c>
      <c r="N36" s="95">
        <f>'Raw Results 2024'!P36</f>
        <v>0</v>
      </c>
      <c r="O36" s="99" t="e">
        <f t="shared" si="1"/>
        <v>#DIV/0!</v>
      </c>
      <c r="P36" s="95">
        <f>'Raw Results 2024'!R36</f>
        <v>0</v>
      </c>
      <c r="Q36" s="95">
        <f>'Raw Results 2024'!T36</f>
        <v>0</v>
      </c>
      <c r="R36" s="95">
        <f>'Raw Results 2024'!V36</f>
        <v>0</v>
      </c>
      <c r="S36" s="99" t="e">
        <f t="shared" si="2"/>
        <v>#DIV/0!</v>
      </c>
      <c r="T36" s="95"/>
      <c r="U36" s="95"/>
      <c r="V36" s="95"/>
      <c r="W36" s="99"/>
      <c r="Z36" s="98">
        <f t="shared" si="3"/>
        <v>0</v>
      </c>
      <c r="AA36" s="98">
        <f t="shared" si="4"/>
        <v>0</v>
      </c>
      <c r="AB36" s="98">
        <f t="shared" si="5"/>
        <v>0</v>
      </c>
      <c r="AC36" s="99" t="e">
        <f t="shared" si="6"/>
        <v>#DIV/0!</v>
      </c>
      <c r="AD36" s="133"/>
    </row>
    <row r="37" spans="1:30">
      <c r="A37" t="s">
        <v>354</v>
      </c>
      <c r="B37">
        <v>1</v>
      </c>
      <c r="C37" t="s">
        <v>468</v>
      </c>
      <c r="D37" t="s">
        <v>469</v>
      </c>
      <c r="F37" t="s">
        <v>476</v>
      </c>
      <c r="G37" t="s">
        <v>381</v>
      </c>
      <c r="H37" s="95">
        <f>'Raw Results 2024'!G37</f>
        <v>255181.05</v>
      </c>
      <c r="I37" s="95">
        <f>'Raw Results 2024'!H37</f>
        <v>353500.37</v>
      </c>
      <c r="J37" s="95">
        <f>'Raw Results 2024'!J37</f>
        <v>404232.39</v>
      </c>
      <c r="K37" s="99">
        <f t="shared" si="0"/>
        <v>0.1435133434230918</v>
      </c>
      <c r="L37" s="95">
        <f>'Raw Results 2024'!L37</f>
        <v>1949315.75</v>
      </c>
      <c r="M37" s="95">
        <f>'Raw Results 2024'!N37</f>
        <v>2436020.9300000002</v>
      </c>
      <c r="N37" s="95">
        <f>'Raw Results 2024'!P37</f>
        <v>3540443.61</v>
      </c>
      <c r="O37" s="99">
        <f t="shared" si="1"/>
        <v>0.45337158905280817</v>
      </c>
      <c r="P37" s="95">
        <f>'Raw Results 2024'!R37</f>
        <v>169503.84</v>
      </c>
      <c r="Q37" s="95">
        <f>'Raw Results 2024'!T37</f>
        <v>211825.6</v>
      </c>
      <c r="R37" s="95">
        <f>'Raw Results 2024'!V37</f>
        <v>455767.15</v>
      </c>
      <c r="S37" s="99">
        <f t="shared" si="2"/>
        <v>1.151615055026399</v>
      </c>
      <c r="T37" s="95"/>
      <c r="U37" s="95"/>
      <c r="V37" s="95"/>
      <c r="W37" s="99"/>
      <c r="Z37" s="98">
        <f t="shared" si="3"/>
        <v>2374000.6399999997</v>
      </c>
      <c r="AA37" s="98">
        <f t="shared" si="4"/>
        <v>3001346.9000000004</v>
      </c>
      <c r="AB37" s="98">
        <f t="shared" si="5"/>
        <v>4400443.1500000004</v>
      </c>
      <c r="AC37" s="99">
        <f t="shared" si="6"/>
        <v>0.46615612810368567</v>
      </c>
      <c r="AD37" s="133"/>
    </row>
    <row r="38" spans="1:30">
      <c r="A38" t="s">
        <v>354</v>
      </c>
      <c r="B38">
        <v>1</v>
      </c>
      <c r="C38" t="s">
        <v>468</v>
      </c>
      <c r="D38" t="s">
        <v>469</v>
      </c>
      <c r="F38" t="s">
        <v>477</v>
      </c>
      <c r="G38" t="s">
        <v>381</v>
      </c>
      <c r="H38" s="95">
        <f>'Raw Results 2024'!G38</f>
        <v>606092.14</v>
      </c>
      <c r="I38" s="95">
        <f>'Raw Results 2024'!H38</f>
        <v>839592.6</v>
      </c>
      <c r="J38" s="95">
        <f>'Raw Results 2024'!J38</f>
        <v>933164.38</v>
      </c>
      <c r="K38" s="99">
        <f t="shared" si="0"/>
        <v>0.11144902896952645</v>
      </c>
      <c r="L38" s="95">
        <f>'Raw Results 2024'!L38</f>
        <v>4962799.01</v>
      </c>
      <c r="M38" s="95">
        <f>'Raw Results 2024'!N38</f>
        <v>6201910.46</v>
      </c>
      <c r="N38" s="95">
        <f>'Raw Results 2024'!P38</f>
        <v>6884404.4699999997</v>
      </c>
      <c r="O38" s="99">
        <f t="shared" si="1"/>
        <v>0.11004576967078622</v>
      </c>
      <c r="P38" s="95">
        <f>'Raw Results 2024'!R38</f>
        <v>431542.77</v>
      </c>
      <c r="Q38" s="95">
        <f>'Raw Results 2024'!T38</f>
        <v>539290.89</v>
      </c>
      <c r="R38" s="95">
        <f>'Raw Results 2024'!V38</f>
        <v>702791.07</v>
      </c>
      <c r="S38" s="99">
        <f t="shared" si="2"/>
        <v>0.30317623203314248</v>
      </c>
      <c r="T38" s="95"/>
      <c r="U38" s="95"/>
      <c r="V38" s="95"/>
      <c r="W38" s="99"/>
      <c r="Z38" s="98">
        <f t="shared" si="3"/>
        <v>6000433.9199999999</v>
      </c>
      <c r="AA38" s="98">
        <f t="shared" si="4"/>
        <v>7580793.9499999993</v>
      </c>
      <c r="AB38" s="98">
        <f t="shared" si="5"/>
        <v>8520359.9199999999</v>
      </c>
      <c r="AC38" s="99">
        <f t="shared" si="6"/>
        <v>0.12394031234683549</v>
      </c>
      <c r="AD38" s="133"/>
    </row>
    <row r="39" spans="1:30">
      <c r="A39" t="s">
        <v>354</v>
      </c>
      <c r="B39">
        <v>0</v>
      </c>
      <c r="C39" t="s">
        <v>468</v>
      </c>
      <c r="D39" t="s">
        <v>469</v>
      </c>
      <c r="F39" t="s">
        <v>478</v>
      </c>
      <c r="G39" t="s">
        <v>460</v>
      </c>
      <c r="H39" s="95">
        <f>'Raw Results 2024'!G39</f>
        <v>37.81</v>
      </c>
      <c r="I39" s="95">
        <f>'Raw Results 2024'!H39</f>
        <v>37.81</v>
      </c>
      <c r="J39" s="95">
        <f>'Raw Results 2024'!J39</f>
        <v>31.62</v>
      </c>
      <c r="K39" s="99">
        <f t="shared" si="0"/>
        <v>-0.16371330335889978</v>
      </c>
      <c r="L39" s="95">
        <f>'Raw Results 2024'!L39</f>
        <v>229.7</v>
      </c>
      <c r="M39" s="95">
        <f>'Raw Results 2024'!N39</f>
        <v>229.7</v>
      </c>
      <c r="N39" s="95">
        <f>'Raw Results 2024'!P39</f>
        <v>155.04</v>
      </c>
      <c r="O39" s="99">
        <f t="shared" si="1"/>
        <v>-0.32503265128428382</v>
      </c>
      <c r="P39" s="95">
        <f>'Raw Results 2024'!R39</f>
        <v>121.5</v>
      </c>
      <c r="Q39" s="95">
        <f>'Raw Results 2024'!T39</f>
        <v>121.5</v>
      </c>
      <c r="R39" s="95">
        <f>'Raw Results 2024'!V39</f>
        <v>82.45</v>
      </c>
      <c r="S39" s="99">
        <f t="shared" si="2"/>
        <v>-0.32139917695473247</v>
      </c>
      <c r="T39" s="95"/>
      <c r="U39" s="95"/>
      <c r="V39" s="95"/>
      <c r="W39" s="99"/>
      <c r="Z39" s="98">
        <f>Z33/(Z40*0.035)</f>
        <v>164.01549741149245</v>
      </c>
      <c r="AA39" s="98">
        <f t="shared" ref="AA39:AB39" si="8">AA33/(AA40*0.035)</f>
        <v>160.32496118115981</v>
      </c>
      <c r="AB39" s="98">
        <f t="shared" si="8"/>
        <v>113.99188851959697</v>
      </c>
      <c r="AC39" s="99">
        <f t="shared" si="6"/>
        <v>-0.28899475365665989</v>
      </c>
      <c r="AD39" s="133"/>
    </row>
    <row r="40" spans="1:30">
      <c r="A40" t="s">
        <v>354</v>
      </c>
      <c r="B40">
        <v>1</v>
      </c>
      <c r="C40" t="s">
        <v>468</v>
      </c>
      <c r="D40" t="s">
        <v>469</v>
      </c>
      <c r="F40" t="s">
        <v>479</v>
      </c>
      <c r="G40" t="s">
        <v>381</v>
      </c>
      <c r="H40" s="95">
        <f>'Raw Results 2024'!G40</f>
        <v>35518175</v>
      </c>
      <c r="I40" s="95">
        <f>'Raw Results 2024'!H40</f>
        <v>49203057.75</v>
      </c>
      <c r="J40" s="95">
        <f>'Raw Results 2024'!J40</f>
        <v>58357173.880000003</v>
      </c>
      <c r="K40" s="99">
        <f t="shared" si="0"/>
        <v>0.18604770818333954</v>
      </c>
      <c r="L40" s="95">
        <f>'Raw Results 2024'!L40</f>
        <v>77751049.950000003</v>
      </c>
      <c r="M40" s="95">
        <f>'Raw Results 2024'!N40</f>
        <v>97163932.950000003</v>
      </c>
      <c r="N40" s="95">
        <f>'Raw Results 2024'!P40</f>
        <v>137886382.72</v>
      </c>
      <c r="O40" s="99">
        <f t="shared" si="1"/>
        <v>0.41911075986349311</v>
      </c>
      <c r="P40" s="95">
        <f>'Raw Results 2024'!R40</f>
        <v>14680780.92</v>
      </c>
      <c r="Q40" s="95">
        <f>'Raw Results 2024'!T40</f>
        <v>18346282.199999999</v>
      </c>
      <c r="R40" s="95">
        <f>'Raw Results 2024'!V40</f>
        <v>27044748.899999999</v>
      </c>
      <c r="S40" s="99">
        <f t="shared" si="2"/>
        <v>0.47412694327791383</v>
      </c>
      <c r="T40" s="95"/>
      <c r="U40" s="95"/>
      <c r="V40" s="95"/>
      <c r="W40" s="99"/>
      <c r="Z40" s="98">
        <f t="shared" si="3"/>
        <v>127950005.87</v>
      </c>
      <c r="AA40" s="98">
        <f t="shared" si="4"/>
        <v>164713272.89999998</v>
      </c>
      <c r="AB40" s="98">
        <f t="shared" si="5"/>
        <v>223288305.5</v>
      </c>
      <c r="AC40" s="99">
        <f t="shared" si="6"/>
        <v>0.35561816949361358</v>
      </c>
      <c r="AD40" s="133"/>
    </row>
    <row r="41" spans="1:30">
      <c r="A41" t="s">
        <v>354</v>
      </c>
      <c r="B41">
        <v>0</v>
      </c>
      <c r="C41" t="s">
        <v>468</v>
      </c>
      <c r="D41" t="s">
        <v>469</v>
      </c>
      <c r="F41" t="s">
        <v>461</v>
      </c>
      <c r="G41" t="s">
        <v>457</v>
      </c>
      <c r="H41" s="95">
        <f>'Raw Results 2024'!G41</f>
        <v>2.0299999999999998</v>
      </c>
      <c r="I41" s="95">
        <f>'Raw Results 2024'!H41</f>
        <v>2.81</v>
      </c>
      <c r="J41" s="95">
        <f>'Raw Results 2024'!J41</f>
        <v>2.77</v>
      </c>
      <c r="K41" s="99">
        <f t="shared" si="0"/>
        <v>-1.4234875444839871E-2</v>
      </c>
      <c r="L41" s="95">
        <f>'Raw Results 2024'!L41</f>
        <v>32.51</v>
      </c>
      <c r="M41" s="95">
        <f>'Raw Results 2024'!N41</f>
        <v>40.619999999999997</v>
      </c>
      <c r="N41" s="95">
        <f>'Raw Results 2024'!P41</f>
        <v>19.91</v>
      </c>
      <c r="O41" s="99">
        <f t="shared" si="1"/>
        <v>-0.50984736582964052</v>
      </c>
      <c r="P41" s="95">
        <f>'Raw Results 2024'!R41</f>
        <v>2.91</v>
      </c>
      <c r="Q41" s="95">
        <f>'Raw Results 2024'!T41</f>
        <v>3.63</v>
      </c>
      <c r="R41" s="95">
        <f>'Raw Results 2024'!V41</f>
        <v>2.02</v>
      </c>
      <c r="S41" s="99">
        <f t="shared" si="2"/>
        <v>-0.44352617079889806</v>
      </c>
      <c r="T41" s="95"/>
      <c r="U41" s="95"/>
      <c r="V41" s="95"/>
      <c r="W41" s="99"/>
      <c r="Z41" s="98">
        <f t="shared" si="3"/>
        <v>37.450000000000003</v>
      </c>
      <c r="AA41" s="98">
        <f t="shared" si="4"/>
        <v>47.06</v>
      </c>
      <c r="AB41" s="98">
        <f t="shared" si="5"/>
        <v>24.7</v>
      </c>
      <c r="AC41" s="99">
        <f t="shared" si="6"/>
        <v>-0.47513812154696139</v>
      </c>
      <c r="AD41" s="133"/>
    </row>
    <row r="42" spans="1:30">
      <c r="A42" t="s">
        <v>354</v>
      </c>
      <c r="B42">
        <v>0</v>
      </c>
      <c r="C42" t="s">
        <v>468</v>
      </c>
      <c r="D42" t="s">
        <v>469</v>
      </c>
      <c r="F42" t="s">
        <v>462</v>
      </c>
      <c r="G42" t="s">
        <v>457</v>
      </c>
      <c r="H42" s="95">
        <f>'Raw Results 2024'!G42</f>
        <v>13079.28</v>
      </c>
      <c r="I42" s="95">
        <f>'Raw Results 2024'!H42</f>
        <v>18118.88</v>
      </c>
      <c r="J42" s="95">
        <f>'Raw Results 2024'!J42</f>
        <v>16197.18</v>
      </c>
      <c r="K42" s="99">
        <f t="shared" si="0"/>
        <v>-0.1060606395097269</v>
      </c>
      <c r="L42" s="95">
        <f>'Raw Results 2024'!L42</f>
        <v>203945.36</v>
      </c>
      <c r="M42" s="95">
        <f>'Raw Results 2024'!N42</f>
        <v>254866.45</v>
      </c>
      <c r="N42" s="95">
        <f>'Raw Results 2024'!P42</f>
        <v>254410.71</v>
      </c>
      <c r="O42" s="99">
        <f t="shared" si="1"/>
        <v>-1.7881521871553506E-3</v>
      </c>
      <c r="P42" s="95">
        <f>'Raw Results 2024'!R42</f>
        <v>17450.38</v>
      </c>
      <c r="Q42" s="95">
        <f>'Raw Results 2024'!T42</f>
        <v>21807.39</v>
      </c>
      <c r="R42" s="95">
        <f>'Raw Results 2024'!V42</f>
        <v>23852.38</v>
      </c>
      <c r="S42" s="99">
        <f t="shared" si="2"/>
        <v>9.3775091838133845E-2</v>
      </c>
      <c r="T42" s="95"/>
      <c r="U42" s="95"/>
      <c r="V42" s="95"/>
      <c r="W42" s="99"/>
      <c r="Z42" s="98">
        <f t="shared" si="3"/>
        <v>234475.02</v>
      </c>
      <c r="AA42" s="98">
        <f t="shared" si="4"/>
        <v>294792.72000000003</v>
      </c>
      <c r="AB42" s="98">
        <f t="shared" si="5"/>
        <v>294460.27</v>
      </c>
      <c r="AC42" s="99">
        <f t="shared" si="6"/>
        <v>-1.1277415534549551E-3</v>
      </c>
      <c r="AD42" s="133"/>
    </row>
    <row r="43" spans="1:30">
      <c r="A43" t="s">
        <v>354</v>
      </c>
      <c r="B43">
        <v>1</v>
      </c>
      <c r="C43" t="s">
        <v>468</v>
      </c>
      <c r="D43" t="s">
        <v>469</v>
      </c>
      <c r="F43" t="s">
        <v>480</v>
      </c>
      <c r="G43" t="s">
        <v>30</v>
      </c>
      <c r="H43" s="95">
        <f>'Raw Results 2024'!G43</f>
        <v>0</v>
      </c>
      <c r="I43" s="95">
        <f>'Raw Results 2024'!H43</f>
        <v>0</v>
      </c>
      <c r="J43" s="95">
        <f>'Raw Results 2024'!J43</f>
        <v>0</v>
      </c>
      <c r="K43" s="99" t="e">
        <f t="shared" si="0"/>
        <v>#DIV/0!</v>
      </c>
      <c r="L43" s="95">
        <f>'Raw Results 2024'!L43</f>
        <v>0</v>
      </c>
      <c r="M43" s="95">
        <f>'Raw Results 2024'!N43</f>
        <v>0</v>
      </c>
      <c r="N43" s="95">
        <f>'Raw Results 2024'!P43</f>
        <v>0</v>
      </c>
      <c r="O43" s="99" t="e">
        <f t="shared" si="1"/>
        <v>#DIV/0!</v>
      </c>
      <c r="P43" s="95">
        <f>'Raw Results 2024'!R43</f>
        <v>0</v>
      </c>
      <c r="Q43" s="95">
        <f>'Raw Results 2024'!T43</f>
        <v>0</v>
      </c>
      <c r="R43" s="95">
        <f>'Raw Results 2024'!V43</f>
        <v>0</v>
      </c>
      <c r="S43" s="99" t="e">
        <f t="shared" si="2"/>
        <v>#DIV/0!</v>
      </c>
      <c r="T43" s="95"/>
      <c r="U43" s="95"/>
      <c r="V43" s="95"/>
      <c r="W43" s="99"/>
      <c r="Z43" s="98">
        <f t="shared" si="3"/>
        <v>0</v>
      </c>
      <c r="AA43" s="98">
        <f t="shared" si="4"/>
        <v>0</v>
      </c>
      <c r="AB43" s="98">
        <f t="shared" si="5"/>
        <v>0</v>
      </c>
      <c r="AC43" s="99" t="e">
        <f t="shared" si="6"/>
        <v>#DIV/0!</v>
      </c>
      <c r="AD43" s="133"/>
    </row>
    <row r="44" spans="1:30">
      <c r="A44" t="s">
        <v>354</v>
      </c>
      <c r="B44">
        <v>1</v>
      </c>
      <c r="C44" t="s">
        <v>468</v>
      </c>
      <c r="D44" t="s">
        <v>469</v>
      </c>
      <c r="F44" t="s">
        <v>481</v>
      </c>
      <c r="G44" t="s">
        <v>30</v>
      </c>
      <c r="H44" s="95">
        <f>'Raw Results 2024'!G44</f>
        <v>0</v>
      </c>
      <c r="I44" s="95">
        <f>'Raw Results 2024'!H44</f>
        <v>0</v>
      </c>
      <c r="J44" s="95">
        <f>'Raw Results 2024'!J44</f>
        <v>0</v>
      </c>
      <c r="K44" s="99" t="e">
        <f t="shared" si="0"/>
        <v>#DIV/0!</v>
      </c>
      <c r="L44" s="95">
        <f>'Raw Results 2024'!L44</f>
        <v>0</v>
      </c>
      <c r="M44" s="95">
        <f>'Raw Results 2024'!N44</f>
        <v>0</v>
      </c>
      <c r="N44" s="95">
        <f>'Raw Results 2024'!P44</f>
        <v>0</v>
      </c>
      <c r="O44" s="99" t="e">
        <f t="shared" si="1"/>
        <v>#DIV/0!</v>
      </c>
      <c r="P44" s="95">
        <f>'Raw Results 2024'!R44</f>
        <v>0</v>
      </c>
      <c r="Q44" s="95">
        <f>'Raw Results 2024'!T44</f>
        <v>0</v>
      </c>
      <c r="R44" s="95">
        <f>'Raw Results 2024'!V44</f>
        <v>0</v>
      </c>
      <c r="S44" s="99" t="e">
        <f t="shared" si="2"/>
        <v>#DIV/0!</v>
      </c>
      <c r="T44" s="95"/>
      <c r="U44" s="95"/>
      <c r="V44" s="95"/>
      <c r="W44" s="99"/>
      <c r="Z44" s="98">
        <f t="shared" si="3"/>
        <v>0</v>
      </c>
      <c r="AA44" s="98">
        <f t="shared" si="4"/>
        <v>0</v>
      </c>
      <c r="AB44" s="98">
        <f t="shared" si="5"/>
        <v>0</v>
      </c>
      <c r="AC44" s="99" t="e">
        <f t="shared" si="6"/>
        <v>#DIV/0!</v>
      </c>
      <c r="AD44" s="133"/>
    </row>
    <row r="45" spans="1:30">
      <c r="A45" t="s">
        <v>354</v>
      </c>
      <c r="B45">
        <v>1</v>
      </c>
      <c r="C45" t="s">
        <v>468</v>
      </c>
      <c r="D45" t="s">
        <v>469</v>
      </c>
      <c r="F45" t="s">
        <v>373</v>
      </c>
      <c r="G45" t="s">
        <v>30</v>
      </c>
      <c r="H45" s="95">
        <f>'Raw Results 2024'!G45</f>
        <v>5124.78</v>
      </c>
      <c r="I45" s="95">
        <f>'Raw Results 2024'!H45</f>
        <v>7099.31</v>
      </c>
      <c r="J45" s="95">
        <f>'Raw Results 2024'!J45</f>
        <v>7324.77</v>
      </c>
      <c r="K45" s="99">
        <f t="shared" si="0"/>
        <v>3.1758015919857004E-2</v>
      </c>
      <c r="L45" s="95">
        <f>'Raw Results 2024'!L45</f>
        <v>65600.7</v>
      </c>
      <c r="M45" s="95">
        <f>'Raw Results 2024'!N45</f>
        <v>81979.88</v>
      </c>
      <c r="N45" s="95">
        <f>'Raw Results 2024'!P45</f>
        <v>94118.22</v>
      </c>
      <c r="O45" s="99">
        <f t="shared" si="1"/>
        <v>0.14806486664776766</v>
      </c>
      <c r="P45" s="95">
        <f>'Raw Results 2024'!R45</f>
        <v>5704.35</v>
      </c>
      <c r="Q45" s="95">
        <f>'Raw Results 2024'!T45</f>
        <v>7128.61</v>
      </c>
      <c r="R45" s="95">
        <f>'Raw Results 2024'!V45</f>
        <v>10076.99</v>
      </c>
      <c r="S45" s="99">
        <f t="shared" si="2"/>
        <v>0.41359816289571183</v>
      </c>
      <c r="T45" s="95"/>
      <c r="U45" s="95"/>
      <c r="V45" s="95"/>
      <c r="W45" s="99"/>
      <c r="Z45" s="98">
        <f t="shared" si="3"/>
        <v>76429.83</v>
      </c>
      <c r="AA45" s="98">
        <f t="shared" si="4"/>
        <v>96207.8</v>
      </c>
      <c r="AB45" s="98">
        <f t="shared" si="5"/>
        <v>111519.98000000001</v>
      </c>
      <c r="AC45" s="99">
        <f t="shared" si="6"/>
        <v>0.15915736561900393</v>
      </c>
      <c r="AD45" s="133"/>
    </row>
    <row r="46" spans="1:30">
      <c r="A46" t="s">
        <v>354</v>
      </c>
      <c r="B46">
        <v>1</v>
      </c>
      <c r="C46" t="s">
        <v>468</v>
      </c>
      <c r="D46" t="s">
        <v>469</v>
      </c>
      <c r="F46" t="s">
        <v>374</v>
      </c>
      <c r="G46" t="s">
        <v>30</v>
      </c>
      <c r="H46" s="95">
        <f>'Raw Results 2024'!G46</f>
        <v>11451.24</v>
      </c>
      <c r="I46" s="95">
        <f>'Raw Results 2024'!H46</f>
        <v>15862.9</v>
      </c>
      <c r="J46" s="95">
        <f>'Raw Results 2024'!J46</f>
        <v>15806.88</v>
      </c>
      <c r="K46" s="99">
        <f t="shared" si="0"/>
        <v>-3.5315106317256265E-3</v>
      </c>
      <c r="L46" s="95">
        <f>'Raw Results 2024'!L46</f>
        <v>112179.15</v>
      </c>
      <c r="M46" s="95">
        <f>'Raw Results 2024'!N46</f>
        <v>140188.04</v>
      </c>
      <c r="N46" s="95">
        <f>'Raw Results 2024'!P46</f>
        <v>122606.13</v>
      </c>
      <c r="O46" s="99">
        <f t="shared" si="1"/>
        <v>-0.12541661899260453</v>
      </c>
      <c r="P46" s="95">
        <f>'Raw Results 2024'!R46</f>
        <v>9754.6</v>
      </c>
      <c r="Q46" s="95">
        <f>'Raw Results 2024'!T46</f>
        <v>12190.14</v>
      </c>
      <c r="R46" s="95">
        <f>'Raw Results 2024'!V46</f>
        <v>11644.94</v>
      </c>
      <c r="S46" s="99">
        <f t="shared" si="2"/>
        <v>-4.4724670922565199E-2</v>
      </c>
      <c r="T46" s="95"/>
      <c r="U46" s="95"/>
      <c r="V46" s="95"/>
      <c r="W46" s="99"/>
      <c r="Z46" s="98">
        <f t="shared" si="3"/>
        <v>133384.99</v>
      </c>
      <c r="AA46" s="98">
        <f t="shared" si="4"/>
        <v>168241.08000000002</v>
      </c>
      <c r="AB46" s="98">
        <f t="shared" si="5"/>
        <v>150057.95000000001</v>
      </c>
      <c r="AC46" s="99">
        <f t="shared" si="6"/>
        <v>-0.10807782498780918</v>
      </c>
      <c r="AD46" s="133"/>
    </row>
    <row r="47" spans="1:30">
      <c r="A47" t="s">
        <v>354</v>
      </c>
      <c r="B47">
        <v>1</v>
      </c>
      <c r="C47" t="s">
        <v>468</v>
      </c>
      <c r="D47" t="s">
        <v>469</v>
      </c>
      <c r="F47" t="s">
        <v>375</v>
      </c>
      <c r="G47" t="s">
        <v>30</v>
      </c>
      <c r="H47" s="95">
        <f>'Raw Results 2024'!G47</f>
        <v>7922.58</v>
      </c>
      <c r="I47" s="95">
        <f>'Raw Results 2024'!H47</f>
        <v>10975.09</v>
      </c>
      <c r="J47" s="95">
        <f>'Raw Results 2024'!J47</f>
        <v>9832.0499999999993</v>
      </c>
      <c r="K47" s="99">
        <f t="shared" si="0"/>
        <v>-0.10414857645814302</v>
      </c>
      <c r="L47" s="95">
        <f>'Raw Results 2024'!L47</f>
        <v>140035.16</v>
      </c>
      <c r="M47" s="95">
        <f>'Raw Results 2024'!N47</f>
        <v>174999.14</v>
      </c>
      <c r="N47" s="95">
        <f>'Raw Results 2024'!P47</f>
        <v>123506.59</v>
      </c>
      <c r="O47" s="99">
        <f t="shared" si="1"/>
        <v>-0.29424458885912247</v>
      </c>
      <c r="P47" s="95">
        <f>'Raw Results 2024'!R47</f>
        <v>12176.84</v>
      </c>
      <c r="Q47" s="95">
        <f>'Raw Results 2024'!T47</f>
        <v>15217.15</v>
      </c>
      <c r="R47" s="95">
        <f>'Raw Results 2024'!V47</f>
        <v>9463.01</v>
      </c>
      <c r="S47" s="99">
        <f t="shared" si="2"/>
        <v>-0.37813519614382451</v>
      </c>
      <c r="T47" s="95"/>
      <c r="U47" s="95"/>
      <c r="V47" s="95"/>
      <c r="W47" s="99"/>
      <c r="Z47" s="98">
        <f t="shared" si="3"/>
        <v>160134.57999999999</v>
      </c>
      <c r="AA47" s="98">
        <f t="shared" si="4"/>
        <v>201191.38</v>
      </c>
      <c r="AB47" s="98">
        <f t="shared" si="5"/>
        <v>142801.65</v>
      </c>
      <c r="AC47" s="99">
        <f t="shared" si="6"/>
        <v>-0.29021983943844915</v>
      </c>
      <c r="AD47" s="133"/>
    </row>
    <row r="48" spans="1:30">
      <c r="A48" t="s">
        <v>354</v>
      </c>
      <c r="B48">
        <v>1</v>
      </c>
      <c r="C48" t="s">
        <v>468</v>
      </c>
      <c r="D48" t="s">
        <v>469</v>
      </c>
      <c r="F48" t="s">
        <v>376</v>
      </c>
      <c r="G48" t="s">
        <v>30</v>
      </c>
      <c r="H48" s="95">
        <f>'Raw Results 2024'!G48</f>
        <v>3715.08</v>
      </c>
      <c r="I48" s="95">
        <f>'Raw Results 2024'!H48</f>
        <v>5147.08</v>
      </c>
      <c r="J48" s="95">
        <f>'Raw Results 2024'!J48</f>
        <v>4612</v>
      </c>
      <c r="K48" s="99">
        <f t="shared" si="0"/>
        <v>-0.10395797228719972</v>
      </c>
      <c r="L48" s="95">
        <f>'Raw Results 2024'!L48</f>
        <v>94070.44</v>
      </c>
      <c r="M48" s="95">
        <f>'Raw Results 2024'!N48</f>
        <v>117557.96</v>
      </c>
      <c r="N48" s="95">
        <f>'Raw Results 2024'!P48</f>
        <v>110504.64</v>
      </c>
      <c r="O48" s="99">
        <f t="shared" si="1"/>
        <v>-5.9998659384698463E-2</v>
      </c>
      <c r="P48" s="95">
        <f>'Raw Results 2024'!R48</f>
        <v>8179.95</v>
      </c>
      <c r="Q48" s="95">
        <f>'Raw Results 2024'!T48</f>
        <v>10222.31</v>
      </c>
      <c r="R48" s="95">
        <f>'Raw Results 2024'!V48</f>
        <v>9784.59</v>
      </c>
      <c r="S48" s="99">
        <f t="shared" si="2"/>
        <v>-4.2820067088554285E-2</v>
      </c>
      <c r="T48" s="95"/>
      <c r="U48" s="95"/>
      <c r="V48" s="95"/>
      <c r="W48" s="99"/>
      <c r="Z48" s="98">
        <f t="shared" si="3"/>
        <v>105965.47</v>
      </c>
      <c r="AA48" s="98">
        <f t="shared" si="4"/>
        <v>132927.35</v>
      </c>
      <c r="AB48" s="98">
        <f t="shared" si="5"/>
        <v>124901.23</v>
      </c>
      <c r="AC48" s="99">
        <f t="shared" si="6"/>
        <v>-6.0379748787589685E-2</v>
      </c>
      <c r="AD48" s="133"/>
    </row>
    <row r="49" spans="1:30">
      <c r="A49" t="s">
        <v>354</v>
      </c>
      <c r="B49">
        <v>0</v>
      </c>
      <c r="C49" t="s">
        <v>468</v>
      </c>
      <c r="D49" t="s">
        <v>469</v>
      </c>
      <c r="F49" t="s">
        <v>377</v>
      </c>
      <c r="G49" t="s">
        <v>30</v>
      </c>
      <c r="H49" s="95">
        <f>'Raw Results 2024'!G49</f>
        <v>50133.68</v>
      </c>
      <c r="I49" s="95">
        <f>'Raw Results 2024'!H49</f>
        <v>69450.539999999994</v>
      </c>
      <c r="J49" s="95">
        <f>'Raw Results 2024'!J49</f>
        <v>65281.11</v>
      </c>
      <c r="K49" s="99">
        <f t="shared" si="0"/>
        <v>-6.0034522409760864E-2</v>
      </c>
      <c r="L49" s="95">
        <f>'Raw Results 2024'!L49</f>
        <v>741919.61</v>
      </c>
      <c r="M49" s="95">
        <f>'Raw Results 2024'!N49</f>
        <v>927162.12</v>
      </c>
      <c r="N49" s="95">
        <f>'Raw Results 2024'!P49</f>
        <v>851709.01</v>
      </c>
      <c r="O49" s="99">
        <f t="shared" si="1"/>
        <v>-8.1380708262757742E-2</v>
      </c>
      <c r="P49" s="95">
        <f>'Raw Results 2024'!R49</f>
        <v>64514.04</v>
      </c>
      <c r="Q49" s="95">
        <f>'Raw Results 2024'!T49</f>
        <v>80621.91</v>
      </c>
      <c r="R49" s="95">
        <f>'Raw Results 2024'!V49</f>
        <v>76631.73</v>
      </c>
      <c r="S49" s="99">
        <f t="shared" si="2"/>
        <v>-4.9492501480056815E-2</v>
      </c>
      <c r="T49" s="95"/>
      <c r="U49" s="95"/>
      <c r="V49" s="95"/>
      <c r="W49" s="99"/>
      <c r="Z49" s="98">
        <f t="shared" si="3"/>
        <v>856567.33000000007</v>
      </c>
      <c r="AA49" s="98">
        <f t="shared" si="4"/>
        <v>1077234.57</v>
      </c>
      <c r="AB49" s="98">
        <f t="shared" si="5"/>
        <v>993621.85</v>
      </c>
      <c r="AC49" s="99">
        <f t="shared" si="6"/>
        <v>-7.7617932369177578E-2</v>
      </c>
      <c r="AD49" s="133"/>
    </row>
    <row r="50" spans="1:30">
      <c r="A50" t="s">
        <v>354</v>
      </c>
      <c r="B50">
        <v>0</v>
      </c>
      <c r="C50" t="s">
        <v>468</v>
      </c>
      <c r="D50" t="s">
        <v>469</v>
      </c>
      <c r="F50" t="s">
        <v>378</v>
      </c>
      <c r="G50" t="s">
        <v>30</v>
      </c>
      <c r="H50" s="95">
        <f>'Raw Results 2024'!G50</f>
        <v>6589.22</v>
      </c>
      <c r="I50" s="95">
        <f>'Raw Results 2024'!H50</f>
        <v>9127</v>
      </c>
      <c r="J50" s="95">
        <f>'Raw Results 2024'!J50</f>
        <v>8817.26</v>
      </c>
      <c r="K50" s="99">
        <f t="shared" si="0"/>
        <v>-3.3936671414484469E-2</v>
      </c>
      <c r="L50" s="95">
        <f>'Raw Results 2024'!L50</f>
        <v>75058.149999999994</v>
      </c>
      <c r="M50" s="95">
        <f>'Raw Results 2024'!N50</f>
        <v>93798.67</v>
      </c>
      <c r="N50" s="95">
        <f>'Raw Results 2024'!P50</f>
        <v>92802.66</v>
      </c>
      <c r="O50" s="99">
        <f t="shared" si="1"/>
        <v>-1.0618594058956217E-2</v>
      </c>
      <c r="P50" s="95">
        <f>'Raw Results 2024'!R50</f>
        <v>6526.72</v>
      </c>
      <c r="Q50" s="95">
        <f>'Raw Results 2024'!T50</f>
        <v>8156.32</v>
      </c>
      <c r="R50" s="95">
        <f>'Raw Results 2024'!V50</f>
        <v>9089.93</v>
      </c>
      <c r="S50" s="99">
        <f t="shared" si="2"/>
        <v>0.11446461149145701</v>
      </c>
      <c r="T50" s="95"/>
      <c r="U50" s="95"/>
      <c r="V50" s="95"/>
      <c r="W50" s="99"/>
      <c r="Z50" s="98">
        <f t="shared" si="3"/>
        <v>88174.09</v>
      </c>
      <c r="AA50" s="98">
        <f t="shared" si="4"/>
        <v>111081.98999999999</v>
      </c>
      <c r="AB50" s="98">
        <f t="shared" si="5"/>
        <v>110709.85</v>
      </c>
      <c r="AC50" s="99">
        <f t="shared" si="6"/>
        <v>-3.3501380376781591E-3</v>
      </c>
      <c r="AD50" s="133"/>
    </row>
    <row r="51" spans="1:30">
      <c r="A51" t="s">
        <v>354</v>
      </c>
      <c r="B51">
        <v>0</v>
      </c>
      <c r="C51" t="s">
        <v>468</v>
      </c>
      <c r="D51" t="s">
        <v>469</v>
      </c>
      <c r="F51" t="s">
        <v>379</v>
      </c>
      <c r="G51" t="s">
        <v>30</v>
      </c>
      <c r="H51" s="95">
        <f>'Raw Results 2024'!G51</f>
        <v>6589.22</v>
      </c>
      <c r="I51" s="95">
        <f>'Raw Results 2024'!H51</f>
        <v>9127</v>
      </c>
      <c r="J51" s="95">
        <f>'Raw Results 2024'!J51</f>
        <v>8817.26</v>
      </c>
      <c r="K51" s="99">
        <f t="shared" si="0"/>
        <v>-3.3936671414484469E-2</v>
      </c>
      <c r="L51" s="95">
        <f>'Raw Results 2024'!L51</f>
        <v>75058.149999999994</v>
      </c>
      <c r="M51" s="95">
        <f>'Raw Results 2024'!N51</f>
        <v>93798.67</v>
      </c>
      <c r="N51" s="95">
        <f>'Raw Results 2024'!P51</f>
        <v>92802.66</v>
      </c>
      <c r="O51" s="99">
        <f t="shared" si="1"/>
        <v>-1.0618594058956217E-2</v>
      </c>
      <c r="P51" s="95">
        <f>'Raw Results 2024'!R51</f>
        <v>6526.72</v>
      </c>
      <c r="Q51" s="95">
        <f>'Raw Results 2024'!T51</f>
        <v>8156.32</v>
      </c>
      <c r="R51" s="95">
        <f>'Raw Results 2024'!V51</f>
        <v>9089.93</v>
      </c>
      <c r="S51" s="99">
        <f t="shared" si="2"/>
        <v>0.11446461149145701</v>
      </c>
      <c r="T51" s="95"/>
      <c r="U51" s="95"/>
      <c r="V51" s="95"/>
      <c r="W51" s="99"/>
      <c r="Z51" s="98">
        <f t="shared" si="3"/>
        <v>88174.09</v>
      </c>
      <c r="AA51" s="98">
        <f t="shared" si="4"/>
        <v>111081.98999999999</v>
      </c>
      <c r="AB51" s="98">
        <f t="shared" si="5"/>
        <v>110709.85</v>
      </c>
      <c r="AC51" s="99">
        <f t="shared" si="6"/>
        <v>-3.3501380376781591E-3</v>
      </c>
      <c r="AD51" s="133"/>
    </row>
    <row r="52" spans="1:30">
      <c r="A52" t="s">
        <v>354</v>
      </c>
      <c r="B52">
        <v>1</v>
      </c>
      <c r="C52" t="s">
        <v>468</v>
      </c>
      <c r="D52" t="s">
        <v>469</v>
      </c>
      <c r="F52" t="s">
        <v>482</v>
      </c>
      <c r="G52" t="s">
        <v>381</v>
      </c>
      <c r="H52" s="95">
        <f>'Raw Results 2024'!G52</f>
        <v>1196316.75</v>
      </c>
      <c r="I52" s="95">
        <f>'Raw Results 2024'!H52</f>
        <v>1657250.95</v>
      </c>
      <c r="J52" s="95">
        <f>'Raw Results 2024'!J52</f>
        <v>1842874</v>
      </c>
      <c r="K52" s="99">
        <f t="shared" si="0"/>
        <v>0.11200660346581792</v>
      </c>
      <c r="L52" s="95">
        <f>'Raw Results 2024'!L52</f>
        <v>11473301.84</v>
      </c>
      <c r="M52" s="95">
        <f>'Raw Results 2024'!N52</f>
        <v>14337955.960000001</v>
      </c>
      <c r="N52" s="95">
        <f>'Raw Results 2024'!P52</f>
        <v>17007035.77</v>
      </c>
      <c r="O52" s="99">
        <f t="shared" si="1"/>
        <v>0.18615483388609869</v>
      </c>
      <c r="P52" s="95">
        <f>'Raw Results 2024'!R52</f>
        <v>997667.36</v>
      </c>
      <c r="Q52" s="95">
        <f>'Raw Results 2024'!T52</f>
        <v>1246765.23</v>
      </c>
      <c r="R52" s="95">
        <f>'Raw Results 2024'!V52</f>
        <v>1760846.81</v>
      </c>
      <c r="S52" s="99">
        <f t="shared" si="2"/>
        <v>0.41233230413395477</v>
      </c>
      <c r="T52" s="95"/>
      <c r="U52" s="95"/>
      <c r="V52" s="95"/>
      <c r="W52" s="99"/>
      <c r="Z52" s="98">
        <f t="shared" si="3"/>
        <v>13667285.949999999</v>
      </c>
      <c r="AA52" s="98">
        <f t="shared" si="4"/>
        <v>17241972.140000001</v>
      </c>
      <c r="AB52" s="98">
        <f t="shared" si="5"/>
        <v>20610756.579999998</v>
      </c>
      <c r="AC52" s="99">
        <f t="shared" si="6"/>
        <v>0.19538277945506513</v>
      </c>
      <c r="AD52" s="133"/>
    </row>
    <row r="53" spans="1:30">
      <c r="A53" t="s">
        <v>354</v>
      </c>
      <c r="B53">
        <v>0</v>
      </c>
      <c r="C53" t="s">
        <v>468</v>
      </c>
      <c r="D53" t="s">
        <v>469</v>
      </c>
      <c r="F53" t="s">
        <v>463</v>
      </c>
      <c r="G53" t="s">
        <v>446</v>
      </c>
      <c r="H53" s="95">
        <f>'Raw Results 2024'!G53</f>
        <v>2387339.5</v>
      </c>
      <c r="I53" s="95">
        <f>'Raw Results 2024'!H53</f>
        <v>3307202.82</v>
      </c>
      <c r="J53" s="95">
        <f>'Raw Results 2024'!J53</f>
        <v>3351114.96</v>
      </c>
      <c r="K53" s="99">
        <f t="shared" si="0"/>
        <v>1.3277728155783361E-2</v>
      </c>
      <c r="L53" s="95">
        <f>'Raw Results 2024'!L53</f>
        <v>32691125.440000001</v>
      </c>
      <c r="M53" s="95">
        <f>'Raw Results 2024'!N53</f>
        <v>40853446.539999999</v>
      </c>
      <c r="N53" s="95">
        <f>'Raw Results 2024'!P53</f>
        <v>38321607.280000001</v>
      </c>
      <c r="O53" s="99">
        <f t="shared" si="1"/>
        <v>-6.197370049356913E-2</v>
      </c>
      <c r="P53" s="95">
        <f>'Raw Results 2024'!R53</f>
        <v>2886835.09</v>
      </c>
      <c r="Q53" s="95">
        <f>'Raw Results 2024'!T53</f>
        <v>3607619.97</v>
      </c>
      <c r="R53" s="95">
        <f>'Raw Results 2024'!V53</f>
        <v>3697621.44</v>
      </c>
      <c r="S53" s="99">
        <f t="shared" si="2"/>
        <v>2.4947602782008034E-2</v>
      </c>
      <c r="T53" s="95"/>
      <c r="U53" s="95"/>
      <c r="V53" s="95"/>
      <c r="W53" s="99"/>
      <c r="Z53" s="98">
        <f t="shared" si="3"/>
        <v>37965300.030000001</v>
      </c>
      <c r="AA53" s="98">
        <f t="shared" si="4"/>
        <v>47768269.329999998</v>
      </c>
      <c r="AB53" s="98">
        <f t="shared" si="5"/>
        <v>45370343.68</v>
      </c>
      <c r="AC53" s="99">
        <f t="shared" si="6"/>
        <v>-5.0199131842819864E-2</v>
      </c>
      <c r="AD53" s="133"/>
    </row>
    <row r="54" spans="1:30">
      <c r="A54" t="s">
        <v>354</v>
      </c>
      <c r="B54">
        <v>0</v>
      </c>
      <c r="C54" t="s">
        <v>468</v>
      </c>
      <c r="D54" t="s">
        <v>469</v>
      </c>
      <c r="F54" t="s">
        <v>464</v>
      </c>
      <c r="G54" t="s">
        <v>451</v>
      </c>
      <c r="H54" s="95">
        <f>'Raw Results 2024'!G54</f>
        <v>4023902.25</v>
      </c>
      <c r="I54" s="95">
        <f>'Raw Results 2024'!H54</f>
        <v>5574297.4800000004</v>
      </c>
      <c r="J54" s="95">
        <f>'Raw Results 2024'!J54</f>
        <v>5565521.8799999999</v>
      </c>
      <c r="K54" s="99">
        <f t="shared" si="0"/>
        <v>-1.5742970359021021E-3</v>
      </c>
      <c r="L54" s="95">
        <f>'Raw Results 2024'!L54</f>
        <v>18385649.469999999</v>
      </c>
      <c r="M54" s="95">
        <f>'Raw Results 2024'!N54</f>
        <v>22976179.050000001</v>
      </c>
      <c r="N54" s="95">
        <f>'Raw Results 2024'!P54</f>
        <v>22010654.760000002</v>
      </c>
      <c r="O54" s="99">
        <f t="shared" si="1"/>
        <v>-4.2022839737575909E-2</v>
      </c>
      <c r="P54" s="95">
        <f>'Raw Results 2024'!R54</f>
        <v>1760210.25</v>
      </c>
      <c r="Q54" s="95">
        <f>'Raw Results 2024'!T54</f>
        <v>2199699.34</v>
      </c>
      <c r="R54" s="95">
        <f>'Raw Results 2024'!V54</f>
        <v>2297280</v>
      </c>
      <c r="S54" s="99">
        <f t="shared" si="2"/>
        <v>4.4360907977542129E-2</v>
      </c>
      <c r="T54" s="95"/>
      <c r="U54" s="95"/>
      <c r="V54" s="95"/>
      <c r="W54" s="99"/>
      <c r="Z54" s="98">
        <f t="shared" si="3"/>
        <v>24169761.969999999</v>
      </c>
      <c r="AA54" s="98">
        <f t="shared" si="4"/>
        <v>30750175.870000001</v>
      </c>
      <c r="AB54" s="98">
        <f t="shared" si="5"/>
        <v>29873456.640000001</v>
      </c>
      <c r="AC54" s="99">
        <f t="shared" si="6"/>
        <v>-2.8511031406988841E-2</v>
      </c>
      <c r="AD54" s="133"/>
    </row>
    <row r="55" spans="1:30">
      <c r="A55" t="s">
        <v>354</v>
      </c>
      <c r="B55">
        <v>0</v>
      </c>
      <c r="C55" t="s">
        <v>468</v>
      </c>
      <c r="D55" t="s">
        <v>469</v>
      </c>
      <c r="F55" t="s">
        <v>483</v>
      </c>
      <c r="G55" t="s">
        <v>381</v>
      </c>
      <c r="H55" s="95">
        <f>'Raw Results 2024'!G55</f>
        <v>0</v>
      </c>
      <c r="I55" s="95">
        <f>'Raw Results 2024'!H55</f>
        <v>0</v>
      </c>
      <c r="J55" s="95">
        <f>'Raw Results 2024'!J55</f>
        <v>0</v>
      </c>
      <c r="K55" s="99" t="e">
        <f t="shared" si="0"/>
        <v>#DIV/0!</v>
      </c>
      <c r="L55" s="95">
        <f>'Raw Results 2024'!L55</f>
        <v>0</v>
      </c>
      <c r="M55" s="95">
        <f>'Raw Results 2024'!N55</f>
        <v>0</v>
      </c>
      <c r="N55" s="95">
        <f>'Raw Results 2024'!P55</f>
        <v>0</v>
      </c>
      <c r="O55" s="99" t="e">
        <f t="shared" si="1"/>
        <v>#DIV/0!</v>
      </c>
      <c r="P55" s="95">
        <f>'Raw Results 2024'!R55</f>
        <v>0</v>
      </c>
      <c r="Q55" s="95">
        <f>'Raw Results 2024'!T55</f>
        <v>0</v>
      </c>
      <c r="R55" s="95">
        <f>'Raw Results 2024'!V55</f>
        <v>0</v>
      </c>
      <c r="S55" s="99" t="e">
        <f t="shared" si="2"/>
        <v>#DIV/0!</v>
      </c>
      <c r="T55" s="95"/>
      <c r="U55" s="95"/>
      <c r="V55" s="95"/>
      <c r="W55" s="99"/>
      <c r="Z55" s="98">
        <f t="shared" si="3"/>
        <v>0</v>
      </c>
      <c r="AA55" s="98">
        <f t="shared" si="4"/>
        <v>0</v>
      </c>
      <c r="AB55" s="98">
        <f t="shared" si="5"/>
        <v>0</v>
      </c>
      <c r="AC55" s="99" t="e">
        <f t="shared" si="6"/>
        <v>#DIV/0!</v>
      </c>
      <c r="AD55" s="133"/>
    </row>
    <row r="56" spans="1:30">
      <c r="A56" t="s">
        <v>354</v>
      </c>
      <c r="B56">
        <v>0</v>
      </c>
      <c r="C56" t="s">
        <v>468</v>
      </c>
      <c r="D56" t="s">
        <v>469</v>
      </c>
      <c r="F56" t="s">
        <v>484</v>
      </c>
      <c r="G56" t="s">
        <v>381</v>
      </c>
      <c r="H56" s="95">
        <f>'Raw Results 2024'!G56</f>
        <v>0</v>
      </c>
      <c r="I56" s="95">
        <f>'Raw Results 2024'!H56</f>
        <v>0</v>
      </c>
      <c r="J56" s="95">
        <f>'Raw Results 2024'!J56</f>
        <v>0</v>
      </c>
      <c r="K56" s="99" t="e">
        <f t="shared" si="0"/>
        <v>#DIV/0!</v>
      </c>
      <c r="L56" s="95">
        <f>'Raw Results 2024'!L56</f>
        <v>0</v>
      </c>
      <c r="M56" s="95">
        <f>'Raw Results 2024'!N56</f>
        <v>0</v>
      </c>
      <c r="N56" s="95">
        <f>'Raw Results 2024'!P56</f>
        <v>0</v>
      </c>
      <c r="O56" s="99" t="e">
        <f t="shared" si="1"/>
        <v>#DIV/0!</v>
      </c>
      <c r="P56" s="95">
        <f>'Raw Results 2024'!R56</f>
        <v>0</v>
      </c>
      <c r="Q56" s="95">
        <f>'Raw Results 2024'!T56</f>
        <v>0</v>
      </c>
      <c r="R56" s="95">
        <f>'Raw Results 2024'!V56</f>
        <v>0</v>
      </c>
      <c r="S56" s="99" t="e">
        <f t="shared" si="2"/>
        <v>#DIV/0!</v>
      </c>
      <c r="T56" s="95"/>
      <c r="U56" s="95"/>
      <c r="V56" s="95"/>
      <c r="W56" s="99"/>
      <c r="Z56" s="98">
        <f t="shared" si="3"/>
        <v>0</v>
      </c>
      <c r="AA56" s="98">
        <f t="shared" si="4"/>
        <v>0</v>
      </c>
      <c r="AB56" s="98">
        <f t="shared" si="5"/>
        <v>0</v>
      </c>
      <c r="AC56" s="99" t="e">
        <f t="shared" si="6"/>
        <v>#DIV/0!</v>
      </c>
      <c r="AD56" s="133"/>
    </row>
    <row r="57" spans="1:30">
      <c r="A57" t="s">
        <v>354</v>
      </c>
      <c r="B57">
        <v>0</v>
      </c>
      <c r="C57" t="s">
        <v>468</v>
      </c>
      <c r="D57" t="s">
        <v>469</v>
      </c>
      <c r="F57" t="s">
        <v>380</v>
      </c>
      <c r="G57" t="s">
        <v>381</v>
      </c>
      <c r="H57" s="95">
        <f>'Raw Results 2024'!G57</f>
        <v>4961220.66</v>
      </c>
      <c r="I57" s="95">
        <f>'Raw Results 2024'!H57</f>
        <v>6872741.2599999998</v>
      </c>
      <c r="J57" s="95">
        <f>'Raw Results 2024'!J57</f>
        <v>7672257.2400000002</v>
      </c>
      <c r="K57" s="99">
        <f t="shared" si="0"/>
        <v>0.11633145345558964</v>
      </c>
      <c r="L57" s="95">
        <f>'Raw Results 2024'!L57</f>
        <v>66690813.909999996</v>
      </c>
      <c r="M57" s="95">
        <f>'Raw Results 2024'!N57</f>
        <v>83342177.060000002</v>
      </c>
      <c r="N57" s="95">
        <f>'Raw Results 2024'!P57</f>
        <v>105493712.84999999</v>
      </c>
      <c r="O57" s="99">
        <f t="shared" si="1"/>
        <v>0.2657902225670512</v>
      </c>
      <c r="P57" s="95">
        <f>'Raw Results 2024'!R57</f>
        <v>5799136.9500000002</v>
      </c>
      <c r="Q57" s="95">
        <f>'Raw Results 2024'!T57</f>
        <v>7247067.0099999998</v>
      </c>
      <c r="R57" s="95">
        <f>'Raw Results 2024'!V57</f>
        <v>12709049.77</v>
      </c>
      <c r="S57" s="99">
        <f t="shared" si="2"/>
        <v>0.75368183465989502</v>
      </c>
      <c r="T57" s="95"/>
      <c r="U57" s="95"/>
      <c r="V57" s="95"/>
      <c r="W57" s="99"/>
      <c r="Z57" s="98">
        <f t="shared" si="3"/>
        <v>77451171.519999996</v>
      </c>
      <c r="AA57" s="98">
        <f t="shared" si="4"/>
        <v>97461985.330000013</v>
      </c>
      <c r="AB57" s="98">
        <f t="shared" si="5"/>
        <v>125875019.85999998</v>
      </c>
      <c r="AC57" s="99">
        <f t="shared" si="6"/>
        <v>0.29152940434976021</v>
      </c>
      <c r="AD57" s="133"/>
    </row>
    <row r="58" spans="1:30">
      <c r="A58" t="s">
        <v>354</v>
      </c>
      <c r="B58">
        <v>0</v>
      </c>
      <c r="C58" t="s">
        <v>468</v>
      </c>
      <c r="D58" t="s">
        <v>469</v>
      </c>
      <c r="F58" t="s">
        <v>382</v>
      </c>
      <c r="G58" t="s">
        <v>381</v>
      </c>
      <c r="H58" s="95">
        <f>'Raw Results 2024'!G58</f>
        <v>16752517.51</v>
      </c>
      <c r="I58" s="95">
        <f>'Raw Results 2024'!H58</f>
        <v>23206520.629999999</v>
      </c>
      <c r="J58" s="95">
        <f>'Raw Results 2024'!J58</f>
        <v>24990605.969999999</v>
      </c>
      <c r="K58" s="99">
        <f t="shared" si="0"/>
        <v>7.6878622540840574E-2</v>
      </c>
      <c r="L58" s="95">
        <f>'Raw Results 2024'!L58</f>
        <v>177264053.28999999</v>
      </c>
      <c r="M58" s="95">
        <f>'Raw Results 2024'!N58</f>
        <v>221523334.77000001</v>
      </c>
      <c r="N58" s="95">
        <f>'Raw Results 2024'!P58</f>
        <v>212980676.40000001</v>
      </c>
      <c r="O58" s="99">
        <f t="shared" si="1"/>
        <v>-3.8563243817494666E-2</v>
      </c>
      <c r="P58" s="95">
        <f>'Raw Results 2024'!R58</f>
        <v>15414087.880000001</v>
      </c>
      <c r="Q58" s="95">
        <f>'Raw Results 2024'!T58</f>
        <v>19262696.210000001</v>
      </c>
      <c r="R58" s="95">
        <f>'Raw Results 2024'!V58</f>
        <v>20773532.149999999</v>
      </c>
      <c r="S58" s="99">
        <f t="shared" si="2"/>
        <v>7.8433253763077304E-2</v>
      </c>
      <c r="T58" s="95"/>
      <c r="U58" s="95"/>
      <c r="V58" s="95"/>
      <c r="W58" s="99"/>
      <c r="Z58" s="98">
        <f t="shared" si="3"/>
        <v>209430658.67999998</v>
      </c>
      <c r="AA58" s="98">
        <f t="shared" si="4"/>
        <v>263992551.61000001</v>
      </c>
      <c r="AB58" s="98">
        <f t="shared" si="5"/>
        <v>258744814.52000001</v>
      </c>
      <c r="AC58" s="99">
        <f t="shared" si="6"/>
        <v>-1.9878352847441549E-2</v>
      </c>
      <c r="AD58" s="133"/>
    </row>
    <row r="59" spans="1:30">
      <c r="A59" t="s">
        <v>354</v>
      </c>
      <c r="B59">
        <v>0</v>
      </c>
      <c r="C59" t="s">
        <v>468</v>
      </c>
      <c r="D59" t="s">
        <v>469</v>
      </c>
      <c r="F59" t="s">
        <v>383</v>
      </c>
      <c r="G59" t="s">
        <v>384</v>
      </c>
      <c r="H59" s="95">
        <f>'Raw Results 2024'!G59</f>
        <v>104171872.31</v>
      </c>
      <c r="I59" s="95">
        <f>'Raw Results 2024'!H59</f>
        <v>144310219.72999999</v>
      </c>
      <c r="J59" s="95">
        <f>'Raw Results 2024'!J59</f>
        <v>145909848.55000001</v>
      </c>
      <c r="K59" s="99">
        <f t="shared" si="0"/>
        <v>1.1084653761825596E-2</v>
      </c>
      <c r="L59" s="95">
        <f>'Raw Results 2024'!L59</f>
        <v>1431221727.74</v>
      </c>
      <c r="M59" s="95">
        <f>'Raw Results 2024'!N59</f>
        <v>1788569207.95</v>
      </c>
      <c r="N59" s="95">
        <f>'Raw Results 2024'!P59</f>
        <v>1681519839.71</v>
      </c>
      <c r="O59" s="99">
        <f t="shared" si="1"/>
        <v>-5.9851957511164199E-2</v>
      </c>
      <c r="P59" s="95">
        <f>'Raw Results 2024'!R59</f>
        <v>125401753.54000001</v>
      </c>
      <c r="Q59" s="95">
        <f>'Raw Results 2024'!T59</f>
        <v>156712059.09999999</v>
      </c>
      <c r="R59" s="95">
        <f>'Raw Results 2024'!V59</f>
        <v>160739510.53</v>
      </c>
      <c r="S59" s="99">
        <f t="shared" si="2"/>
        <v>2.5699690586223733E-2</v>
      </c>
      <c r="T59" s="95"/>
      <c r="U59" s="95"/>
      <c r="V59" s="95"/>
      <c r="W59" s="99"/>
      <c r="Z59" s="98">
        <f t="shared" si="3"/>
        <v>1660795353.5899999</v>
      </c>
      <c r="AA59" s="98">
        <f t="shared" si="4"/>
        <v>2089591486.78</v>
      </c>
      <c r="AB59" s="98">
        <f t="shared" si="5"/>
        <v>1988169198.79</v>
      </c>
      <c r="AC59" s="99">
        <f t="shared" si="6"/>
        <v>-4.8536897585799807E-2</v>
      </c>
      <c r="AD59" s="133"/>
    </row>
    <row r="60" spans="1:30" s="100" customFormat="1">
      <c r="A60" s="100" t="s">
        <v>354</v>
      </c>
      <c r="B60" s="100">
        <v>0</v>
      </c>
      <c r="C60" s="100" t="s">
        <v>468</v>
      </c>
      <c r="D60" s="100" t="s">
        <v>469</v>
      </c>
      <c r="F60" s="100" t="s">
        <v>465</v>
      </c>
      <c r="G60" s="100" t="s">
        <v>466</v>
      </c>
      <c r="H60" s="101">
        <f>'Raw Results 2024'!G60</f>
        <v>72053266.159999996</v>
      </c>
      <c r="I60" s="101">
        <f>'Raw Results 2024'!H60</f>
        <v>99815993.629999995</v>
      </c>
      <c r="J60" s="101">
        <f>'Raw Results 2024'!J60</f>
        <v>100468211.91</v>
      </c>
      <c r="K60" s="190">
        <f t="shared" si="0"/>
        <v>6.5342061555551658E-3</v>
      </c>
      <c r="L60" s="101">
        <f>'Raw Results 2024'!L60</f>
        <v>956731994.66999996</v>
      </c>
      <c r="M60" s="101">
        <f>'Raw Results 2024'!N60</f>
        <v>1195608865.5999999</v>
      </c>
      <c r="N60" s="101">
        <f>'Raw Results 2024'!P60</f>
        <v>1126153610.8399999</v>
      </c>
      <c r="O60" s="190">
        <f t="shared" si="1"/>
        <v>-5.8091953613228539E-2</v>
      </c>
      <c r="P60" s="101">
        <f>'Raw Results 2024'!R60</f>
        <v>84469504.959999993</v>
      </c>
      <c r="Q60" s="101">
        <f>'Raw Results 2024'!T60</f>
        <v>105559847.83</v>
      </c>
      <c r="R60" s="101">
        <f>'Raw Results 2024'!V60</f>
        <v>108645310.53</v>
      </c>
      <c r="S60" s="190">
        <f t="shared" si="2"/>
        <v>2.9229510684488858E-2</v>
      </c>
      <c r="T60" s="101"/>
      <c r="U60" s="101"/>
      <c r="V60" s="101"/>
      <c r="W60" s="190"/>
      <c r="Z60" s="102">
        <f t="shared" si="3"/>
        <v>1113254765.79</v>
      </c>
      <c r="AA60" s="102">
        <f t="shared" si="4"/>
        <v>1400984707.0599999</v>
      </c>
      <c r="AB60" s="102">
        <f t="shared" si="5"/>
        <v>1335267133.28</v>
      </c>
      <c r="AC60" s="190">
        <f t="shared" si="6"/>
        <v>-4.6908130723218158E-2</v>
      </c>
    </row>
    <row r="61" spans="1:30">
      <c r="A61" t="s">
        <v>354</v>
      </c>
      <c r="B61">
        <v>0</v>
      </c>
      <c r="C61" t="s">
        <v>468</v>
      </c>
      <c r="D61" t="s">
        <v>469</v>
      </c>
      <c r="F61" t="s">
        <v>485</v>
      </c>
      <c r="G61" t="s">
        <v>466</v>
      </c>
      <c r="H61" s="95">
        <f>'Raw Results 2024'!G61</f>
        <v>39225875.520000003</v>
      </c>
      <c r="I61" s="95">
        <f>'Raw Results 2024'!H61</f>
        <v>54339307.090000004</v>
      </c>
      <c r="J61" s="95">
        <f>'Raw Results 2024'!J61</f>
        <v>54127471.590000004</v>
      </c>
      <c r="K61" s="99">
        <f t="shared" si="0"/>
        <v>-3.898384269956652E-3</v>
      </c>
      <c r="L61" s="95">
        <f>'Raw Results 2024'!L61</f>
        <v>420440504.67000002</v>
      </c>
      <c r="M61" s="95">
        <f>'Raw Results 2024'!N61</f>
        <v>525416094.45999998</v>
      </c>
      <c r="N61" s="95">
        <f>'Raw Results 2024'!P61</f>
        <v>465376310.00999999</v>
      </c>
      <c r="O61" s="99">
        <f t="shared" si="1"/>
        <v>-0.11427092752403463</v>
      </c>
      <c r="P61" s="95">
        <f>'Raw Results 2024'!R61</f>
        <v>37835967.270000003</v>
      </c>
      <c r="Q61" s="95">
        <f>'Raw Results 2024'!T61</f>
        <v>47282861.630000003</v>
      </c>
      <c r="R61" s="95">
        <f>'Raw Results 2024'!V61</f>
        <v>46435827.619999997</v>
      </c>
      <c r="S61" s="99">
        <f t="shared" si="2"/>
        <v>-1.7914186679906439E-2</v>
      </c>
      <c r="T61" s="95"/>
      <c r="U61" s="95"/>
      <c r="V61" s="95"/>
      <c r="W61" s="99"/>
      <c r="Z61" s="98">
        <f t="shared" si="3"/>
        <v>497502347.45999998</v>
      </c>
      <c r="AA61" s="98">
        <f t="shared" si="4"/>
        <v>627038263.17999995</v>
      </c>
      <c r="AB61" s="98">
        <f t="shared" si="5"/>
        <v>565939609.22000003</v>
      </c>
      <c r="AC61" s="99">
        <f t="shared" si="6"/>
        <v>-9.7440072716042075E-2</v>
      </c>
      <c r="AD61" s="133"/>
    </row>
    <row r="62" spans="1:30">
      <c r="A62" t="s">
        <v>354</v>
      </c>
      <c r="B62">
        <v>0</v>
      </c>
      <c r="C62" t="s">
        <v>468</v>
      </c>
      <c r="D62" t="s">
        <v>469</v>
      </c>
      <c r="F62" t="s">
        <v>486</v>
      </c>
      <c r="G62" t="s">
        <v>466</v>
      </c>
      <c r="H62" s="95">
        <f>'Raw Results 2024'!G62</f>
        <v>5323643.42</v>
      </c>
      <c r="I62" s="95">
        <f>'Raw Results 2024'!H62</f>
        <v>7375663.1799999997</v>
      </c>
      <c r="J62" s="95">
        <f>'Raw Results 2024'!J62</f>
        <v>7183633.1900000004</v>
      </c>
      <c r="K62" s="99">
        <f t="shared" si="0"/>
        <v>-2.6035623551887752E-2</v>
      </c>
      <c r="L62" s="95">
        <f>'Raw Results 2024'!L62</f>
        <v>135930429.58000001</v>
      </c>
      <c r="M62" s="95">
        <f>'Raw Results 2024'!N62</f>
        <v>169869552.69</v>
      </c>
      <c r="N62" s="95">
        <f>'Raw Results 2024'!P62</f>
        <v>177772241.78999999</v>
      </c>
      <c r="O62" s="99">
        <f t="shared" si="1"/>
        <v>4.6522104608245164E-2</v>
      </c>
      <c r="P62" s="95">
        <f>'Raw Results 2024'!R62</f>
        <v>11819915.18</v>
      </c>
      <c r="Q62" s="95">
        <f>'Raw Results 2024'!T62</f>
        <v>14771095.689999999</v>
      </c>
      <c r="R62" s="95">
        <f>'Raw Results 2024'!V62</f>
        <v>15812035.74</v>
      </c>
      <c r="S62" s="99">
        <f t="shared" si="2"/>
        <v>7.047141741182511E-2</v>
      </c>
      <c r="T62" s="95"/>
      <c r="U62" s="95"/>
      <c r="V62" s="95"/>
      <c r="W62" s="99"/>
      <c r="Z62" s="98">
        <f t="shared" si="3"/>
        <v>153073988.18000001</v>
      </c>
      <c r="AA62" s="98">
        <f t="shared" si="4"/>
        <v>192016311.56</v>
      </c>
      <c r="AB62" s="98">
        <f t="shared" si="5"/>
        <v>200767910.72</v>
      </c>
      <c r="AC62" s="99">
        <f t="shared" si="6"/>
        <v>4.557737355175346E-2</v>
      </c>
      <c r="AD62" s="133"/>
    </row>
    <row r="63" spans="1:30">
      <c r="A63" t="s">
        <v>354</v>
      </c>
      <c r="B63">
        <v>0</v>
      </c>
      <c r="C63" t="s">
        <v>468</v>
      </c>
      <c r="D63" t="s">
        <v>469</v>
      </c>
      <c r="F63" t="s">
        <v>487</v>
      </c>
      <c r="G63" t="s">
        <v>466</v>
      </c>
      <c r="H63" s="95">
        <f>'Raw Results 2024'!G63</f>
        <v>0</v>
      </c>
      <c r="I63" s="95">
        <f>'Raw Results 2024'!H63</f>
        <v>0</v>
      </c>
      <c r="J63" s="95">
        <f>'Raw Results 2024'!J63</f>
        <v>0</v>
      </c>
      <c r="K63" s="99" t="e">
        <f t="shared" si="0"/>
        <v>#DIV/0!</v>
      </c>
      <c r="L63" s="95">
        <f>'Raw Results 2024'!L63</f>
        <v>0</v>
      </c>
      <c r="M63" s="95">
        <f>'Raw Results 2024'!N63</f>
        <v>0</v>
      </c>
      <c r="N63" s="95">
        <f>'Raw Results 2024'!P63</f>
        <v>0</v>
      </c>
      <c r="O63" s="99" t="e">
        <f t="shared" si="1"/>
        <v>#DIV/0!</v>
      </c>
      <c r="P63" s="95">
        <f>'Raw Results 2024'!R63</f>
        <v>0</v>
      </c>
      <c r="Q63" s="95">
        <f>'Raw Results 2024'!T63</f>
        <v>0</v>
      </c>
      <c r="R63" s="95">
        <f>'Raw Results 2024'!V63</f>
        <v>0</v>
      </c>
      <c r="S63" s="99" t="e">
        <f t="shared" si="2"/>
        <v>#DIV/0!</v>
      </c>
      <c r="T63" s="95"/>
      <c r="U63" s="95"/>
      <c r="V63" s="95"/>
      <c r="W63" s="99"/>
      <c r="Z63" s="98">
        <f t="shared" si="3"/>
        <v>0</v>
      </c>
      <c r="AA63" s="98">
        <f t="shared" si="4"/>
        <v>0</v>
      </c>
      <c r="AB63" s="98">
        <f t="shared" si="5"/>
        <v>0</v>
      </c>
      <c r="AC63" s="99" t="e">
        <f t="shared" si="6"/>
        <v>#DIV/0!</v>
      </c>
      <c r="AD63" s="133"/>
    </row>
    <row r="64" spans="1:30">
      <c r="A64" t="s">
        <v>354</v>
      </c>
      <c r="B64">
        <v>0</v>
      </c>
      <c r="C64" t="s">
        <v>468</v>
      </c>
      <c r="D64" t="s">
        <v>469</v>
      </c>
      <c r="F64" t="s">
        <v>488</v>
      </c>
      <c r="G64" t="s">
        <v>466</v>
      </c>
      <c r="H64" s="95">
        <f>'Raw Results 2024'!G64</f>
        <v>0</v>
      </c>
      <c r="I64" s="95">
        <f>'Raw Results 2024'!H64</f>
        <v>0</v>
      </c>
      <c r="J64" s="95">
        <f>'Raw Results 2024'!J64</f>
        <v>0</v>
      </c>
      <c r="K64" s="99" t="e">
        <f t="shared" si="0"/>
        <v>#DIV/0!</v>
      </c>
      <c r="L64" s="95">
        <f>'Raw Results 2024'!L64</f>
        <v>0</v>
      </c>
      <c r="M64" s="95">
        <f>'Raw Results 2024'!N64</f>
        <v>0</v>
      </c>
      <c r="N64" s="95">
        <f>'Raw Results 2024'!P64</f>
        <v>0</v>
      </c>
      <c r="O64" s="99" t="e">
        <f t="shared" si="1"/>
        <v>#DIV/0!</v>
      </c>
      <c r="P64" s="95">
        <f>'Raw Results 2024'!R64</f>
        <v>0</v>
      </c>
      <c r="Q64" s="95">
        <f>'Raw Results 2024'!T64</f>
        <v>0</v>
      </c>
      <c r="R64" s="95">
        <f>'Raw Results 2024'!V64</f>
        <v>0</v>
      </c>
      <c r="S64" s="99" t="e">
        <f t="shared" si="2"/>
        <v>#DIV/0!</v>
      </c>
      <c r="T64" s="95"/>
      <c r="U64" s="95"/>
      <c r="V64" s="95"/>
      <c r="W64" s="99"/>
      <c r="Z64" s="98">
        <f t="shared" si="3"/>
        <v>0</v>
      </c>
      <c r="AA64" s="98">
        <f t="shared" si="4"/>
        <v>0</v>
      </c>
      <c r="AB64" s="98">
        <f t="shared" si="5"/>
        <v>0</v>
      </c>
      <c r="AC64" s="99" t="e">
        <f t="shared" si="6"/>
        <v>#DIV/0!</v>
      </c>
      <c r="AD64" s="133"/>
    </row>
    <row r="65" spans="1:30">
      <c r="A65" t="s">
        <v>354</v>
      </c>
      <c r="B65">
        <v>0</v>
      </c>
      <c r="C65" t="s">
        <v>468</v>
      </c>
      <c r="D65" t="s">
        <v>469</v>
      </c>
      <c r="F65" t="s">
        <v>489</v>
      </c>
      <c r="G65" t="s">
        <v>466</v>
      </c>
      <c r="H65" s="95">
        <f>'Raw Results 2024'!G65</f>
        <v>3530310.71</v>
      </c>
      <c r="I65" s="95">
        <f>'Raw Results 2024'!H65</f>
        <v>4890512.58</v>
      </c>
      <c r="J65" s="95">
        <f>'Raw Results 2024'!J65</f>
        <v>5420055.0499999998</v>
      </c>
      <c r="K65" s="99">
        <f t="shared" si="0"/>
        <v>0.10827954357291517</v>
      </c>
      <c r="L65" s="95">
        <f>'Raw Results 2024'!L65</f>
        <v>45347604.850000001</v>
      </c>
      <c r="M65" s="95">
        <f>'Raw Results 2024'!N65</f>
        <v>56669995.32</v>
      </c>
      <c r="N65" s="95">
        <f>'Raw Results 2024'!P65</f>
        <v>71722180.769999996</v>
      </c>
      <c r="O65" s="99">
        <f t="shared" si="1"/>
        <v>0.2656111998069598</v>
      </c>
      <c r="P65" s="95">
        <f>'Raw Results 2024'!R65</f>
        <v>3943226.29</v>
      </c>
      <c r="Q65" s="95">
        <f>'Raw Results 2024'!T65</f>
        <v>4927772.08</v>
      </c>
      <c r="R65" s="95">
        <f>'Raw Results 2024'!V65</f>
        <v>8640223.1199999992</v>
      </c>
      <c r="S65" s="99">
        <f t="shared" si="2"/>
        <v>0.75337312272770518</v>
      </c>
      <c r="T65" s="95"/>
      <c r="U65" s="95"/>
      <c r="V65" s="95"/>
      <c r="W65" s="99"/>
      <c r="Z65" s="98">
        <f t="shared" si="3"/>
        <v>52821141.850000001</v>
      </c>
      <c r="AA65" s="98">
        <f t="shared" si="4"/>
        <v>66488279.979999997</v>
      </c>
      <c r="AB65" s="98">
        <f t="shared" si="5"/>
        <v>85782458.939999998</v>
      </c>
      <c r="AC65" s="99">
        <f t="shared" si="6"/>
        <v>0.29018917267530137</v>
      </c>
      <c r="AD65" s="133"/>
    </row>
    <row r="66" spans="1:30">
      <c r="A66" t="s">
        <v>354</v>
      </c>
      <c r="B66">
        <v>0</v>
      </c>
      <c r="C66" t="s">
        <v>468</v>
      </c>
      <c r="D66" t="s">
        <v>469</v>
      </c>
      <c r="F66" t="s">
        <v>490</v>
      </c>
      <c r="G66" t="s">
        <v>466</v>
      </c>
      <c r="H66" s="95">
        <f>'Raw Results 2024'!G66</f>
        <v>11890820.859999999</v>
      </c>
      <c r="I66" s="95">
        <f>'Raw Results 2024'!H66</f>
        <v>16471827.550000001</v>
      </c>
      <c r="J66" s="95">
        <f>'Raw Results 2024'!J66</f>
        <v>17612199.73</v>
      </c>
      <c r="K66" s="99">
        <f t="shared" si="0"/>
        <v>6.9231673081715794E-2</v>
      </c>
      <c r="L66" s="95">
        <f>'Raw Results 2024'!L66</f>
        <v>120253451.28</v>
      </c>
      <c r="M66" s="95">
        <f>'Raw Results 2024'!N66</f>
        <v>150278328.00999999</v>
      </c>
      <c r="N66" s="95">
        <f>'Raw Results 2024'!P66</f>
        <v>144420982.72</v>
      </c>
      <c r="O66" s="99">
        <f t="shared" si="1"/>
        <v>-3.897664665000948E-2</v>
      </c>
      <c r="P66" s="95">
        <f>'Raw Results 2024'!R66</f>
        <v>10456701.35</v>
      </c>
      <c r="Q66" s="95">
        <f>'Raw Results 2024'!T66</f>
        <v>13067543.35</v>
      </c>
      <c r="R66" s="95">
        <f>'Raw Results 2024'!V66</f>
        <v>14090194.109999999</v>
      </c>
      <c r="S66" s="99">
        <f t="shared" si="2"/>
        <v>7.8258838146498269E-2</v>
      </c>
      <c r="T66" s="95"/>
      <c r="U66" s="95"/>
      <c r="V66" s="95"/>
      <c r="W66" s="99"/>
      <c r="Z66" s="98">
        <f t="shared" si="3"/>
        <v>142600973.49000001</v>
      </c>
      <c r="AA66" s="98">
        <f t="shared" si="4"/>
        <v>179817698.91</v>
      </c>
      <c r="AB66" s="98">
        <f t="shared" si="5"/>
        <v>176123376.56</v>
      </c>
      <c r="AC66" s="99">
        <f t="shared" si="6"/>
        <v>-2.0544820517634517E-2</v>
      </c>
      <c r="AD66" s="133"/>
    </row>
    <row r="67" spans="1:30">
      <c r="A67" t="s">
        <v>354</v>
      </c>
      <c r="B67">
        <v>0</v>
      </c>
      <c r="C67" t="s">
        <v>468</v>
      </c>
      <c r="D67" t="s">
        <v>469</v>
      </c>
      <c r="F67" t="s">
        <v>491</v>
      </c>
      <c r="G67" t="s">
        <v>466</v>
      </c>
      <c r="H67" s="95">
        <f>'Raw Results 2024'!G67</f>
        <v>7580572.9000000004</v>
      </c>
      <c r="I67" s="95">
        <f>'Raw Results 2024'!H67</f>
        <v>10501309.99</v>
      </c>
      <c r="J67" s="95">
        <f>'Raw Results 2024'!J67</f>
        <v>10122429.220000001</v>
      </c>
      <c r="K67" s="99">
        <f t="shared" ref="K67:K75" si="9">(J67-I67)/I67</f>
        <v>-3.6079381559138181E-2</v>
      </c>
      <c r="L67" s="95">
        <f>'Raw Results 2024'!L67</f>
        <v>116832318.89</v>
      </c>
      <c r="M67" s="95">
        <f>'Raw Results 2024'!N67</f>
        <v>146003013.55000001</v>
      </c>
      <c r="N67" s="95">
        <f>'Raw Results 2024'!P67</f>
        <v>114354625.40000001</v>
      </c>
      <c r="O67" s="99">
        <f t="shared" ref="O67:O75" si="10">(N67-M67)/M67</f>
        <v>-0.21676530765004887</v>
      </c>
      <c r="P67" s="95">
        <f>'Raw Results 2024'!R67</f>
        <v>10159219.51</v>
      </c>
      <c r="Q67" s="95">
        <f>'Raw Results 2024'!T67</f>
        <v>12695776.130000001</v>
      </c>
      <c r="R67" s="95">
        <f>'Raw Results 2024'!V67</f>
        <v>9866221.6699999999</v>
      </c>
      <c r="S67" s="99">
        <f t="shared" ref="S67:S75" si="11">(R67-Q67)/Q67</f>
        <v>-0.22287368893610135</v>
      </c>
      <c r="T67" s="95"/>
      <c r="U67" s="95"/>
      <c r="V67" s="95"/>
      <c r="W67" s="99"/>
      <c r="Z67" s="98">
        <f t="shared" ref="Z67:Z75" si="12">H67+L67+P67+T67</f>
        <v>134572111.30000001</v>
      </c>
      <c r="AA67" s="98">
        <f t="shared" ref="AA67:AA75" si="13">I67+M67+Q67+U67</f>
        <v>169200099.67000002</v>
      </c>
      <c r="AB67" s="98">
        <f t="shared" ref="AB67:AB75" si="14">J67+N67+R67+V67</f>
        <v>134343276.28999999</v>
      </c>
      <c r="AC67" s="99">
        <f t="shared" ref="AC67:AC75" si="15">(AB67-AA67)/AA67</f>
        <v>-0.20600947309122836</v>
      </c>
      <c r="AD67" s="133"/>
    </row>
    <row r="68" spans="1:30">
      <c r="A68" t="s">
        <v>354</v>
      </c>
      <c r="B68">
        <v>0</v>
      </c>
      <c r="C68" t="s">
        <v>468</v>
      </c>
      <c r="D68" t="s">
        <v>469</v>
      </c>
      <c r="F68" t="s">
        <v>492</v>
      </c>
      <c r="G68" t="s">
        <v>466</v>
      </c>
      <c r="H68" s="95">
        <f>'Raw Results 2024'!G68</f>
        <v>4502042.75</v>
      </c>
      <c r="I68" s="95">
        <f>'Raw Results 2024'!H68</f>
        <v>6237373.2400000002</v>
      </c>
      <c r="J68" s="95">
        <f>'Raw Results 2024'!J68</f>
        <v>6002423.1299999999</v>
      </c>
      <c r="K68" s="99">
        <f t="shared" si="9"/>
        <v>-3.7668117805308751E-2</v>
      </c>
      <c r="L68" s="95">
        <f>'Raw Results 2024'!L68</f>
        <v>117927685.39</v>
      </c>
      <c r="M68" s="95">
        <f>'Raw Results 2024'!N68</f>
        <v>147371881.56</v>
      </c>
      <c r="N68" s="95">
        <f>'Raw Results 2024'!P68</f>
        <v>152507270.15000001</v>
      </c>
      <c r="O68" s="99">
        <f t="shared" si="10"/>
        <v>3.4846461452751526E-2</v>
      </c>
      <c r="P68" s="95">
        <f>'Raw Results 2024'!R68</f>
        <v>10254475.35</v>
      </c>
      <c r="Q68" s="95">
        <f>'Raw Results 2024'!T68</f>
        <v>12814798.949999999</v>
      </c>
      <c r="R68" s="95">
        <f>'Raw Results 2024'!V68</f>
        <v>13800808.27</v>
      </c>
      <c r="S68" s="99">
        <f t="shared" si="11"/>
        <v>7.694301907093129E-2</v>
      </c>
      <c r="T68" s="95"/>
      <c r="U68" s="95"/>
      <c r="V68" s="95"/>
      <c r="W68" s="99"/>
      <c r="Z68" s="98">
        <f t="shared" si="12"/>
        <v>132684203.48999999</v>
      </c>
      <c r="AA68" s="98">
        <f t="shared" si="13"/>
        <v>166424053.75</v>
      </c>
      <c r="AB68" s="98">
        <f t="shared" si="14"/>
        <v>172310501.55000001</v>
      </c>
      <c r="AC68" s="99">
        <f t="shared" si="15"/>
        <v>3.5370174366997187E-2</v>
      </c>
      <c r="AD68" s="133"/>
    </row>
    <row r="69" spans="1:30">
      <c r="A69" t="s">
        <v>354</v>
      </c>
      <c r="B69">
        <v>0</v>
      </c>
      <c r="C69" t="s">
        <v>468</v>
      </c>
      <c r="D69" t="s">
        <v>469</v>
      </c>
      <c r="F69" t="s">
        <v>467</v>
      </c>
      <c r="G69" t="s">
        <v>457</v>
      </c>
      <c r="H69" s="95">
        <f>'Raw Results 2024'!G69</f>
        <v>13081.31</v>
      </c>
      <c r="I69" s="95">
        <f>'Raw Results 2024'!H69</f>
        <v>18121.68</v>
      </c>
      <c r="J69" s="95">
        <f>'Raw Results 2024'!J69</f>
        <v>16199.95</v>
      </c>
      <c r="K69" s="99">
        <f t="shared" si="9"/>
        <v>-0.10604590744345996</v>
      </c>
      <c r="L69" s="95">
        <f>'Raw Results 2024'!L69</f>
        <v>203977.87</v>
      </c>
      <c r="M69" s="95">
        <f>'Raw Results 2024'!N69</f>
        <v>254907.07</v>
      </c>
      <c r="N69" s="95">
        <f>'Raw Results 2024'!P69</f>
        <v>254430.62</v>
      </c>
      <c r="O69" s="99">
        <f t="shared" si="10"/>
        <v>-1.8691125357959339E-3</v>
      </c>
      <c r="P69" s="95">
        <f>'Raw Results 2024'!R69</f>
        <v>17453.29</v>
      </c>
      <c r="Q69" s="95">
        <f>'Raw Results 2024'!T69</f>
        <v>21811.02</v>
      </c>
      <c r="R69" s="95">
        <f>'Raw Results 2024'!V69</f>
        <v>23854.400000000001</v>
      </c>
      <c r="S69" s="99">
        <f t="shared" si="11"/>
        <v>9.3685668987511864E-2</v>
      </c>
      <c r="T69" s="95"/>
      <c r="U69" s="95"/>
      <c r="V69" s="95"/>
      <c r="W69" s="99"/>
      <c r="Z69" s="98">
        <f t="shared" si="12"/>
        <v>234512.47</v>
      </c>
      <c r="AA69" s="98">
        <f t="shared" si="13"/>
        <v>294839.77</v>
      </c>
      <c r="AB69" s="98">
        <f t="shared" si="14"/>
        <v>294484.97000000003</v>
      </c>
      <c r="AC69" s="99">
        <f t="shared" si="15"/>
        <v>-1.2033654754241205E-3</v>
      </c>
      <c r="AD69" s="133"/>
    </row>
    <row r="70" spans="1:30">
      <c r="A70" t="s">
        <v>354</v>
      </c>
      <c r="B70">
        <v>1</v>
      </c>
      <c r="C70" t="s">
        <v>493</v>
      </c>
      <c r="D70" t="s">
        <v>494</v>
      </c>
      <c r="F70" t="s">
        <v>495</v>
      </c>
      <c r="G70" t="s">
        <v>381</v>
      </c>
      <c r="H70" s="95">
        <f>'Raw Results 2024'!G70</f>
        <v>0</v>
      </c>
      <c r="I70" s="95">
        <f>'Raw Results 2024'!H70</f>
        <v>0</v>
      </c>
      <c r="J70" s="95">
        <f>'Raw Results 2024'!J70</f>
        <v>0</v>
      </c>
      <c r="K70" s="99" t="e">
        <f t="shared" si="9"/>
        <v>#DIV/0!</v>
      </c>
      <c r="L70" s="95">
        <f>'Raw Results 2024'!L70</f>
        <v>0</v>
      </c>
      <c r="M70" s="95">
        <f>'Raw Results 2024'!N70</f>
        <v>0</v>
      </c>
      <c r="N70" s="95">
        <f>'Raw Results 2024'!P70</f>
        <v>0</v>
      </c>
      <c r="O70" s="99" t="e">
        <f t="shared" si="10"/>
        <v>#DIV/0!</v>
      </c>
      <c r="P70" s="95">
        <f>'Raw Results 2024'!R70</f>
        <v>0</v>
      </c>
      <c r="Q70" s="95">
        <f>'Raw Results 2024'!T70</f>
        <v>0</v>
      </c>
      <c r="R70" s="95">
        <f>'Raw Results 2024'!V70</f>
        <v>0</v>
      </c>
      <c r="S70" s="99" t="e">
        <f t="shared" si="11"/>
        <v>#DIV/0!</v>
      </c>
      <c r="T70" s="95"/>
      <c r="U70" s="95"/>
      <c r="V70" s="95"/>
      <c r="W70" s="99"/>
      <c r="Z70" s="98">
        <f t="shared" si="12"/>
        <v>0</v>
      </c>
      <c r="AA70" s="98">
        <f t="shared" si="13"/>
        <v>0</v>
      </c>
      <c r="AB70" s="98">
        <f t="shared" si="14"/>
        <v>0</v>
      </c>
      <c r="AC70" s="99" t="e">
        <f t="shared" si="15"/>
        <v>#DIV/0!</v>
      </c>
      <c r="AD70" s="133"/>
    </row>
    <row r="71" spans="1:30">
      <c r="A71" t="s">
        <v>354</v>
      </c>
      <c r="B71">
        <v>1</v>
      </c>
      <c r="C71" t="s">
        <v>493</v>
      </c>
      <c r="D71" t="s">
        <v>494</v>
      </c>
      <c r="F71" t="s">
        <v>465</v>
      </c>
      <c r="G71" t="s">
        <v>466</v>
      </c>
      <c r="H71" s="95">
        <f>'Raw Results 2024'!G71</f>
        <v>0</v>
      </c>
      <c r="I71" s="95">
        <f>'Raw Results 2024'!H71</f>
        <v>0</v>
      </c>
      <c r="J71" s="95">
        <f>'Raw Results 2024'!J71</f>
        <v>0</v>
      </c>
      <c r="K71" s="99" t="e">
        <f t="shared" si="9"/>
        <v>#DIV/0!</v>
      </c>
      <c r="L71" s="95">
        <f>'Raw Results 2024'!L71</f>
        <v>0</v>
      </c>
      <c r="M71" s="95">
        <f>'Raw Results 2024'!N71</f>
        <v>0</v>
      </c>
      <c r="N71" s="95">
        <f>'Raw Results 2024'!P71</f>
        <v>0</v>
      </c>
      <c r="O71" s="99" t="e">
        <f t="shared" si="10"/>
        <v>#DIV/0!</v>
      </c>
      <c r="P71" s="95">
        <f>'Raw Results 2024'!R71</f>
        <v>0</v>
      </c>
      <c r="Q71" s="95">
        <f>'Raw Results 2024'!T71</f>
        <v>0</v>
      </c>
      <c r="R71" s="95">
        <f>'Raw Results 2024'!V71</f>
        <v>0</v>
      </c>
      <c r="S71" s="99" t="e">
        <f t="shared" si="11"/>
        <v>#DIV/0!</v>
      </c>
      <c r="T71" s="95"/>
      <c r="U71" s="95"/>
      <c r="V71" s="95"/>
      <c r="W71" s="99"/>
      <c r="Z71" s="98">
        <f t="shared" si="12"/>
        <v>0</v>
      </c>
      <c r="AA71" s="98">
        <f t="shared" si="13"/>
        <v>0</v>
      </c>
      <c r="AB71" s="98">
        <f t="shared" si="14"/>
        <v>0</v>
      </c>
      <c r="AC71" s="99" t="e">
        <f t="shared" si="15"/>
        <v>#DIV/0!</v>
      </c>
      <c r="AD71" s="133"/>
    </row>
    <row r="72" spans="1:30">
      <c r="A72" t="s">
        <v>354</v>
      </c>
      <c r="B72">
        <v>1</v>
      </c>
      <c r="C72" t="s">
        <v>493</v>
      </c>
      <c r="D72" t="s">
        <v>493</v>
      </c>
      <c r="F72" t="s">
        <v>231</v>
      </c>
      <c r="G72" t="s">
        <v>381</v>
      </c>
      <c r="H72" s="95">
        <f>'Raw Results 2024'!G72</f>
        <v>35518175</v>
      </c>
      <c r="I72" s="95">
        <f>'Raw Results 2024'!H72</f>
        <v>49203057.75</v>
      </c>
      <c r="J72" s="95">
        <f>'Raw Results 2024'!J72</f>
        <v>58357173.880000003</v>
      </c>
      <c r="K72" s="99">
        <f t="shared" si="9"/>
        <v>0.18604770818333954</v>
      </c>
      <c r="L72" s="95">
        <f>'Raw Results 2024'!L72</f>
        <v>77751049.950000003</v>
      </c>
      <c r="M72" s="95">
        <f>'Raw Results 2024'!N72</f>
        <v>97163932.950000003</v>
      </c>
      <c r="N72" s="95">
        <f>'Raw Results 2024'!P72</f>
        <v>137886382.72</v>
      </c>
      <c r="O72" s="99">
        <f t="shared" si="10"/>
        <v>0.41911075986349311</v>
      </c>
      <c r="P72" s="95">
        <f>'Raw Results 2024'!R72</f>
        <v>14680780.92</v>
      </c>
      <c r="Q72" s="95">
        <f>'Raw Results 2024'!T72</f>
        <v>18346282.199999999</v>
      </c>
      <c r="R72" s="95">
        <f>'Raw Results 2024'!V72</f>
        <v>27044748.899999999</v>
      </c>
      <c r="S72" s="99">
        <f t="shared" si="11"/>
        <v>0.47412694327791383</v>
      </c>
      <c r="T72" s="95"/>
      <c r="U72" s="95"/>
      <c r="V72" s="95"/>
      <c r="W72" s="99"/>
      <c r="Z72" s="98">
        <f t="shared" si="12"/>
        <v>127950005.87</v>
      </c>
      <c r="AA72" s="98">
        <f t="shared" si="13"/>
        <v>164713272.89999998</v>
      </c>
      <c r="AB72" s="98">
        <f t="shared" si="14"/>
        <v>223288305.5</v>
      </c>
      <c r="AC72" s="99">
        <f t="shared" si="15"/>
        <v>0.35561816949361358</v>
      </c>
      <c r="AD72" s="133"/>
    </row>
    <row r="73" spans="1:30">
      <c r="A73" t="s">
        <v>354</v>
      </c>
      <c r="B73">
        <v>1</v>
      </c>
      <c r="C73" t="s">
        <v>493</v>
      </c>
      <c r="D73" t="s">
        <v>493</v>
      </c>
      <c r="F73" t="s">
        <v>482</v>
      </c>
      <c r="G73" t="s">
        <v>381</v>
      </c>
      <c r="H73" s="95">
        <f>'Raw Results 2024'!G73</f>
        <v>1196316.75</v>
      </c>
      <c r="I73" s="95">
        <f>'Raw Results 2024'!H73</f>
        <v>1657250.95</v>
      </c>
      <c r="J73" s="95">
        <f>'Raw Results 2024'!J73</f>
        <v>1842874</v>
      </c>
      <c r="K73" s="99">
        <f t="shared" si="9"/>
        <v>0.11200660346581792</v>
      </c>
      <c r="L73" s="95">
        <f>'Raw Results 2024'!L73</f>
        <v>11473301.84</v>
      </c>
      <c r="M73" s="95">
        <f>'Raw Results 2024'!N73</f>
        <v>14337955.960000001</v>
      </c>
      <c r="N73" s="95">
        <f>'Raw Results 2024'!P73</f>
        <v>17007035.77</v>
      </c>
      <c r="O73" s="99">
        <f t="shared" si="10"/>
        <v>0.18615483388609869</v>
      </c>
      <c r="P73" s="95">
        <f>'Raw Results 2024'!R73</f>
        <v>997667.36</v>
      </c>
      <c r="Q73" s="95">
        <f>'Raw Results 2024'!T73</f>
        <v>1246765.23</v>
      </c>
      <c r="R73" s="95">
        <f>'Raw Results 2024'!V73</f>
        <v>1760846.81</v>
      </c>
      <c r="S73" s="99">
        <f t="shared" si="11"/>
        <v>0.41233230413395477</v>
      </c>
      <c r="T73" s="95"/>
      <c r="U73" s="95"/>
      <c r="V73" s="95"/>
      <c r="W73" s="99"/>
      <c r="Z73" s="98">
        <f t="shared" si="12"/>
        <v>13667285.949999999</v>
      </c>
      <c r="AA73" s="98">
        <f t="shared" si="13"/>
        <v>17241972.140000001</v>
      </c>
      <c r="AB73" s="98">
        <f t="shared" si="14"/>
        <v>20610756.579999998</v>
      </c>
      <c r="AC73" s="99">
        <f t="shared" si="15"/>
        <v>0.19538277945506513</v>
      </c>
      <c r="AD73" s="133"/>
    </row>
    <row r="74" spans="1:30">
      <c r="A74" t="s">
        <v>354</v>
      </c>
      <c r="B74">
        <v>1</v>
      </c>
      <c r="C74" t="s">
        <v>493</v>
      </c>
      <c r="D74" t="s">
        <v>493</v>
      </c>
      <c r="F74" t="s">
        <v>383</v>
      </c>
      <c r="G74" t="s">
        <v>384</v>
      </c>
      <c r="H74" s="95">
        <f>'Raw Results 2024'!G74</f>
        <v>104171872.31</v>
      </c>
      <c r="I74" s="95">
        <f>'Raw Results 2024'!H74</f>
        <v>144310219.72999999</v>
      </c>
      <c r="J74" s="95">
        <f>'Raw Results 2024'!J74</f>
        <v>145909848.55000001</v>
      </c>
      <c r="K74" s="99">
        <f t="shared" si="9"/>
        <v>1.1084653761825596E-2</v>
      </c>
      <c r="L74" s="95">
        <f>'Raw Results 2024'!L74</f>
        <v>1431221727.74</v>
      </c>
      <c r="M74" s="95">
        <f>'Raw Results 2024'!N74</f>
        <v>1788569207.95</v>
      </c>
      <c r="N74" s="95">
        <f>'Raw Results 2024'!P74</f>
        <v>1681519839.71</v>
      </c>
      <c r="O74" s="99">
        <f t="shared" si="10"/>
        <v>-5.9851957511164199E-2</v>
      </c>
      <c r="P74" s="95">
        <f>'Raw Results 2024'!R74</f>
        <v>125401753.54000001</v>
      </c>
      <c r="Q74" s="95">
        <f>'Raw Results 2024'!T74</f>
        <v>156712059.09999999</v>
      </c>
      <c r="R74" s="95">
        <f>'Raw Results 2024'!V74</f>
        <v>160739510.53</v>
      </c>
      <c r="S74" s="99">
        <f t="shared" si="11"/>
        <v>2.5699690586223733E-2</v>
      </c>
      <c r="T74" s="95"/>
      <c r="U74" s="95"/>
      <c r="V74" s="95"/>
      <c r="W74" s="99"/>
      <c r="Z74" s="98">
        <f t="shared" si="12"/>
        <v>1660795353.5899999</v>
      </c>
      <c r="AA74" s="98">
        <f t="shared" si="13"/>
        <v>2089591486.78</v>
      </c>
      <c r="AB74" s="98">
        <f t="shared" si="14"/>
        <v>1988169198.79</v>
      </c>
      <c r="AC74" s="99">
        <f t="shared" si="15"/>
        <v>-4.8536897585799807E-2</v>
      </c>
      <c r="AD74" s="133"/>
    </row>
    <row r="75" spans="1:30">
      <c r="A75" t="s">
        <v>354</v>
      </c>
      <c r="B75">
        <v>1</v>
      </c>
      <c r="C75" t="s">
        <v>493</v>
      </c>
      <c r="D75" t="s">
        <v>493</v>
      </c>
      <c r="F75" t="s">
        <v>465</v>
      </c>
      <c r="G75" t="s">
        <v>466</v>
      </c>
      <c r="H75" s="95">
        <f>'Raw Results 2024'!G75</f>
        <v>72053266.159999996</v>
      </c>
      <c r="I75" s="95">
        <f>'Raw Results 2024'!H75</f>
        <v>99815993.629999995</v>
      </c>
      <c r="J75" s="95">
        <f>'Raw Results 2024'!J75</f>
        <v>100468211.91</v>
      </c>
      <c r="K75" s="99">
        <f t="shared" si="9"/>
        <v>6.5342061555551658E-3</v>
      </c>
      <c r="L75" s="95">
        <f>'Raw Results 2024'!L75</f>
        <v>956731994.66999996</v>
      </c>
      <c r="M75" s="95">
        <f>'Raw Results 2024'!N75</f>
        <v>1195608865.5999999</v>
      </c>
      <c r="N75" s="95">
        <f>'Raw Results 2024'!P75</f>
        <v>1126153610.8399999</v>
      </c>
      <c r="O75" s="99">
        <f t="shared" si="10"/>
        <v>-5.8091953613228539E-2</v>
      </c>
      <c r="P75" s="95">
        <f>'Raw Results 2024'!R75</f>
        <v>84469504.959999993</v>
      </c>
      <c r="Q75" s="95">
        <f>'Raw Results 2024'!T75</f>
        <v>105559847.83</v>
      </c>
      <c r="R75" s="95">
        <f>'Raw Results 2024'!V75</f>
        <v>108645310.53</v>
      </c>
      <c r="S75" s="99">
        <f t="shared" si="11"/>
        <v>2.9229510684488858E-2</v>
      </c>
      <c r="T75" s="95"/>
      <c r="U75" s="95"/>
      <c r="V75" s="95"/>
      <c r="W75" s="99"/>
      <c r="Z75" s="98">
        <f t="shared" si="12"/>
        <v>1113254765.79</v>
      </c>
      <c r="AA75" s="98">
        <f t="shared" si="13"/>
        <v>1400984707.0599999</v>
      </c>
      <c r="AB75" s="98">
        <f t="shared" si="14"/>
        <v>1335267133.28</v>
      </c>
      <c r="AC75" s="99">
        <f t="shared" si="15"/>
        <v>-4.6908130723218158E-2</v>
      </c>
      <c r="AD75" s="133"/>
    </row>
    <row r="76" spans="1:30">
      <c r="AD76" s="133"/>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C3D7E-92F0-4734-A9E3-D8443EFA51C8}">
  <sheetPr>
    <tabColor rgb="FFFFC000"/>
  </sheetPr>
  <dimension ref="A1:AE60"/>
  <sheetViews>
    <sheetView tabSelected="1" topLeftCell="M1" workbookViewId="0">
      <selection activeCell="AD14" sqref="AD14"/>
    </sheetView>
  </sheetViews>
  <sheetFormatPr defaultColWidth="8.85546875" defaultRowHeight="14.45"/>
  <cols>
    <col min="1" max="1" width="52.28515625" bestFit="1" customWidth="1"/>
    <col min="2" max="2" width="18.85546875" bestFit="1" customWidth="1"/>
    <col min="3" max="3" width="16.28515625" bestFit="1" customWidth="1"/>
    <col min="4" max="4" width="13.85546875" bestFit="1" customWidth="1"/>
    <col min="5" max="5" width="14.7109375" bestFit="1" customWidth="1"/>
    <col min="6" max="6" width="14.7109375" customWidth="1"/>
    <col min="7" max="7" width="15.85546875" bestFit="1" customWidth="1"/>
    <col min="8" max="8" width="13" bestFit="1" customWidth="1"/>
    <col min="9" max="9" width="12.42578125" bestFit="1" customWidth="1"/>
    <col min="10" max="10" width="12.42578125" customWidth="1"/>
    <col min="11" max="11" width="14.85546875" bestFit="1" customWidth="1"/>
    <col min="12" max="12" width="12.28515625" bestFit="1" customWidth="1"/>
    <col min="13" max="13" width="14.7109375" bestFit="1" customWidth="1"/>
    <col min="14" max="14" width="13.85546875" bestFit="1" customWidth="1"/>
    <col min="15" max="15" width="11.28515625" bestFit="1" customWidth="1"/>
    <col min="16" max="16" width="14.7109375" bestFit="1" customWidth="1"/>
    <col min="17" max="19" width="16.28515625" bestFit="1" customWidth="1"/>
    <col min="21" max="21" width="9.28515625" bestFit="1" customWidth="1"/>
    <col min="22" max="23" width="13.85546875" bestFit="1" customWidth="1"/>
    <col min="28" max="28" width="37.42578125" bestFit="1" customWidth="1"/>
    <col min="29" max="29" width="13.85546875" bestFit="1" customWidth="1"/>
    <col min="30" max="30" width="12.85546875" bestFit="1" customWidth="1"/>
  </cols>
  <sheetData>
    <row r="1" spans="1:31" ht="14.45" customHeight="1">
      <c r="C1" s="263" t="s">
        <v>0</v>
      </c>
      <c r="D1" s="264"/>
      <c r="E1" s="265"/>
      <c r="F1" s="187"/>
      <c r="G1" s="263" t="s">
        <v>553</v>
      </c>
      <c r="H1" s="264"/>
      <c r="I1" s="265"/>
      <c r="J1" s="187"/>
      <c r="K1" s="263" t="s">
        <v>554</v>
      </c>
      <c r="L1" s="264"/>
      <c r="M1" s="265"/>
      <c r="N1" s="262"/>
      <c r="O1" s="262"/>
      <c r="P1" s="262"/>
      <c r="Q1" s="266" t="s">
        <v>500</v>
      </c>
      <c r="R1" s="267"/>
      <c r="S1" s="268"/>
    </row>
    <row r="2" spans="1:31" ht="15" thickBot="1">
      <c r="C2" s="182" t="s">
        <v>532</v>
      </c>
      <c r="D2" s="185" t="s">
        <v>533</v>
      </c>
      <c r="E2" s="186" t="s">
        <v>534</v>
      </c>
      <c r="F2" s="185" t="s">
        <v>555</v>
      </c>
      <c r="G2" s="182" t="s">
        <v>535</v>
      </c>
      <c r="H2" s="185" t="s">
        <v>536</v>
      </c>
      <c r="I2" s="186" t="s">
        <v>537</v>
      </c>
      <c r="J2" s="185" t="s">
        <v>555</v>
      </c>
      <c r="K2" s="182" t="s">
        <v>538</v>
      </c>
      <c r="L2" s="185" t="s">
        <v>539</v>
      </c>
      <c r="M2" s="186" t="s">
        <v>540</v>
      </c>
      <c r="N2" s="185" t="s">
        <v>555</v>
      </c>
      <c r="O2" s="134"/>
      <c r="P2" s="134"/>
      <c r="Q2" s="182" t="s">
        <v>556</v>
      </c>
      <c r="R2" s="185" t="s">
        <v>428</v>
      </c>
      <c r="S2" s="186" t="s">
        <v>557</v>
      </c>
      <c r="V2" s="261" t="s">
        <v>502</v>
      </c>
      <c r="W2" s="261"/>
      <c r="AC2" t="s">
        <v>503</v>
      </c>
    </row>
    <row r="3" spans="1:31">
      <c r="A3" s="124" t="s">
        <v>465</v>
      </c>
      <c r="B3" s="124" t="s">
        <v>504</v>
      </c>
      <c r="C3" s="118">
        <f>'Processed Results 2024'!H60/1000</f>
        <v>72053.266159999999</v>
      </c>
      <c r="D3" s="118">
        <f>'Processed Results 2024'!I60/1000</f>
        <v>99815.993629999997</v>
      </c>
      <c r="E3" s="118">
        <f>'Processed Results 2024'!J60/1000</f>
        <v>100468.21191</v>
      </c>
      <c r="F3" s="191">
        <f>(E3-D3)/D3</f>
        <v>6.5342061555551632E-3</v>
      </c>
      <c r="G3" s="118">
        <f>'Processed Results 2024'!L60/1000</f>
        <v>956731.99466999993</v>
      </c>
      <c r="H3" s="118">
        <f>'Processed Results 2024'!M60/1000</f>
        <v>1195608.8655999999</v>
      </c>
      <c r="I3" s="118">
        <f>'Processed Results 2024'!N60/1000</f>
        <v>1126153.61084</v>
      </c>
      <c r="J3" s="191">
        <f>(I3-H3)/H3</f>
        <v>-5.8091953613228484E-2</v>
      </c>
      <c r="K3" s="118">
        <f>'Processed Results 2024'!P60/1000</f>
        <v>84469.504959999991</v>
      </c>
      <c r="L3" s="118">
        <f>'Processed Results 2024'!Q60/1000</f>
        <v>105559.84783</v>
      </c>
      <c r="M3" s="118">
        <f>'Processed Results 2024'!R60/1000</f>
        <v>108645.31053</v>
      </c>
      <c r="N3" s="191">
        <f>(M3-L3)/L3</f>
        <v>2.9229510684488865E-2</v>
      </c>
      <c r="O3" s="118"/>
      <c r="P3" s="118"/>
      <c r="Q3" s="183">
        <f>'Processed Results 2024'!Z60/1000</f>
        <v>1113254.7657899999</v>
      </c>
      <c r="R3" s="183">
        <f>'Processed Results 2024'!AA60/1000</f>
        <v>1400984.7070599999</v>
      </c>
      <c r="S3" s="183">
        <f>'Processed Results 2024'!AB60/1000</f>
        <v>1335267.13328</v>
      </c>
      <c r="T3" s="239">
        <f>(S3-R3)/R3</f>
        <v>-4.6908130723218158E-2</v>
      </c>
      <c r="U3" s="127">
        <f>R3-S3</f>
        <v>65717.573779999977</v>
      </c>
      <c r="V3" s="110" t="s">
        <v>428</v>
      </c>
      <c r="W3" t="s">
        <v>501</v>
      </c>
      <c r="X3" s="126" t="s">
        <v>505</v>
      </c>
      <c r="AB3" t="s">
        <v>506</v>
      </c>
      <c r="AC3" s="127">
        <f>Q3</f>
        <v>1113254.7657899999</v>
      </c>
    </row>
    <row r="4" spans="1:31">
      <c r="A4" s="124" t="s">
        <v>472</v>
      </c>
      <c r="B4" s="124" t="s">
        <v>504</v>
      </c>
      <c r="C4" s="118">
        <f>'Processed Results 2024'!H32/1000</f>
        <v>16646.087189999998</v>
      </c>
      <c r="D4" s="118">
        <f>'Processed Results 2024'!I32/1000</f>
        <v>23059.288579999997</v>
      </c>
      <c r="E4" s="118">
        <f>'Processed Results 2024'!J32/1000</f>
        <v>24618.438610000001</v>
      </c>
      <c r="F4" s="191">
        <f t="shared" ref="F4:F14" si="0">(E4-D4)/D4</f>
        <v>6.7614836623897459E-2</v>
      </c>
      <c r="G4" s="118">
        <f>'Processed Results 2024'!L32/1000</f>
        <v>331632.75656999997</v>
      </c>
      <c r="H4" s="118">
        <f>'Processed Results 2024'!M32/1000</f>
        <v>414434.83241000003</v>
      </c>
      <c r="I4" s="118">
        <f>'Processed Results 2024'!N32/1000</f>
        <v>377870.33011000004</v>
      </c>
      <c r="J4" s="191">
        <f t="shared" ref="J4:J14" si="1">(I4-H4)/H4</f>
        <v>-8.8227386890652959E-2</v>
      </c>
      <c r="K4" s="118">
        <f>'Processed Results 2024'!P32/1000</f>
        <v>22036.740510000003</v>
      </c>
      <c r="L4" s="118">
        <f>'Processed Results 2024'!Q32/1000</f>
        <v>27538.879069999999</v>
      </c>
      <c r="M4" s="118">
        <f>'Processed Results 2024'!R32/1000</f>
        <v>30599.806649999999</v>
      </c>
      <c r="N4" s="191">
        <f t="shared" ref="N4:N14" si="2">(M4-L4)/L4</f>
        <v>0.11114931628914697</v>
      </c>
      <c r="O4" s="118"/>
      <c r="P4" s="118"/>
      <c r="Q4" s="118">
        <f>'Processed Results 2024'!Z32/1000</f>
        <v>370315.58426999999</v>
      </c>
      <c r="R4" s="118">
        <f>'Processed Results 2024'!AA32/1000</f>
        <v>465033.00005999999</v>
      </c>
      <c r="S4" s="118">
        <f>'Processed Results 2024'!AB32/1000</f>
        <v>433088.57536999998</v>
      </c>
      <c r="U4" s="96">
        <f>U3/20</f>
        <v>3285.8786889999988</v>
      </c>
      <c r="V4" s="127">
        <f>R3</f>
        <v>1400984.7070599999</v>
      </c>
      <c r="W4" s="127">
        <f>S3</f>
        <v>1335267.13328</v>
      </c>
      <c r="X4" s="111">
        <f>(W4-V4)/V4</f>
        <v>-4.6908130723218158E-2</v>
      </c>
      <c r="AB4" t="s">
        <v>558</v>
      </c>
      <c r="AC4" s="127">
        <f>S3</f>
        <v>1335267.13328</v>
      </c>
    </row>
    <row r="5" spans="1:31">
      <c r="A5" s="124" t="s">
        <v>473</v>
      </c>
      <c r="B5" s="124" t="s">
        <v>504</v>
      </c>
      <c r="C5" s="118">
        <f>'Processed Results 2024'!H33/1000</f>
        <v>47005.309119999998</v>
      </c>
      <c r="D5" s="118">
        <f>'Processed Results 2024'!I33/1000</f>
        <v>65116.30068</v>
      </c>
      <c r="E5" s="118">
        <f>'Processed Results 2024'!J33/1000</f>
        <v>64574.473960000003</v>
      </c>
      <c r="F5" s="191">
        <f t="shared" si="0"/>
        <v>-8.3209075813856156E-3</v>
      </c>
      <c r="G5" s="118">
        <f>'Processed Results 2024'!L33/1000</f>
        <v>625067.15151999996</v>
      </c>
      <c r="H5" s="118">
        <f>'Processed Results 2024'!M33/1000</f>
        <v>781133.93523000006</v>
      </c>
      <c r="I5" s="118">
        <f>'Processed Results 2024'!N33/1000</f>
        <v>748240.7879</v>
      </c>
      <c r="J5" s="191">
        <f t="shared" si="1"/>
        <v>-4.21094844897692E-2</v>
      </c>
      <c r="K5" s="118">
        <f>'Processed Results 2024'!P33/1000</f>
        <v>62429.974340000001</v>
      </c>
      <c r="L5" s="118">
        <f>'Processed Results 2024'!Q33/1000</f>
        <v>78017.482019999996</v>
      </c>
      <c r="M5" s="118">
        <f>'Processed Results 2024'!R33/1000</f>
        <v>78041.685129999998</v>
      </c>
      <c r="N5" s="191">
        <f t="shared" si="2"/>
        <v>3.1022675140678936E-4</v>
      </c>
      <c r="O5" s="118"/>
      <c r="P5" s="118"/>
      <c r="Q5" s="118">
        <f>'Processed Results 2024'!Z33/1000</f>
        <v>734502.43498000002</v>
      </c>
      <c r="R5" s="118">
        <f>'Processed Results 2024'!AA33/1000</f>
        <v>924267.71792999993</v>
      </c>
      <c r="S5" s="118">
        <f>'Processed Results 2024'!AB33/1000</f>
        <v>890856.94698999997</v>
      </c>
      <c r="AB5" t="s">
        <v>559</v>
      </c>
      <c r="AC5" s="127">
        <f>R3</f>
        <v>1400984.7070599999</v>
      </c>
    </row>
    <row r="6" spans="1:31">
      <c r="A6" t="s">
        <v>482</v>
      </c>
      <c r="B6" t="s">
        <v>381</v>
      </c>
      <c r="C6" s="118">
        <f>'Processed Results 2024'!H52</f>
        <v>1196316.75</v>
      </c>
      <c r="D6" s="118">
        <f>'Processed Results 2024'!I52</f>
        <v>1657250.95</v>
      </c>
      <c r="E6" s="118">
        <f>'Processed Results 2024'!J52</f>
        <v>1842874</v>
      </c>
      <c r="F6" s="191">
        <f t="shared" si="0"/>
        <v>0.11200660346581792</v>
      </c>
      <c r="G6" s="118">
        <f>'Processed Results 2024'!L52</f>
        <v>11473301.84</v>
      </c>
      <c r="H6" s="118">
        <f>'Processed Results 2024'!M52</f>
        <v>14337955.960000001</v>
      </c>
      <c r="I6" s="118">
        <f>'Processed Results 2024'!N52</f>
        <v>17007035.77</v>
      </c>
      <c r="J6" s="191">
        <f t="shared" si="1"/>
        <v>0.18615483388609869</v>
      </c>
      <c r="K6" s="118">
        <f>'Processed Results 2024'!P52</f>
        <v>997667.36</v>
      </c>
      <c r="L6" s="118">
        <f>'Processed Results 2024'!Q52</f>
        <v>1246765.23</v>
      </c>
      <c r="M6" s="118">
        <f>'Processed Results 2024'!R52</f>
        <v>1760846.81</v>
      </c>
      <c r="N6" s="191">
        <f t="shared" si="2"/>
        <v>0.41233230413395477</v>
      </c>
      <c r="O6" s="118"/>
      <c r="P6" s="118"/>
      <c r="Q6" s="118">
        <f>'Processed Results 2024'!Z52</f>
        <v>13667285.949999999</v>
      </c>
      <c r="R6" s="118">
        <f>'Processed Results 2024'!AA52</f>
        <v>17241972.140000001</v>
      </c>
      <c r="S6" s="118">
        <f>'Processed Results 2024'!AB52</f>
        <v>20610756.579999998</v>
      </c>
      <c r="AB6" t="s">
        <v>509</v>
      </c>
      <c r="AC6" s="118">
        <f>AC4-AC5</f>
        <v>-65717.573779999977</v>
      </c>
    </row>
    <row r="7" spans="1:31" s="228" customFormat="1">
      <c r="A7" s="228" t="s">
        <v>479</v>
      </c>
      <c r="B7" s="228" t="s">
        <v>381</v>
      </c>
      <c r="C7" s="229">
        <f>'Processed Results 2024'!H40</f>
        <v>35518175</v>
      </c>
      <c r="D7" s="229">
        <f>'Processed Results 2024'!I40</f>
        <v>49203057.75</v>
      </c>
      <c r="E7" s="229">
        <f>'Processed Results 2024'!J40</f>
        <v>58357173.880000003</v>
      </c>
      <c r="F7" s="230">
        <f t="shared" si="0"/>
        <v>0.18604770818333954</v>
      </c>
      <c r="G7" s="229">
        <f>'Processed Results 2024'!L40</f>
        <v>77751049.950000003</v>
      </c>
      <c r="H7" s="229">
        <f>'Processed Results 2024'!M40</f>
        <v>97163932.950000003</v>
      </c>
      <c r="I7" s="229">
        <f>'Processed Results 2024'!N40</f>
        <v>137886382.72</v>
      </c>
      <c r="J7" s="230">
        <f t="shared" si="1"/>
        <v>0.41911075986349311</v>
      </c>
      <c r="K7" s="229">
        <f>'Processed Results 2024'!P40</f>
        <v>14680780.92</v>
      </c>
      <c r="L7" s="229">
        <f>'Processed Results 2024'!Q40</f>
        <v>18346282.199999999</v>
      </c>
      <c r="M7" s="229">
        <f>'Processed Results 2024'!R40</f>
        <v>27044748.899999999</v>
      </c>
      <c r="N7" s="230">
        <f t="shared" si="2"/>
        <v>0.47412694327791383</v>
      </c>
      <c r="O7" s="229"/>
      <c r="P7" s="229"/>
      <c r="Q7" s="229">
        <f>'Processed Results 2024'!Z40</f>
        <v>127950005.87</v>
      </c>
      <c r="R7" s="229">
        <f>'Processed Results 2024'!AA40</f>
        <v>164713272.89999998</v>
      </c>
      <c r="S7" s="229">
        <f>'Processed Results 2024'!AB40</f>
        <v>223288305.5</v>
      </c>
      <c r="AB7" s="231" t="s">
        <v>510</v>
      </c>
      <c r="AC7" s="232">
        <f>AC6/20</f>
        <v>-3285.8786889999988</v>
      </c>
    </row>
    <row r="8" spans="1:31" s="227" customFormat="1">
      <c r="A8" s="224" t="s">
        <v>511</v>
      </c>
      <c r="B8" s="224" t="s">
        <v>512</v>
      </c>
      <c r="C8" s="225">
        <f>((C4*1000/C9)+(C5*1000/C10))/1000</f>
        <v>1412.0907380806489</v>
      </c>
      <c r="D8" s="225">
        <f t="shared" ref="D8:S8" si="3">((D4*1000/D9)+(D5*1000/D10))/1000</f>
        <v>1956.1597869491534</v>
      </c>
      <c r="E8" s="225">
        <f t="shared" si="3"/>
        <v>2304.3248426438126</v>
      </c>
      <c r="F8" s="226">
        <f t="shared" si="0"/>
        <v>0.17798395510300363</v>
      </c>
      <c r="G8" s="225">
        <f t="shared" si="3"/>
        <v>4539.4944294370953</v>
      </c>
      <c r="H8" s="225">
        <f t="shared" si="3"/>
        <v>5672.9155243045861</v>
      </c>
      <c r="I8" s="225">
        <f t="shared" si="3"/>
        <v>7521.3379403002709</v>
      </c>
      <c r="J8" s="226">
        <f t="shared" si="1"/>
        <v>0.32583288224131868</v>
      </c>
      <c r="K8" s="225">
        <f t="shared" si="3"/>
        <v>671.93242002791908</v>
      </c>
      <c r="L8" s="225">
        <f t="shared" si="3"/>
        <v>839.70047547147942</v>
      </c>
      <c r="M8" s="225">
        <f t="shared" si="3"/>
        <v>1225.5760320364273</v>
      </c>
      <c r="N8" s="226">
        <f t="shared" si="2"/>
        <v>0.4595395237191981</v>
      </c>
      <c r="O8" s="225"/>
      <c r="P8" s="225"/>
      <c r="Q8" s="225">
        <f t="shared" si="3"/>
        <v>7348.3802549499997</v>
      </c>
      <c r="R8" s="225">
        <f t="shared" si="3"/>
        <v>9385.7787009000021</v>
      </c>
      <c r="S8" s="225">
        <f t="shared" si="3"/>
        <v>12143.3495743</v>
      </c>
    </row>
    <row r="9" spans="1:31">
      <c r="A9" s="124" t="s">
        <v>513</v>
      </c>
      <c r="B9" s="124" t="s">
        <v>514</v>
      </c>
      <c r="C9" s="118">
        <f>'Processed Results 2024'!H34</f>
        <v>98.56</v>
      </c>
      <c r="D9" s="118">
        <f>'Processed Results 2024'!I34</f>
        <v>98.56</v>
      </c>
      <c r="E9" s="118">
        <f>'Processed Results 2024'!J34</f>
        <v>93.92</v>
      </c>
      <c r="F9" s="191">
        <f t="shared" si="0"/>
        <v>-4.707792207792208E-2</v>
      </c>
      <c r="G9" s="118">
        <f>'Processed Results 2024'!L34</f>
        <v>182.39</v>
      </c>
      <c r="H9" s="118">
        <f>'Processed Results 2024'!M34</f>
        <v>182.39</v>
      </c>
      <c r="I9" s="118">
        <f>'Processed Results 2024'!N34</f>
        <v>140.19999999999999</v>
      </c>
      <c r="J9" s="191">
        <f t="shared" si="1"/>
        <v>-0.23131750644223917</v>
      </c>
      <c r="K9" s="118">
        <f>'Processed Results 2024'!P34</f>
        <v>139.38</v>
      </c>
      <c r="L9" s="118">
        <f>'Processed Results 2024'!Q34</f>
        <v>139.38</v>
      </c>
      <c r="M9" s="118">
        <f>'Processed Results 2024'!R34</f>
        <v>109.66</v>
      </c>
      <c r="N9" s="191">
        <f t="shared" si="2"/>
        <v>-0.21323001865403932</v>
      </c>
      <c r="O9" s="118"/>
      <c r="P9" s="118"/>
      <c r="Q9" s="118">
        <f>'Processed Results 2024'!Z34</f>
        <v>129.02397378631397</v>
      </c>
      <c r="R9" s="118">
        <f>'Processed Results 2024'!AA34</f>
        <v>128.43326966590095</v>
      </c>
      <c r="S9" s="118">
        <f>'Processed Results 2024'!AB34</f>
        <v>100.06069119181032</v>
      </c>
    </row>
    <row r="10" spans="1:31">
      <c r="A10" s="124" t="s">
        <v>515</v>
      </c>
      <c r="B10" s="124" t="s">
        <v>514</v>
      </c>
      <c r="C10" s="118">
        <f>'Processed Results 2024'!H39</f>
        <v>37.81</v>
      </c>
      <c r="D10" s="118">
        <f>'Processed Results 2024'!I39</f>
        <v>37.81</v>
      </c>
      <c r="E10" s="118">
        <f>'Processed Results 2024'!J39</f>
        <v>31.62</v>
      </c>
      <c r="F10" s="191">
        <f t="shared" si="0"/>
        <v>-0.16371330335889978</v>
      </c>
      <c r="G10" s="118">
        <f>'Processed Results 2024'!L39</f>
        <v>229.7</v>
      </c>
      <c r="H10" s="118">
        <f>'Processed Results 2024'!M39</f>
        <v>229.7</v>
      </c>
      <c r="I10" s="118">
        <f>'Processed Results 2024'!N39</f>
        <v>155.04</v>
      </c>
      <c r="J10" s="191">
        <f t="shared" si="1"/>
        <v>-0.32503265128428382</v>
      </c>
      <c r="K10" s="118">
        <f>'Processed Results 2024'!P39</f>
        <v>121.5</v>
      </c>
      <c r="L10" s="118">
        <f>'Processed Results 2024'!Q39</f>
        <v>121.5</v>
      </c>
      <c r="M10" s="118">
        <f>'Processed Results 2024'!R39</f>
        <v>82.45</v>
      </c>
      <c r="N10" s="191">
        <f t="shared" si="2"/>
        <v>-0.32139917695473247</v>
      </c>
      <c r="O10" s="118"/>
      <c r="P10" s="118"/>
      <c r="Q10" s="118">
        <f>'Processed Results 2024'!Z39</f>
        <v>164.01549741149245</v>
      </c>
      <c r="R10" s="118">
        <f>'Processed Results 2024'!AA39</f>
        <v>160.32496118115981</v>
      </c>
      <c r="S10" s="118">
        <f>'Processed Results 2024'!AB39</f>
        <v>113.99188851959697</v>
      </c>
    </row>
    <row r="11" spans="1:31">
      <c r="A11" s="124" t="s">
        <v>516</v>
      </c>
      <c r="B11" s="124" t="s">
        <v>517</v>
      </c>
      <c r="C11" s="118">
        <f>'Processed Results 2024'!H59/1000</f>
        <v>104171.87231000001</v>
      </c>
      <c r="D11" s="118">
        <f>'Processed Results 2024'!I59/1000</f>
        <v>144310.21972999998</v>
      </c>
      <c r="E11" s="118">
        <f>'Processed Results 2024'!J59/1000</f>
        <v>145909.84855000002</v>
      </c>
      <c r="F11" s="191">
        <f t="shared" si="0"/>
        <v>1.1084653761825729E-2</v>
      </c>
      <c r="G11" s="118">
        <f>'Processed Results 2024'!L59/1000</f>
        <v>1431221.72774</v>
      </c>
      <c r="H11" s="118">
        <f>'Processed Results 2024'!M59/1000</f>
        <v>1788569.20795</v>
      </c>
      <c r="I11" s="118">
        <f>'Processed Results 2024'!N59/1000</f>
        <v>1681519.83971</v>
      </c>
      <c r="J11" s="191">
        <f t="shared" si="1"/>
        <v>-5.9851957511164185E-2</v>
      </c>
      <c r="K11" s="118">
        <f>'Processed Results 2024'!P59/1000</f>
        <v>125401.75354000001</v>
      </c>
      <c r="L11" s="118">
        <f>'Processed Results 2024'!Q59/1000</f>
        <v>156712.05909999998</v>
      </c>
      <c r="M11" s="118">
        <f>'Processed Results 2024'!R59/1000</f>
        <v>160739.51053</v>
      </c>
      <c r="N11" s="191">
        <f t="shared" si="2"/>
        <v>2.5699690586223789E-2</v>
      </c>
      <c r="O11" s="118"/>
      <c r="P11" s="118"/>
      <c r="Q11" s="158">
        <f>'Processed Results 2024'!Z59/1000</f>
        <v>1660795.35359</v>
      </c>
      <c r="R11" s="158">
        <f>'Processed Results 2024'!AA59/1000</f>
        <v>2089591.4867799999</v>
      </c>
      <c r="S11" s="158">
        <f>'Processed Results 2024'!AB59/1000</f>
        <v>1988169.1987900001</v>
      </c>
      <c r="AC11" t="s">
        <v>428</v>
      </c>
      <c r="AD11" t="s">
        <v>501</v>
      </c>
    </row>
    <row r="12" spans="1:31" s="100" customFormat="1">
      <c r="A12" s="216" t="s">
        <v>518</v>
      </c>
      <c r="B12" s="216" t="s">
        <v>519</v>
      </c>
      <c r="C12" s="217">
        <f>'Processed Results 2024'!H49</f>
        <v>50133.68</v>
      </c>
      <c r="D12" s="217">
        <f>'Processed Results 2024'!I49</f>
        <v>69450.539999999994</v>
      </c>
      <c r="E12" s="217">
        <f>'Processed Results 2024'!J49</f>
        <v>65281.11</v>
      </c>
      <c r="F12" s="218">
        <f t="shared" si="0"/>
        <v>-6.0034522409760864E-2</v>
      </c>
      <c r="G12" s="217">
        <f>'Processed Results 2024'!L49</f>
        <v>741919.61</v>
      </c>
      <c r="H12" s="217">
        <f>'Processed Results 2024'!M49</f>
        <v>927162.12</v>
      </c>
      <c r="I12" s="217">
        <f>'Processed Results 2024'!N49</f>
        <v>851709.01</v>
      </c>
      <c r="J12" s="218">
        <f t="shared" si="1"/>
        <v>-8.1380708262757742E-2</v>
      </c>
      <c r="K12" s="217">
        <f>'Processed Results 2024'!P49</f>
        <v>64514.04</v>
      </c>
      <c r="L12" s="217">
        <f>'Processed Results 2024'!Q49</f>
        <v>80621.91</v>
      </c>
      <c r="M12" s="217">
        <f>'Processed Results 2024'!R49</f>
        <v>76631.73</v>
      </c>
      <c r="N12" s="218">
        <f t="shared" si="2"/>
        <v>-4.9492501480056815E-2</v>
      </c>
      <c r="O12" s="217"/>
      <c r="P12" s="217"/>
      <c r="Q12" s="217">
        <f>'Processed Results 2024'!Z49</f>
        <v>856567.33000000007</v>
      </c>
      <c r="R12" s="217">
        <f>'Processed Results 2024'!AA49</f>
        <v>1077234.57</v>
      </c>
      <c r="S12" s="217">
        <f>'Processed Results 2024'!AB49</f>
        <v>993621.85</v>
      </c>
      <c r="AB12" s="100" t="s">
        <v>560</v>
      </c>
      <c r="AC12" s="219">
        <f>AC3</f>
        <v>1113254.7657899999</v>
      </c>
      <c r="AD12" s="219">
        <f>AC3</f>
        <v>1113254.7657899999</v>
      </c>
      <c r="AE12" s="100">
        <f>(AD12-AC12)/AC12*100</f>
        <v>0</v>
      </c>
    </row>
    <row r="13" spans="1:31">
      <c r="A13" s="124" t="s">
        <v>515</v>
      </c>
      <c r="B13" s="124" t="s">
        <v>520</v>
      </c>
      <c r="C13" s="118">
        <f>C3*1000/C7</f>
        <v>2.0286308674361786</v>
      </c>
      <c r="D13" s="118">
        <f t="shared" ref="D13:S13" si="4">D3*1000/D7</f>
        <v>2.0286542787068957</v>
      </c>
      <c r="E13" s="118">
        <f t="shared" si="4"/>
        <v>1.7216085912006813</v>
      </c>
      <c r="F13" s="191">
        <f t="shared" si="0"/>
        <v>-0.15135436862210519</v>
      </c>
      <c r="G13" s="118">
        <f t="shared" si="4"/>
        <v>12.305068488274477</v>
      </c>
      <c r="H13" s="118">
        <f t="shared" si="4"/>
        <v>12.305068653563595</v>
      </c>
      <c r="I13" s="118">
        <f t="shared" si="4"/>
        <v>8.1672576263519225</v>
      </c>
      <c r="J13" s="191">
        <f t="shared" si="1"/>
        <v>-0.3362688290254558</v>
      </c>
      <c r="K13" s="118">
        <f t="shared" si="4"/>
        <v>5.7537473939771857</v>
      </c>
      <c r="L13" s="118">
        <f t="shared" si="4"/>
        <v>5.7537460003749423</v>
      </c>
      <c r="M13" s="118">
        <f t="shared" si="4"/>
        <v>4.0172423464430835</v>
      </c>
      <c r="N13" s="191">
        <f t="shared" si="2"/>
        <v>-0.30180401669081319</v>
      </c>
      <c r="O13" s="118"/>
      <c r="P13" s="118"/>
      <c r="Q13" s="118">
        <f t="shared" si="4"/>
        <v>8.7007011701202348</v>
      </c>
      <c r="R13" s="118">
        <f t="shared" si="4"/>
        <v>8.5055969224202101</v>
      </c>
      <c r="S13" s="118">
        <f t="shared" si="4"/>
        <v>5.9800137328732603</v>
      </c>
      <c r="AB13" t="s">
        <v>561</v>
      </c>
      <c r="AC13" s="127">
        <f>AC12+(($AC$5-$AC$3)/20)</f>
        <v>1127641.2628535</v>
      </c>
      <c r="AD13" s="118">
        <f>AD12+(($AC$4-$AC$3)/20)</f>
        <v>1124355.3841644998</v>
      </c>
      <c r="AE13" s="100">
        <f t="shared" ref="AE13:AE32" si="5">(AD13-AC13)/AC13*100</f>
        <v>-0.29139397406274609</v>
      </c>
    </row>
    <row r="14" spans="1:31">
      <c r="A14" s="124" t="s">
        <v>521</v>
      </c>
      <c r="B14" s="124" t="s">
        <v>522</v>
      </c>
      <c r="C14" s="117">
        <f>C17/C12</f>
        <v>45.012988474015863</v>
      </c>
      <c r="D14" s="117">
        <f t="shared" ref="D14:S14" si="6">D17/D12</f>
        <v>45.013050582472076</v>
      </c>
      <c r="E14" s="117">
        <f t="shared" si="6"/>
        <v>48.398571807372761</v>
      </c>
      <c r="F14" s="191">
        <f t="shared" si="0"/>
        <v>7.5211992546423759E-2</v>
      </c>
      <c r="G14" s="117">
        <f t="shared" si="6"/>
        <v>41.365696493721202</v>
      </c>
      <c r="H14" s="117">
        <f t="shared" si="6"/>
        <v>41.365696432895682</v>
      </c>
      <c r="I14" s="117">
        <f t="shared" si="6"/>
        <v>42.437024776807277</v>
      </c>
      <c r="J14" s="191">
        <f t="shared" si="1"/>
        <v>2.5898955808698332E-2</v>
      </c>
      <c r="K14" s="117">
        <f t="shared" si="6"/>
        <v>42.07364272955158</v>
      </c>
      <c r="L14" s="117">
        <f t="shared" si="6"/>
        <v>42.073639163349014</v>
      </c>
      <c r="M14" s="117">
        <f t="shared" si="6"/>
        <v>45.61191375948318</v>
      </c>
      <c r="N14" s="191">
        <f t="shared" si="2"/>
        <v>8.4097184519669743E-2</v>
      </c>
      <c r="O14" s="117"/>
      <c r="P14" s="117"/>
      <c r="Q14" s="117">
        <f t="shared" si="6"/>
        <v>41.632487711152841</v>
      </c>
      <c r="R14" s="117">
        <f t="shared" si="6"/>
        <v>41.653829044866242</v>
      </c>
      <c r="S14" s="117">
        <f t="shared" si="6"/>
        <v>43.073558326037215</v>
      </c>
      <c r="AB14" t="s">
        <v>562</v>
      </c>
      <c r="AC14" s="127">
        <f>AC13+(($AC$5-$AC$3)/20)</f>
        <v>1142027.7599170001</v>
      </c>
      <c r="AD14" s="118">
        <f>AD13+(($AC$4-$AC$3)/20)</f>
        <v>1135456.0025389998</v>
      </c>
      <c r="AE14" s="100">
        <f t="shared" si="5"/>
        <v>-0.57544637780765684</v>
      </c>
    </row>
    <row r="15" spans="1:31">
      <c r="P15" s="233" t="s">
        <v>563</v>
      </c>
      <c r="Q15" s="196">
        <f>Q3/Q8</f>
        <v>151.49661927743759</v>
      </c>
      <c r="R15" s="196">
        <f>R3/R8</f>
        <v>149.2667525738338</v>
      </c>
      <c r="S15" s="196">
        <f>S3/S8</f>
        <v>109.95871650651802</v>
      </c>
      <c r="AB15" t="s">
        <v>564</v>
      </c>
      <c r="AC15" s="127">
        <f t="shared" ref="AC15:AC32" si="7">AC14+(($AC$5-$AC$3)/20)</f>
        <v>1156414.2569805002</v>
      </c>
      <c r="AD15" s="118">
        <f t="shared" ref="AD15:AD32" si="8">AD14+(($AC$4-$AC$3)/20)</f>
        <v>1146556.6209134997</v>
      </c>
      <c r="AE15" s="100">
        <f t="shared" si="5"/>
        <v>-0.8524312120415749</v>
      </c>
    </row>
    <row r="16" spans="1:31">
      <c r="A16" s="126" t="s">
        <v>523</v>
      </c>
      <c r="B16" s="126"/>
      <c r="P16" s="234" t="s">
        <v>565</v>
      </c>
      <c r="Q16" s="120">
        <f>Q5/(Q7/1000)</f>
        <v>5.7405424094022353</v>
      </c>
      <c r="R16" s="120">
        <f t="shared" ref="R16:S16" si="9">R5/(R7/1000)</f>
        <v>5.6113736413405944</v>
      </c>
      <c r="S16" s="120">
        <f t="shared" si="9"/>
        <v>3.9897160981858946</v>
      </c>
      <c r="T16" s="239">
        <f>(S16-R16)/R16</f>
        <v>-0.28899475365665994</v>
      </c>
      <c r="AB16" t="s">
        <v>566</v>
      </c>
      <c r="AC16" s="127">
        <f t="shared" si="7"/>
        <v>1170800.7540440003</v>
      </c>
      <c r="AD16" s="118">
        <f t="shared" si="8"/>
        <v>1157657.2392879997</v>
      </c>
      <c r="AE16" s="100">
        <f t="shared" si="5"/>
        <v>-1.1226090101669552</v>
      </c>
    </row>
    <row r="17" spans="1:31">
      <c r="A17" s="126" t="s">
        <v>445</v>
      </c>
      <c r="B17" s="124" t="s">
        <v>446</v>
      </c>
      <c r="C17" s="118">
        <f>'Processed Results 2024'!H21</f>
        <v>2256666.7599999998</v>
      </c>
      <c r="D17" s="118">
        <f>'Processed Results 2024'!I21</f>
        <v>3126180.67</v>
      </c>
      <c r="E17" s="118">
        <f>'Processed Results 2024'!J21</f>
        <v>3159512.49</v>
      </c>
      <c r="F17" s="191">
        <f>(E17-D17)/D17</f>
        <v>1.0662154084651895E-2</v>
      </c>
      <c r="G17" s="118">
        <f>'Processed Results 2024'!L21</f>
        <v>30690021.41</v>
      </c>
      <c r="H17" s="118">
        <f>'Processed Results 2024'!M21</f>
        <v>38352706.799999997</v>
      </c>
      <c r="I17" s="118">
        <f>'Processed Results 2024'!N21</f>
        <v>36143996.359999999</v>
      </c>
      <c r="J17" s="191">
        <f>(I17-H17)/H17</f>
        <v>-5.7589427821037077E-2</v>
      </c>
      <c r="K17" s="118">
        <f>'Processed Results 2024'!P21</f>
        <v>2714340.67</v>
      </c>
      <c r="L17" s="118">
        <f>'Processed Results 2024'!Q21</f>
        <v>3392057.15</v>
      </c>
      <c r="M17" s="118">
        <f>'Processed Results 2024'!R21</f>
        <v>3495319.86</v>
      </c>
      <c r="N17" s="191">
        <f>(M17-L17)/L17</f>
        <v>3.0442503010304517E-2</v>
      </c>
      <c r="O17" s="118"/>
      <c r="P17" s="118"/>
      <c r="Q17" s="118">
        <f>'Processed Results 2024'!Z21</f>
        <v>35661028.840000004</v>
      </c>
      <c r="R17" s="118">
        <f>'Processed Results 2024'!AA21</f>
        <v>44870944.619999997</v>
      </c>
      <c r="S17" s="118">
        <f>'Processed Results 2024'!AB21</f>
        <v>42798828.710000001</v>
      </c>
      <c r="AB17" t="s">
        <v>567</v>
      </c>
      <c r="AC17" s="127">
        <f t="shared" si="7"/>
        <v>1185187.2511075004</v>
      </c>
      <c r="AD17" s="118">
        <f t="shared" si="8"/>
        <v>1168757.8576624996</v>
      </c>
      <c r="AE17" s="100">
        <f t="shared" si="5"/>
        <v>-1.3862276555580795</v>
      </c>
    </row>
    <row r="18" spans="1:31">
      <c r="A18" s="126" t="s">
        <v>447</v>
      </c>
      <c r="B18" s="124" t="s">
        <v>446</v>
      </c>
      <c r="C18" s="118">
        <f>'Processed Results 2024'!H22</f>
        <v>130672.75</v>
      </c>
      <c r="D18" s="118">
        <f>'Processed Results 2024'!I22</f>
        <v>181022.16</v>
      </c>
      <c r="E18" s="118">
        <f>'Processed Results 2024'!J22</f>
        <v>191602.47</v>
      </c>
      <c r="F18" s="191">
        <f t="shared" ref="F18:F25" si="10">(E18-D18)/D18</f>
        <v>5.8447595587192182E-2</v>
      </c>
      <c r="G18" s="118">
        <f>'Processed Results 2024'!L22</f>
        <v>2001104.03</v>
      </c>
      <c r="H18" s="118">
        <f>'Processed Results 2024'!M22</f>
        <v>2500739.7400000002</v>
      </c>
      <c r="I18" s="118">
        <f>'Processed Results 2024'!N22</f>
        <v>2177610.92</v>
      </c>
      <c r="J18" s="191">
        <f t="shared" ref="J18:J25" si="11">(I18-H18)/H18</f>
        <v>-0.12921329430306899</v>
      </c>
      <c r="K18" s="118">
        <f>'Processed Results 2024'!P22</f>
        <v>172494.42</v>
      </c>
      <c r="L18" s="118">
        <f>'Processed Results 2024'!Q22</f>
        <v>215562.83</v>
      </c>
      <c r="M18" s="118">
        <f>'Processed Results 2024'!R22</f>
        <v>202301.58</v>
      </c>
      <c r="N18" s="191">
        <f t="shared" ref="N18:N25" si="12">(M18-L18)/L18</f>
        <v>-6.1519186772598974E-2</v>
      </c>
      <c r="O18" s="118"/>
      <c r="P18" s="118"/>
      <c r="Q18" s="118">
        <f>'Processed Results 2024'!Z22</f>
        <v>2304271.2000000002</v>
      </c>
      <c r="R18" s="118">
        <f>'Processed Results 2024'!AA22</f>
        <v>2897324.7300000004</v>
      </c>
      <c r="S18" s="118">
        <f>'Processed Results 2024'!AB22</f>
        <v>2571514.9700000002</v>
      </c>
      <c r="AB18" t="s">
        <v>568</v>
      </c>
      <c r="AC18" s="127">
        <f t="shared" si="7"/>
        <v>1199573.7481710005</v>
      </c>
      <c r="AD18" s="118">
        <f t="shared" si="8"/>
        <v>1179858.4760369996</v>
      </c>
      <c r="AE18" s="100">
        <f t="shared" si="5"/>
        <v>-1.6435231401204744</v>
      </c>
    </row>
    <row r="19" spans="1:31">
      <c r="A19" s="126" t="s">
        <v>450</v>
      </c>
      <c r="B19" s="124" t="s">
        <v>451</v>
      </c>
      <c r="C19" s="118">
        <f>'Processed Results 2024'!H24</f>
        <v>958990.72</v>
      </c>
      <c r="D19" s="118">
        <f>'Processed Results 2024'!I24</f>
        <v>1328482.56</v>
      </c>
      <c r="E19" s="118">
        <f>'Processed Results 2024'!J24</f>
        <v>1575643.69</v>
      </c>
      <c r="F19" s="191">
        <f t="shared" si="10"/>
        <v>0.18604770393071618</v>
      </c>
      <c r="G19" s="118">
        <f>'Processed Results 2024'!L24</f>
        <v>1555020</v>
      </c>
      <c r="H19" s="118">
        <f>'Processed Results 2024'!M24</f>
        <v>1943278.66</v>
      </c>
      <c r="I19" s="118">
        <f>'Processed Results 2024'!N24</f>
        <v>2757727.65</v>
      </c>
      <c r="J19" s="191">
        <f t="shared" si="11"/>
        <v>0.41911075686901228</v>
      </c>
      <c r="K19" s="118">
        <f>'Processed Results 2024'!P24</f>
        <v>293615.62</v>
      </c>
      <c r="L19" s="118">
        <f>'Processed Results 2024'!Q24</f>
        <v>366925.64</v>
      </c>
      <c r="M19" s="118">
        <f>'Processed Results 2024'!R24</f>
        <v>540894.98</v>
      </c>
      <c r="N19" s="191">
        <f t="shared" si="12"/>
        <v>0.47412696479864413</v>
      </c>
      <c r="O19" s="118"/>
      <c r="P19" s="118"/>
      <c r="Q19" s="118">
        <f>'Processed Results 2024'!Z24</f>
        <v>2807626.34</v>
      </c>
      <c r="R19" s="118">
        <f>'Processed Results 2024'!AA24</f>
        <v>3638686.86</v>
      </c>
      <c r="S19" s="118">
        <f>'Processed Results 2024'!AB24</f>
        <v>4874266.32</v>
      </c>
      <c r="AB19" t="s">
        <v>569</v>
      </c>
      <c r="AC19" s="127">
        <f t="shared" si="7"/>
        <v>1213960.2452345006</v>
      </c>
      <c r="AD19" s="118">
        <f t="shared" si="8"/>
        <v>1190959.0944114996</v>
      </c>
      <c r="AE19" s="100">
        <f t="shared" si="5"/>
        <v>-1.8947202689127536</v>
      </c>
    </row>
    <row r="20" spans="1:31">
      <c r="A20" s="126" t="s">
        <v>452</v>
      </c>
      <c r="B20" s="124" t="s">
        <v>451</v>
      </c>
      <c r="C20" s="118">
        <f>'Processed Results 2024'!H25</f>
        <v>98505.23</v>
      </c>
      <c r="D20" s="118">
        <f>'Processed Results 2024'!I25</f>
        <v>136458.75</v>
      </c>
      <c r="E20" s="118">
        <f>'Processed Results 2024'!J25</f>
        <v>151743.03</v>
      </c>
      <c r="F20" s="191">
        <f t="shared" si="10"/>
        <v>0.1120065953997087</v>
      </c>
      <c r="G20" s="118">
        <f>'Processed Results 2024'!L25</f>
        <v>532165.92000000004</v>
      </c>
      <c r="H20" s="118">
        <f>'Processed Results 2024'!M25</f>
        <v>665037.11</v>
      </c>
      <c r="I20" s="118">
        <f>'Processed Results 2024'!N25</f>
        <v>788836.98</v>
      </c>
      <c r="J20" s="191">
        <f t="shared" si="11"/>
        <v>0.18615482976581563</v>
      </c>
      <c r="K20" s="118">
        <f>'Processed Results 2024'!P25</f>
        <v>46274.78</v>
      </c>
      <c r="L20" s="118">
        <f>'Processed Results 2024'!Q25</f>
        <v>57828.68</v>
      </c>
      <c r="M20" s="118">
        <f>'Processed Results 2024'!R25</f>
        <v>81673.320000000007</v>
      </c>
      <c r="N20" s="191">
        <f t="shared" si="12"/>
        <v>0.41233242743911858</v>
      </c>
      <c r="O20" s="118"/>
      <c r="P20" s="118"/>
      <c r="Q20" s="118">
        <f>'Processed Results 2024'!Z25</f>
        <v>676945.93</v>
      </c>
      <c r="R20" s="118">
        <f>'Processed Results 2024'!AA25</f>
        <v>859324.54</v>
      </c>
      <c r="S20" s="118">
        <f>'Processed Results 2024'!AB25</f>
        <v>1022253.3300000001</v>
      </c>
      <c r="V20" s="126" t="s">
        <v>524</v>
      </c>
      <c r="AB20" t="s">
        <v>570</v>
      </c>
      <c r="AC20" s="127">
        <f t="shared" si="7"/>
        <v>1228346.7422980007</v>
      </c>
      <c r="AD20" s="118">
        <f t="shared" si="8"/>
        <v>1202059.7127859995</v>
      </c>
      <c r="AE20" s="100">
        <f t="shared" si="5"/>
        <v>-2.1400333152529245</v>
      </c>
    </row>
    <row r="21" spans="1:31">
      <c r="A21" s="126" t="s">
        <v>453</v>
      </c>
      <c r="B21" s="124" t="s">
        <v>451</v>
      </c>
      <c r="C21" s="118">
        <f>'Processed Results 2024'!H26</f>
        <v>2901961.37</v>
      </c>
      <c r="D21" s="118">
        <f>'Processed Results 2024'!I26</f>
        <v>4020081.56</v>
      </c>
      <c r="E21" s="118">
        <f>'Processed Results 2024'!J26</f>
        <v>3742968.44</v>
      </c>
      <c r="F21" s="191">
        <f t="shared" si="10"/>
        <v>-6.8932213405142981E-2</v>
      </c>
      <c r="G21" s="118">
        <f>'Processed Results 2024'!L26</f>
        <v>16112679.779999999</v>
      </c>
      <c r="H21" s="118">
        <f>'Processed Results 2024'!M26</f>
        <v>20135694.260000002</v>
      </c>
      <c r="I21" s="118">
        <f>'Processed Results 2024'!N26</f>
        <v>18235153.57</v>
      </c>
      <c r="J21" s="191">
        <f t="shared" si="11"/>
        <v>-9.4386648181059601E-2</v>
      </c>
      <c r="K21" s="118">
        <f>'Processed Results 2024'!P26</f>
        <v>1404164</v>
      </c>
      <c r="L21" s="118">
        <f>'Processed Results 2024'!Q26</f>
        <v>1754756.62</v>
      </c>
      <c r="M21" s="118">
        <f>'Processed Results 2024'!R26</f>
        <v>1653159.94</v>
      </c>
      <c r="N21" s="191">
        <f t="shared" si="12"/>
        <v>-5.7897875319028666E-2</v>
      </c>
      <c r="O21" s="118"/>
      <c r="P21" s="118"/>
      <c r="Q21" s="118">
        <f>'Processed Results 2024'!Z26</f>
        <v>20418805.149999999</v>
      </c>
      <c r="R21" s="118">
        <f>'Processed Results 2024'!AA26</f>
        <v>25910532.440000001</v>
      </c>
      <c r="S21" s="118">
        <f>'Processed Results 2024'!AB26</f>
        <v>23631281.950000003</v>
      </c>
      <c r="V21" s="110" t="s">
        <v>428</v>
      </c>
      <c r="W21" t="s">
        <v>501</v>
      </c>
      <c r="X21" s="126" t="s">
        <v>505</v>
      </c>
      <c r="AB21" t="s">
        <v>571</v>
      </c>
      <c r="AC21" s="127">
        <f t="shared" si="7"/>
        <v>1242733.2393615008</v>
      </c>
      <c r="AD21" s="118">
        <f t="shared" si="8"/>
        <v>1213160.3311604995</v>
      </c>
      <c r="AE21" s="100">
        <f t="shared" si="5"/>
        <v>-2.3796666303216853</v>
      </c>
    </row>
    <row r="22" spans="1:31">
      <c r="A22" s="126" t="s">
        <v>454</v>
      </c>
      <c r="B22" s="126" t="s">
        <v>451</v>
      </c>
      <c r="C22" s="118">
        <f>'Processed Results 2024'!H27</f>
        <v>2684.34</v>
      </c>
      <c r="D22" s="118">
        <f>'Processed Results 2024'!I27</f>
        <v>3718.69</v>
      </c>
      <c r="E22" s="118">
        <f>'Processed Results 2024'!J27</f>
        <v>3812.71</v>
      </c>
      <c r="F22" s="191">
        <f t="shared" si="10"/>
        <v>2.5283097004590322E-2</v>
      </c>
      <c r="G22" s="118">
        <f>'Processed Results 2024'!L27</f>
        <v>23578.02</v>
      </c>
      <c r="H22" s="118">
        <f>'Processed Results 2024'!M27</f>
        <v>29464.98</v>
      </c>
      <c r="I22" s="118">
        <f>'Processed Results 2024'!N27</f>
        <v>29054.74</v>
      </c>
      <c r="J22" s="191">
        <f t="shared" si="11"/>
        <v>-1.3922968893920782E-2</v>
      </c>
      <c r="K22" s="118">
        <f>'Processed Results 2024'!P27</f>
        <v>2050.2399999999998</v>
      </c>
      <c r="L22" s="118">
        <f>'Processed Results 2024'!Q27</f>
        <v>2562.14</v>
      </c>
      <c r="M22" s="118">
        <f>'Processed Results 2024'!R27</f>
        <v>2735.17</v>
      </c>
      <c r="N22" s="191">
        <f t="shared" si="12"/>
        <v>6.753339005674952E-2</v>
      </c>
      <c r="O22" s="118"/>
      <c r="P22" s="118"/>
      <c r="Q22" s="118">
        <f>'Processed Results 2024'!Z27</f>
        <v>28312.6</v>
      </c>
      <c r="R22" s="118">
        <f>'Processed Results 2024'!AA27</f>
        <v>35745.81</v>
      </c>
      <c r="S22" s="118">
        <f>'Processed Results 2024'!AB27</f>
        <v>35602.620000000003</v>
      </c>
      <c r="V22" s="120">
        <f>R16</f>
        <v>5.6113736413405944</v>
      </c>
      <c r="W22" s="120">
        <f>S16</f>
        <v>3.9897160981858946</v>
      </c>
      <c r="X22" s="97">
        <f>(W22-V22)/V22</f>
        <v>-0.28899475365665994</v>
      </c>
      <c r="AB22" t="s">
        <v>572</v>
      </c>
      <c r="AC22" s="127">
        <f t="shared" si="7"/>
        <v>1257119.7364250009</v>
      </c>
      <c r="AD22" s="118">
        <f t="shared" si="8"/>
        <v>1224260.9495349994</v>
      </c>
      <c r="AE22" s="100">
        <f t="shared" si="5"/>
        <v>-2.6138152109078621</v>
      </c>
    </row>
    <row r="23" spans="1:31">
      <c r="A23" s="126" t="s">
        <v>455</v>
      </c>
      <c r="B23" s="126" t="s">
        <v>451</v>
      </c>
      <c r="C23" s="118">
        <f>'Processed Results 2024'!H28</f>
        <v>61760.59</v>
      </c>
      <c r="D23" s="118">
        <f>'Processed Results 2024'!I28</f>
        <v>85555.93</v>
      </c>
      <c r="E23" s="118">
        <f>'Processed Results 2024'!J28</f>
        <v>91354.01</v>
      </c>
      <c r="F23" s="191">
        <f t="shared" si="10"/>
        <v>6.776946963232125E-2</v>
      </c>
      <c r="G23" s="118">
        <f>'Processed Results 2024'!L28</f>
        <v>162204.76</v>
      </c>
      <c r="H23" s="118">
        <f>'Processed Results 2024'!M28</f>
        <v>202704.05</v>
      </c>
      <c r="I23" s="118">
        <f>'Processed Results 2024'!N28</f>
        <v>199881.82</v>
      </c>
      <c r="J23" s="191">
        <f t="shared" si="11"/>
        <v>-1.3922908792399468E-2</v>
      </c>
      <c r="K23" s="118">
        <f>'Processed Results 2024'!P28</f>
        <v>14104.61</v>
      </c>
      <c r="L23" s="118">
        <f>'Processed Results 2024'!Q28</f>
        <v>17626.240000000002</v>
      </c>
      <c r="M23" s="118">
        <f>'Processed Results 2024'!R28</f>
        <v>18816.59</v>
      </c>
      <c r="N23" s="191">
        <f t="shared" si="12"/>
        <v>6.7532837406049068E-2</v>
      </c>
      <c r="O23" s="118"/>
      <c r="P23" s="118"/>
      <c r="Q23" s="118">
        <f>'Processed Results 2024'!Z28</f>
        <v>238069.96000000002</v>
      </c>
      <c r="R23" s="118">
        <f>'Processed Results 2024'!AA28</f>
        <v>305886.21999999997</v>
      </c>
      <c r="S23" s="118">
        <f>'Processed Results 2024'!AB28</f>
        <v>310052.42000000004</v>
      </c>
      <c r="AB23" t="s">
        <v>573</v>
      </c>
      <c r="AC23" s="127">
        <f t="shared" si="7"/>
        <v>1271506.233488501</v>
      </c>
      <c r="AD23" s="118">
        <f t="shared" si="8"/>
        <v>1235361.5679094994</v>
      </c>
      <c r="AE23" s="100">
        <f t="shared" si="5"/>
        <v>-2.8426652286112075</v>
      </c>
    </row>
    <row r="24" spans="1:31">
      <c r="A24" t="s">
        <v>461</v>
      </c>
      <c r="B24" s="126" t="s">
        <v>457</v>
      </c>
      <c r="C24" s="118">
        <f>'Processed Results 2024'!H41</f>
        <v>2.0299999999999998</v>
      </c>
      <c r="D24" s="118">
        <f>'Processed Results 2024'!I41</f>
        <v>2.81</v>
      </c>
      <c r="E24" s="118">
        <f>'Processed Results 2024'!J41</f>
        <v>2.77</v>
      </c>
      <c r="F24" s="191">
        <f t="shared" si="10"/>
        <v>-1.4234875444839871E-2</v>
      </c>
      <c r="G24" s="118">
        <f>'Processed Results 2024'!L41</f>
        <v>32.51</v>
      </c>
      <c r="H24" s="118">
        <f>'Processed Results 2024'!M41</f>
        <v>40.619999999999997</v>
      </c>
      <c r="I24" s="118">
        <f>'Processed Results 2024'!N41</f>
        <v>19.91</v>
      </c>
      <c r="J24" s="191">
        <f t="shared" si="11"/>
        <v>-0.50984736582964052</v>
      </c>
      <c r="K24" s="118">
        <f>'Processed Results 2024'!P41</f>
        <v>2.91</v>
      </c>
      <c r="L24" s="118">
        <f>'Processed Results 2024'!Q41</f>
        <v>3.63</v>
      </c>
      <c r="M24" s="118">
        <f>'Processed Results 2024'!R41</f>
        <v>2.02</v>
      </c>
      <c r="N24" s="191">
        <f t="shared" si="12"/>
        <v>-0.44352617079889806</v>
      </c>
      <c r="O24" s="118"/>
      <c r="P24" s="118"/>
      <c r="Q24" s="118">
        <f>'Processed Results 2024'!Z41</f>
        <v>37.450000000000003</v>
      </c>
      <c r="R24" s="118">
        <f>'Processed Results 2024'!AA41</f>
        <v>47.06</v>
      </c>
      <c r="S24" s="118">
        <f>'Processed Results 2024'!AB41</f>
        <v>24.7</v>
      </c>
      <c r="AB24" t="s">
        <v>574</v>
      </c>
      <c r="AC24" s="127">
        <f t="shared" si="7"/>
        <v>1285892.7305520012</v>
      </c>
      <c r="AD24" s="118">
        <f t="shared" si="8"/>
        <v>1246462.1862839994</v>
      </c>
      <c r="AE24" s="100">
        <f t="shared" si="5"/>
        <v>-3.0663945235210459</v>
      </c>
    </row>
    <row r="25" spans="1:31">
      <c r="A25" t="s">
        <v>462</v>
      </c>
      <c r="B25" s="126" t="s">
        <v>457</v>
      </c>
      <c r="C25" s="118">
        <f>'Processed Results 2024'!H42</f>
        <v>13079.28</v>
      </c>
      <c r="D25" s="118">
        <f>'Processed Results 2024'!I42</f>
        <v>18118.88</v>
      </c>
      <c r="E25" s="118">
        <f>'Processed Results 2024'!J42</f>
        <v>16197.18</v>
      </c>
      <c r="F25" s="191">
        <f t="shared" si="10"/>
        <v>-0.1060606395097269</v>
      </c>
      <c r="G25" s="118">
        <f>'Processed Results 2024'!L42</f>
        <v>203945.36</v>
      </c>
      <c r="H25" s="118">
        <f>'Processed Results 2024'!M42</f>
        <v>254866.45</v>
      </c>
      <c r="I25" s="118">
        <f>'Processed Results 2024'!N42</f>
        <v>254410.71</v>
      </c>
      <c r="J25" s="191">
        <f t="shared" si="11"/>
        <v>-1.7881521871553506E-3</v>
      </c>
      <c r="K25" s="118">
        <f>'Processed Results 2024'!P42</f>
        <v>17450.38</v>
      </c>
      <c r="L25" s="118">
        <f>'Processed Results 2024'!Q42</f>
        <v>21807.39</v>
      </c>
      <c r="M25" s="118">
        <f>'Processed Results 2024'!R42</f>
        <v>23852.38</v>
      </c>
      <c r="N25" s="191">
        <f t="shared" si="12"/>
        <v>9.3775091838133845E-2</v>
      </c>
      <c r="O25" s="118"/>
      <c r="P25" s="118"/>
      <c r="Q25" s="118">
        <f>'Processed Results 2024'!Z42</f>
        <v>234475.02</v>
      </c>
      <c r="R25" s="118">
        <f>'Processed Results 2024'!AA42</f>
        <v>294792.72000000003</v>
      </c>
      <c r="S25" s="118">
        <f>'Processed Results 2024'!AB42</f>
        <v>294460.27</v>
      </c>
      <c r="AB25" t="s">
        <v>575</v>
      </c>
      <c r="AC25" s="127">
        <f t="shared" si="7"/>
        <v>1300279.2276155013</v>
      </c>
      <c r="AD25" s="118">
        <f t="shared" si="8"/>
        <v>1257562.8046584993</v>
      </c>
      <c r="AE25" s="100">
        <f t="shared" si="5"/>
        <v>-3.2851730651220863</v>
      </c>
    </row>
    <row r="26" spans="1:31">
      <c r="A26" s="126"/>
      <c r="B26" s="126"/>
      <c r="AB26" t="s">
        <v>576</v>
      </c>
      <c r="AC26" s="127">
        <f t="shared" si="7"/>
        <v>1314665.7246790014</v>
      </c>
      <c r="AD26" s="118">
        <f t="shared" si="8"/>
        <v>1268663.4230329993</v>
      </c>
      <c r="AE26" s="100">
        <f t="shared" si="5"/>
        <v>-3.499163382937847</v>
      </c>
    </row>
    <row r="27" spans="1:31">
      <c r="A27" s="126"/>
      <c r="B27" s="126"/>
      <c r="AB27" t="s">
        <v>577</v>
      </c>
      <c r="AC27" s="127">
        <f t="shared" si="7"/>
        <v>1329052.2217425015</v>
      </c>
      <c r="AD27" s="118">
        <f t="shared" si="8"/>
        <v>1279764.0414074992</v>
      </c>
      <c r="AE27" s="100">
        <f t="shared" si="5"/>
        <v>-3.7085209692047485</v>
      </c>
    </row>
    <row r="28" spans="1:31">
      <c r="A28" s="126"/>
      <c r="AB28" t="s">
        <v>578</v>
      </c>
      <c r="AC28" s="127">
        <f t="shared" si="7"/>
        <v>1343438.7188060016</v>
      </c>
      <c r="AD28" s="118">
        <f t="shared" si="8"/>
        <v>1290864.6597819992</v>
      </c>
      <c r="AE28" s="100">
        <f t="shared" si="5"/>
        <v>-3.9133946556734847</v>
      </c>
    </row>
    <row r="29" spans="1:31">
      <c r="A29" s="126" t="s">
        <v>525</v>
      </c>
      <c r="AB29" t="s">
        <v>579</v>
      </c>
      <c r="AC29" s="127">
        <f t="shared" si="7"/>
        <v>1357825.2158695017</v>
      </c>
      <c r="AD29" s="118">
        <f t="shared" si="8"/>
        <v>1301965.2781564991</v>
      </c>
      <c r="AE29" s="100">
        <f t="shared" si="5"/>
        <v>-4.1139269664565692</v>
      </c>
    </row>
    <row r="30" spans="1:31" s="237" customFormat="1">
      <c r="A30" s="235" t="s">
        <v>445</v>
      </c>
      <c r="B30" s="235" t="s">
        <v>504</v>
      </c>
      <c r="C30" s="236">
        <f>C17*27/1000</f>
        <v>60930.002519999995</v>
      </c>
      <c r="D30" s="236">
        <f t="shared" ref="D30:S30" si="13">D17*27/1000</f>
        <v>84406.878089999998</v>
      </c>
      <c r="E30" s="236">
        <f t="shared" si="13"/>
        <v>85306.837230000005</v>
      </c>
      <c r="F30" s="236"/>
      <c r="G30" s="236">
        <f t="shared" si="13"/>
        <v>828630.57807000005</v>
      </c>
      <c r="H30" s="236">
        <f t="shared" si="13"/>
        <v>1035523.0835999999</v>
      </c>
      <c r="I30" s="236">
        <f t="shared" si="13"/>
        <v>975887.90172000008</v>
      </c>
      <c r="J30" s="236"/>
      <c r="K30" s="236">
        <f t="shared" si="13"/>
        <v>73287.198090000005</v>
      </c>
      <c r="L30" s="236">
        <f t="shared" si="13"/>
        <v>91585.543049999993</v>
      </c>
      <c r="M30" s="236">
        <f t="shared" si="13"/>
        <v>94373.63622</v>
      </c>
      <c r="N30" s="239">
        <f>(M30-L30)/L30</f>
        <v>3.0442503010304611E-2</v>
      </c>
      <c r="O30" s="236"/>
      <c r="P30" s="236"/>
      <c r="Q30" s="236">
        <f t="shared" si="13"/>
        <v>962847.7786800001</v>
      </c>
      <c r="R30" s="236">
        <f t="shared" si="13"/>
        <v>1211515.50474</v>
      </c>
      <c r="S30" s="236">
        <f t="shared" si="13"/>
        <v>1155568.3751700001</v>
      </c>
      <c r="T30" s="239">
        <f>(S30-R30)/R30</f>
        <v>-4.6179458167154477E-2</v>
      </c>
      <c r="AB30" s="237" t="s">
        <v>580</v>
      </c>
      <c r="AC30" s="236">
        <f t="shared" si="7"/>
        <v>1372211.7129330018</v>
      </c>
      <c r="AD30" s="238">
        <f t="shared" si="8"/>
        <v>1313065.8965309991</v>
      </c>
      <c r="AE30" s="100">
        <f t="shared" si="5"/>
        <v>-4.3102544486799976</v>
      </c>
    </row>
    <row r="31" spans="1:31">
      <c r="A31" s="126" t="s">
        <v>447</v>
      </c>
      <c r="B31" s="126" t="s">
        <v>504</v>
      </c>
      <c r="C31" s="127">
        <f>C18*27/1000</f>
        <v>3528.1642499999998</v>
      </c>
      <c r="D31" s="127">
        <f t="shared" ref="D31:S31" si="14">D18*27/1000</f>
        <v>4887.5983200000001</v>
      </c>
      <c r="E31" s="127">
        <f t="shared" si="14"/>
        <v>5173.2666900000004</v>
      </c>
      <c r="F31" s="127"/>
      <c r="G31" s="127">
        <f t="shared" si="14"/>
        <v>54029.808810000002</v>
      </c>
      <c r="H31" s="127">
        <f t="shared" si="14"/>
        <v>67519.972980000006</v>
      </c>
      <c r="I31" s="127">
        <f t="shared" si="14"/>
        <v>58795.494839999999</v>
      </c>
      <c r="J31" s="127"/>
      <c r="K31" s="127">
        <f t="shared" si="14"/>
        <v>4657.3493400000007</v>
      </c>
      <c r="L31" s="127">
        <f t="shared" si="14"/>
        <v>5820.1964099999996</v>
      </c>
      <c r="M31" s="127">
        <f t="shared" si="14"/>
        <v>5462.1426599999995</v>
      </c>
      <c r="N31" s="127"/>
      <c r="O31" s="127"/>
      <c r="P31" s="127"/>
      <c r="Q31" s="127">
        <f t="shared" si="14"/>
        <v>62215.322400000005</v>
      </c>
      <c r="R31" s="127">
        <f t="shared" si="14"/>
        <v>78227.767710000015</v>
      </c>
      <c r="S31" s="127">
        <f t="shared" si="14"/>
        <v>69430.904190000016</v>
      </c>
      <c r="AB31" t="s">
        <v>581</v>
      </c>
      <c r="AC31" s="127">
        <f t="shared" si="7"/>
        <v>1386598.2099965019</v>
      </c>
      <c r="AD31" s="118">
        <f t="shared" si="8"/>
        <v>1324166.5149054991</v>
      </c>
      <c r="AE31" s="100">
        <f t="shared" si="5"/>
        <v>-4.5025079825510774</v>
      </c>
    </row>
    <row r="32" spans="1:31">
      <c r="A32" s="126" t="s">
        <v>450</v>
      </c>
      <c r="B32" s="126" t="s">
        <v>504</v>
      </c>
      <c r="C32" s="127">
        <f>C19*1/1000</f>
        <v>958.99072000000001</v>
      </c>
      <c r="D32" s="127">
        <f t="shared" ref="D32:S36" si="15">D19*1/1000</f>
        <v>1328.4825600000001</v>
      </c>
      <c r="E32" s="127">
        <f t="shared" si="15"/>
        <v>1575.6436899999999</v>
      </c>
      <c r="F32" s="127"/>
      <c r="G32" s="127">
        <f t="shared" si="15"/>
        <v>1555.02</v>
      </c>
      <c r="H32" s="127">
        <f t="shared" si="15"/>
        <v>1943.2786599999999</v>
      </c>
      <c r="I32" s="127">
        <f t="shared" si="15"/>
        <v>2757.7276499999998</v>
      </c>
      <c r="J32" s="127"/>
      <c r="K32" s="127">
        <f t="shared" si="15"/>
        <v>293.61561999999998</v>
      </c>
      <c r="L32" s="127">
        <f t="shared" si="15"/>
        <v>366.92563999999999</v>
      </c>
      <c r="M32" s="127">
        <f t="shared" si="15"/>
        <v>540.89498000000003</v>
      </c>
      <c r="N32" s="127"/>
      <c r="O32" s="127"/>
      <c r="P32" s="127"/>
      <c r="Q32" s="127">
        <f t="shared" si="15"/>
        <v>2807.6263399999998</v>
      </c>
      <c r="R32" s="127">
        <f t="shared" si="15"/>
        <v>3638.6868599999998</v>
      </c>
      <c r="S32" s="127">
        <f t="shared" si="15"/>
        <v>4874.2663200000006</v>
      </c>
      <c r="AB32" t="s">
        <v>582</v>
      </c>
      <c r="AC32" s="127">
        <f t="shared" si="7"/>
        <v>1400984.707060002</v>
      </c>
      <c r="AD32" s="118">
        <f t="shared" si="8"/>
        <v>1335267.133279999</v>
      </c>
      <c r="AE32" s="100">
        <f t="shared" si="5"/>
        <v>-4.6908130723220252</v>
      </c>
    </row>
    <row r="33" spans="1:30">
      <c r="A33" s="126" t="s">
        <v>452</v>
      </c>
      <c r="B33" s="126" t="s">
        <v>504</v>
      </c>
      <c r="C33" s="127">
        <f t="shared" ref="C33:S36" si="16">C20*1/1000</f>
        <v>98.505229999999997</v>
      </c>
      <c r="D33" s="127">
        <f t="shared" si="16"/>
        <v>136.45875000000001</v>
      </c>
      <c r="E33" s="127">
        <f t="shared" si="16"/>
        <v>151.74303</v>
      </c>
      <c r="F33" s="127"/>
      <c r="G33" s="127">
        <f t="shared" si="16"/>
        <v>532.16592000000003</v>
      </c>
      <c r="H33" s="127">
        <f t="shared" si="16"/>
        <v>665.03710999999998</v>
      </c>
      <c r="I33" s="127">
        <f t="shared" si="16"/>
        <v>788.83697999999993</v>
      </c>
      <c r="J33" s="127"/>
      <c r="K33" s="127">
        <f t="shared" si="16"/>
        <v>46.27478</v>
      </c>
      <c r="L33" s="127">
        <f t="shared" si="16"/>
        <v>57.828679999999999</v>
      </c>
      <c r="M33" s="127">
        <f t="shared" si="16"/>
        <v>81.673320000000004</v>
      </c>
      <c r="N33" s="127"/>
      <c r="O33" s="127"/>
      <c r="P33" s="127"/>
      <c r="Q33" s="127">
        <f t="shared" si="16"/>
        <v>676.94593000000009</v>
      </c>
      <c r="R33" s="127">
        <f t="shared" si="16"/>
        <v>859.32454000000007</v>
      </c>
      <c r="S33" s="127">
        <f t="shared" si="16"/>
        <v>1022.2533300000001</v>
      </c>
      <c r="AC33" s="127"/>
      <c r="AD33" s="118"/>
    </row>
    <row r="34" spans="1:30">
      <c r="A34" s="126" t="s">
        <v>453</v>
      </c>
      <c r="B34" s="126" t="s">
        <v>504</v>
      </c>
      <c r="C34" s="127">
        <f t="shared" si="16"/>
        <v>2901.96137</v>
      </c>
      <c r="D34" s="127">
        <f t="shared" si="15"/>
        <v>4020.0815600000001</v>
      </c>
      <c r="E34" s="127">
        <f t="shared" si="15"/>
        <v>3742.9684400000001</v>
      </c>
      <c r="F34" s="127"/>
      <c r="G34" s="127">
        <f t="shared" si="15"/>
        <v>16112.679779999999</v>
      </c>
      <c r="H34" s="127">
        <f t="shared" si="15"/>
        <v>20135.69426</v>
      </c>
      <c r="I34" s="127">
        <f t="shared" si="15"/>
        <v>18235.153569999999</v>
      </c>
      <c r="J34" s="127"/>
      <c r="K34" s="127">
        <f t="shared" si="15"/>
        <v>1404.164</v>
      </c>
      <c r="L34" s="127">
        <f t="shared" si="15"/>
        <v>1754.7566200000001</v>
      </c>
      <c r="M34" s="127">
        <f t="shared" si="15"/>
        <v>1653.15994</v>
      </c>
      <c r="N34" s="127"/>
      <c r="O34" s="127"/>
      <c r="P34" s="127"/>
      <c r="Q34" s="127">
        <f t="shared" si="15"/>
        <v>20418.80515</v>
      </c>
      <c r="R34" s="127">
        <f t="shared" si="15"/>
        <v>25910.532440000003</v>
      </c>
      <c r="S34" s="127">
        <f t="shared" si="15"/>
        <v>23631.281950000004</v>
      </c>
      <c r="AC34" s="127"/>
      <c r="AD34" s="118"/>
    </row>
    <row r="35" spans="1:30">
      <c r="A35" s="126" t="s">
        <v>454</v>
      </c>
      <c r="B35" s="126" t="s">
        <v>504</v>
      </c>
      <c r="C35" s="127">
        <f t="shared" si="16"/>
        <v>2.6843400000000002</v>
      </c>
      <c r="D35" s="127">
        <f t="shared" si="15"/>
        <v>3.7186900000000001</v>
      </c>
      <c r="E35" s="127">
        <f t="shared" si="15"/>
        <v>3.81271</v>
      </c>
      <c r="F35" s="127"/>
      <c r="G35" s="127">
        <f t="shared" si="15"/>
        <v>23.578020000000002</v>
      </c>
      <c r="H35" s="127">
        <f t="shared" si="15"/>
        <v>29.464980000000001</v>
      </c>
      <c r="I35" s="127">
        <f t="shared" si="15"/>
        <v>29.054740000000002</v>
      </c>
      <c r="J35" s="127"/>
      <c r="K35" s="127">
        <f t="shared" si="15"/>
        <v>2.0502399999999996</v>
      </c>
      <c r="L35" s="127">
        <f t="shared" si="15"/>
        <v>2.5621399999999999</v>
      </c>
      <c r="M35" s="127">
        <f t="shared" si="15"/>
        <v>2.7351700000000001</v>
      </c>
      <c r="N35" s="127"/>
      <c r="O35" s="127"/>
      <c r="P35" s="127"/>
      <c r="Q35" s="127">
        <f t="shared" si="15"/>
        <v>28.3126</v>
      </c>
      <c r="R35" s="127">
        <f t="shared" si="15"/>
        <v>35.745809999999999</v>
      </c>
      <c r="S35" s="127">
        <f t="shared" si="15"/>
        <v>35.602620000000002</v>
      </c>
      <c r="AC35" s="127"/>
      <c r="AD35" s="118"/>
    </row>
    <row r="36" spans="1:30">
      <c r="A36" s="126" t="s">
        <v>455</v>
      </c>
      <c r="B36" s="126" t="s">
        <v>504</v>
      </c>
      <c r="C36" s="127">
        <f t="shared" si="16"/>
        <v>61.760589999999993</v>
      </c>
      <c r="D36" s="127">
        <f t="shared" si="15"/>
        <v>85.555929999999989</v>
      </c>
      <c r="E36" s="127">
        <f t="shared" si="15"/>
        <v>91.354009999999988</v>
      </c>
      <c r="F36" s="127"/>
      <c r="G36" s="127">
        <f t="shared" si="15"/>
        <v>162.20476000000002</v>
      </c>
      <c r="H36" s="127">
        <f t="shared" si="15"/>
        <v>202.70405</v>
      </c>
      <c r="I36" s="127">
        <f t="shared" si="15"/>
        <v>199.88182</v>
      </c>
      <c r="J36" s="127"/>
      <c r="K36" s="127">
        <f t="shared" si="15"/>
        <v>14.104610000000001</v>
      </c>
      <c r="L36" s="127">
        <f t="shared" si="15"/>
        <v>17.626240000000003</v>
      </c>
      <c r="M36" s="127">
        <f t="shared" si="15"/>
        <v>18.816590000000001</v>
      </c>
      <c r="N36" s="127"/>
      <c r="O36" s="127"/>
      <c r="P36" s="127"/>
      <c r="Q36" s="127">
        <f t="shared" si="15"/>
        <v>238.06996000000001</v>
      </c>
      <c r="R36" s="127">
        <f t="shared" si="15"/>
        <v>305.88621999999998</v>
      </c>
      <c r="S36" s="127">
        <f t="shared" si="15"/>
        <v>310.05242000000004</v>
      </c>
      <c r="AC36" s="127"/>
      <c r="AD36" s="118"/>
    </row>
    <row r="37" spans="1:30">
      <c r="A37" t="s">
        <v>461</v>
      </c>
      <c r="B37" s="126" t="s">
        <v>504</v>
      </c>
      <c r="C37" s="127">
        <f>C24*273/1000</f>
        <v>0.55418999999999996</v>
      </c>
      <c r="D37" s="127">
        <f t="shared" ref="D37:S37" si="17">D24*273/1000</f>
        <v>0.76712999999999998</v>
      </c>
      <c r="E37" s="127">
        <f t="shared" si="17"/>
        <v>0.75621000000000005</v>
      </c>
      <c r="F37" s="127"/>
      <c r="G37" s="127">
        <f t="shared" si="17"/>
        <v>8.8752300000000002</v>
      </c>
      <c r="H37" s="127">
        <f t="shared" si="17"/>
        <v>11.089259999999998</v>
      </c>
      <c r="I37" s="127">
        <f t="shared" si="17"/>
        <v>5.4354300000000002</v>
      </c>
      <c r="J37" s="127"/>
      <c r="K37" s="127">
        <f t="shared" si="17"/>
        <v>0.79443000000000008</v>
      </c>
      <c r="L37" s="127">
        <f t="shared" si="17"/>
        <v>0.99099000000000004</v>
      </c>
      <c r="M37" s="127">
        <f t="shared" si="17"/>
        <v>0.55146000000000006</v>
      </c>
      <c r="N37" s="127"/>
      <c r="O37" s="127"/>
      <c r="P37" s="127"/>
      <c r="Q37" s="127">
        <f t="shared" si="17"/>
        <v>10.223850000000001</v>
      </c>
      <c r="R37" s="127">
        <f t="shared" si="17"/>
        <v>12.847380000000001</v>
      </c>
      <c r="S37" s="127">
        <f t="shared" si="17"/>
        <v>6.7430999999999992</v>
      </c>
      <c r="AC37" s="127"/>
      <c r="AD37" s="118"/>
    </row>
    <row r="38" spans="1:30">
      <c r="A38" t="s">
        <v>462</v>
      </c>
      <c r="B38" s="126" t="s">
        <v>504</v>
      </c>
      <c r="C38" s="127">
        <f>C25*273/1000</f>
        <v>3570.6434400000003</v>
      </c>
      <c r="D38" s="127">
        <f t="shared" ref="D38:S38" si="18">D25*273/1000</f>
        <v>4946.45424</v>
      </c>
      <c r="E38" s="127">
        <f t="shared" si="18"/>
        <v>4421.83014</v>
      </c>
      <c r="F38" s="127"/>
      <c r="G38" s="127">
        <f t="shared" si="18"/>
        <v>55677.083279999992</v>
      </c>
      <c r="H38" s="127">
        <f t="shared" si="18"/>
        <v>69578.540850000005</v>
      </c>
      <c r="I38" s="127">
        <f t="shared" si="18"/>
        <v>69454.123829999997</v>
      </c>
      <c r="J38" s="127"/>
      <c r="K38" s="127">
        <f t="shared" si="18"/>
        <v>4763.9537399999999</v>
      </c>
      <c r="L38" s="127">
        <f t="shared" si="18"/>
        <v>5953.4174699999994</v>
      </c>
      <c r="M38" s="127">
        <f t="shared" si="18"/>
        <v>6511.69974</v>
      </c>
      <c r="N38" s="127"/>
      <c r="O38" s="127"/>
      <c r="P38" s="127"/>
      <c r="Q38" s="127">
        <f t="shared" si="18"/>
        <v>64011.680459999996</v>
      </c>
      <c r="R38" s="127">
        <f t="shared" si="18"/>
        <v>80478.412559999997</v>
      </c>
      <c r="S38" s="127">
        <f t="shared" si="18"/>
        <v>80387.653710000013</v>
      </c>
      <c r="V38" s="126" t="s">
        <v>526</v>
      </c>
    </row>
    <row r="39" spans="1:30">
      <c r="A39" s="126"/>
      <c r="B39" s="126"/>
      <c r="V39" s="110" t="s">
        <v>428</v>
      </c>
      <c r="W39" t="s">
        <v>501</v>
      </c>
      <c r="X39" s="126" t="s">
        <v>505</v>
      </c>
    </row>
    <row r="40" spans="1:30">
      <c r="A40" s="126"/>
      <c r="V40" s="127">
        <f>R7/1000</f>
        <v>164713.27289999998</v>
      </c>
      <c r="W40" s="127">
        <f>S7/1000</f>
        <v>223288.30549999999</v>
      </c>
      <c r="X40" s="97">
        <f>(W40-V40)/V40</f>
        <v>0.35561816949361347</v>
      </c>
    </row>
    <row r="41" spans="1:30">
      <c r="A41" s="126"/>
    </row>
    <row r="42" spans="1:30">
      <c r="A42" s="126"/>
      <c r="C42" s="110" t="s">
        <v>556</v>
      </c>
      <c r="D42" s="110" t="s">
        <v>428</v>
      </c>
      <c r="E42" t="s">
        <v>501</v>
      </c>
      <c r="G42" s="110" t="s">
        <v>556</v>
      </c>
      <c r="H42" s="110" t="s">
        <v>428</v>
      </c>
      <c r="I42" t="s">
        <v>501</v>
      </c>
      <c r="Q42" s="249" t="s">
        <v>583</v>
      </c>
      <c r="R42" s="249"/>
      <c r="S42" s="249"/>
    </row>
    <row r="43" spans="1:30">
      <c r="A43" s="126" t="s">
        <v>527</v>
      </c>
      <c r="B43" s="126" t="s">
        <v>504</v>
      </c>
      <c r="C43" s="128">
        <f>Q30</f>
        <v>962847.7786800001</v>
      </c>
      <c r="D43" s="128">
        <f t="shared" ref="D43:E43" si="19">R30</f>
        <v>1211515.50474</v>
      </c>
      <c r="E43" s="128">
        <f t="shared" si="19"/>
        <v>1155568.3751700001</v>
      </c>
      <c r="F43" s="128"/>
      <c r="G43" s="97">
        <f>C43/$C$49</f>
        <v>0.86489436976269241</v>
      </c>
      <c r="H43" s="111">
        <f>D43/$D$49</f>
        <v>0.86475997746233957</v>
      </c>
      <c r="I43" s="111">
        <f>E43/$E$49</f>
        <v>0.86542111819839873</v>
      </c>
      <c r="J43" s="111"/>
      <c r="Q43" t="s">
        <v>428</v>
      </c>
      <c r="R43" t="s">
        <v>429</v>
      </c>
    </row>
    <row r="44" spans="1:30">
      <c r="A44" s="126" t="s">
        <v>528</v>
      </c>
      <c r="B44" s="126" t="s">
        <v>504</v>
      </c>
      <c r="C44" s="128">
        <f>Q31</f>
        <v>62215.322400000005</v>
      </c>
      <c r="D44" s="128">
        <f t="shared" ref="D44:E44" si="20">R31</f>
        <v>78227.767710000015</v>
      </c>
      <c r="E44" s="128">
        <f t="shared" si="20"/>
        <v>69430.904190000016</v>
      </c>
      <c r="F44" s="128"/>
      <c r="G44" s="97">
        <f t="shared" ref="G44:G48" si="21">C44/$C$49</f>
        <v>5.5885969982191995E-2</v>
      </c>
      <c r="H44" s="111">
        <f t="shared" ref="H44:H48" si="22">D44/$D$49</f>
        <v>5.5837702759195439E-2</v>
      </c>
      <c r="I44" s="111">
        <f t="shared" ref="I44:I48" si="23">E44/$E$49</f>
        <v>5.1997763207041796E-2</v>
      </c>
      <c r="J44" s="111"/>
      <c r="P44" t="s">
        <v>0</v>
      </c>
      <c r="Q44" s="125">
        <f>D7</f>
        <v>49203057.75</v>
      </c>
      <c r="R44" s="125">
        <f>E7</f>
        <v>58357173.880000003</v>
      </c>
      <c r="S44" s="123">
        <f>(R44-Q44)/Q44</f>
        <v>0.18604770818333954</v>
      </c>
    </row>
    <row r="45" spans="1:30">
      <c r="A45" t="s">
        <v>461</v>
      </c>
      <c r="B45" s="126" t="s">
        <v>504</v>
      </c>
      <c r="C45" s="128">
        <f>Q37</f>
        <v>10.223850000000001</v>
      </c>
      <c r="D45" s="128">
        <f t="shared" ref="D45:E45" si="24">R37</f>
        <v>12.847380000000001</v>
      </c>
      <c r="E45" s="128">
        <f t="shared" si="24"/>
        <v>6.7430999999999992</v>
      </c>
      <c r="F45" s="128"/>
      <c r="G45" s="135">
        <f t="shared" si="21"/>
        <v>9.1837468996613869E-6</v>
      </c>
      <c r="H45" s="135">
        <f t="shared" si="22"/>
        <v>9.1702499850667439E-6</v>
      </c>
      <c r="I45" s="135">
        <f t="shared" si="23"/>
        <v>5.0500007334184113E-6</v>
      </c>
      <c r="J45" s="135"/>
      <c r="P45" t="s">
        <v>1</v>
      </c>
      <c r="Q45" s="125">
        <f>H7</f>
        <v>97163932.950000003</v>
      </c>
      <c r="R45" s="125">
        <f>I7</f>
        <v>137886382.72</v>
      </c>
      <c r="S45" s="123">
        <f t="shared" ref="S45:S47" si="25">(R45-Q45)/Q45</f>
        <v>0.41911075986349311</v>
      </c>
    </row>
    <row r="46" spans="1:30">
      <c r="A46" t="s">
        <v>462</v>
      </c>
      <c r="B46" s="126" t="s">
        <v>504</v>
      </c>
      <c r="C46" s="128">
        <f>Q38</f>
        <v>64011.680459999996</v>
      </c>
      <c r="D46" s="128">
        <f t="shared" ref="D46:E46" si="26">R38</f>
        <v>80478.412559999997</v>
      </c>
      <c r="E46" s="128">
        <f t="shared" si="26"/>
        <v>80387.653710000013</v>
      </c>
      <c r="F46" s="128"/>
      <c r="G46" s="97">
        <f t="shared" si="21"/>
        <v>5.7499579118105243E-2</v>
      </c>
      <c r="H46" s="111">
        <f t="shared" si="22"/>
        <v>5.7444176289370687E-2</v>
      </c>
      <c r="I46" s="111">
        <f t="shared" si="23"/>
        <v>6.0203424269740229E-2</v>
      </c>
      <c r="J46" s="111"/>
      <c r="P46" t="s">
        <v>2</v>
      </c>
      <c r="Q46" s="125">
        <f>L7</f>
        <v>18346282.199999999</v>
      </c>
      <c r="R46" s="125">
        <f>M7</f>
        <v>27044748.899999999</v>
      </c>
      <c r="S46" s="123">
        <f t="shared" si="25"/>
        <v>0.47412694327791383</v>
      </c>
    </row>
    <row r="47" spans="1:30">
      <c r="A47" s="126" t="s">
        <v>529</v>
      </c>
      <c r="B47" s="126" t="s">
        <v>504</v>
      </c>
      <c r="C47" s="128">
        <f>Q32+Q33</f>
        <v>3484.5722699999997</v>
      </c>
      <c r="D47" s="128">
        <f t="shared" ref="D47:E47" si="27">R32+R33</f>
        <v>4498.0113999999994</v>
      </c>
      <c r="E47" s="128">
        <f t="shared" si="27"/>
        <v>5896.5196500000011</v>
      </c>
      <c r="F47" s="128"/>
      <c r="G47" s="97">
        <f t="shared" si="21"/>
        <v>3.1300762218986521E-3</v>
      </c>
      <c r="H47" s="111">
        <f t="shared" si="22"/>
        <v>3.2106070633607813E-3</v>
      </c>
      <c r="I47" s="111">
        <f t="shared" si="23"/>
        <v>4.4159850153662385E-3</v>
      </c>
      <c r="J47" s="111"/>
      <c r="Q47" s="125">
        <f>SUM(Q44:Q46)</f>
        <v>164713272.89999998</v>
      </c>
      <c r="R47" s="125">
        <f>SUM(R44:R46)</f>
        <v>223288305.5</v>
      </c>
      <c r="S47" s="123">
        <f t="shared" si="25"/>
        <v>0.35561816949361358</v>
      </c>
    </row>
    <row r="48" spans="1:30">
      <c r="A48" s="126" t="s">
        <v>584</v>
      </c>
      <c r="B48" s="126" t="s">
        <v>504</v>
      </c>
      <c r="C48" s="128">
        <f>Q34+Q35+Q36</f>
        <v>20685.187710000002</v>
      </c>
      <c r="D48" s="128">
        <f t="shared" ref="D48:E48" si="28">R34+R35+R36</f>
        <v>26252.164470000003</v>
      </c>
      <c r="E48" s="128">
        <f t="shared" si="28"/>
        <v>23976.936990000006</v>
      </c>
      <c r="F48" s="128"/>
      <c r="G48" s="97">
        <f t="shared" si="21"/>
        <v>1.8580821168212202E-2</v>
      </c>
      <c r="H48" s="111">
        <f t="shared" si="22"/>
        <v>1.8738366175748457E-2</v>
      </c>
      <c r="I48" s="111">
        <f t="shared" si="23"/>
        <v>1.7956659308719591E-2</v>
      </c>
      <c r="J48" s="111"/>
    </row>
    <row r="49" spans="3:24">
      <c r="C49" s="2">
        <f>SUM(C43:C48)</f>
        <v>1113254.7653699999</v>
      </c>
      <c r="D49" s="2">
        <f t="shared" ref="D49:E49" si="29">SUM(D43:D48)</f>
        <v>1400984.70826</v>
      </c>
      <c r="E49" s="2">
        <f t="shared" si="29"/>
        <v>1335267.1328100001</v>
      </c>
      <c r="F49" s="2"/>
    </row>
    <row r="58" spans="3:24">
      <c r="V58" s="126" t="s">
        <v>531</v>
      </c>
    </row>
    <row r="59" spans="3:24">
      <c r="V59" s="110" t="s">
        <v>428</v>
      </c>
      <c r="W59" t="s">
        <v>501</v>
      </c>
      <c r="X59" s="126" t="s">
        <v>505</v>
      </c>
    </row>
    <row r="60" spans="3:24">
      <c r="V60" s="125">
        <f>R11</f>
        <v>2089591.4867799999</v>
      </c>
      <c r="W60" s="125">
        <f>S11</f>
        <v>1988169.1987900001</v>
      </c>
      <c r="X60" s="99">
        <f>(W60-V60)/V60</f>
        <v>-4.8536897585799738E-2</v>
      </c>
    </row>
  </sheetData>
  <mergeCells count="7">
    <mergeCell ref="Q42:S42"/>
    <mergeCell ref="V2:W2"/>
    <mergeCell ref="C1:E1"/>
    <mergeCell ref="G1:I1"/>
    <mergeCell ref="K1:M1"/>
    <mergeCell ref="N1:P1"/>
    <mergeCell ref="Q1:S1"/>
  </mergeCells>
  <phoneticPr fontId="20"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10FF4-5019-46A1-8DE4-8B8FA966E3F8}">
  <dimension ref="A13:F23"/>
  <sheetViews>
    <sheetView workbookViewId="0">
      <selection activeCell="D16" sqref="D16"/>
    </sheetView>
  </sheetViews>
  <sheetFormatPr defaultColWidth="11.42578125" defaultRowHeight="14.45"/>
  <cols>
    <col min="2" max="2" width="35.7109375" bestFit="1" customWidth="1"/>
  </cols>
  <sheetData>
    <row r="13" spans="1:6">
      <c r="A13" s="108" t="s">
        <v>585</v>
      </c>
    </row>
    <row r="14" spans="1:6">
      <c r="B14" t="s">
        <v>586</v>
      </c>
    </row>
    <row r="15" spans="1:6">
      <c r="B15" s="4" t="s">
        <v>587</v>
      </c>
      <c r="D15" s="4" t="s">
        <v>588</v>
      </c>
      <c r="E15" s="4" t="s">
        <v>589</v>
      </c>
    </row>
    <row r="16" spans="1:6">
      <c r="B16" t="s">
        <v>587</v>
      </c>
      <c r="C16" t="s">
        <v>588</v>
      </c>
      <c r="D16" s="196">
        <v>7830.9500000000016</v>
      </c>
      <c r="E16">
        <f>20+449+665</f>
        <v>1134</v>
      </c>
      <c r="F16" s="112">
        <f>E16/D16</f>
        <v>0.14481001666464474</v>
      </c>
    </row>
    <row r="17" spans="2:4">
      <c r="B17" s="4" t="s">
        <v>590</v>
      </c>
      <c r="D17" s="196"/>
    </row>
    <row r="18" spans="2:4">
      <c r="B18" t="s">
        <v>591</v>
      </c>
      <c r="C18" t="s">
        <v>588</v>
      </c>
      <c r="D18" s="196">
        <v>92248.590999999986</v>
      </c>
    </row>
    <row r="19" spans="2:4">
      <c r="B19" t="s">
        <v>592</v>
      </c>
      <c r="C19" t="s">
        <v>588</v>
      </c>
      <c r="D19" s="196">
        <v>56539.458999999995</v>
      </c>
    </row>
    <row r="20" spans="2:4">
      <c r="B20" t="s">
        <v>593</v>
      </c>
      <c r="C20" t="s">
        <v>588</v>
      </c>
      <c r="D20" s="196">
        <v>156618.99999999997</v>
      </c>
    </row>
    <row r="23" spans="2:4">
      <c r="B23" t="s">
        <v>594</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15D54-5195-4BFB-9500-5AD8A07E2E76}">
  <dimension ref="A1:AB88"/>
  <sheetViews>
    <sheetView workbookViewId="0">
      <selection activeCell="A18" sqref="A18"/>
    </sheetView>
  </sheetViews>
  <sheetFormatPr defaultColWidth="8.85546875" defaultRowHeight="14.45"/>
  <cols>
    <col min="1" max="1" width="42.140625" bestFit="1" customWidth="1"/>
    <col min="3" max="3" width="11.28515625" bestFit="1" customWidth="1"/>
    <col min="4" max="4" width="10.28515625" bestFit="1" customWidth="1"/>
    <col min="6" max="6" width="10.28515625" bestFit="1" customWidth="1"/>
    <col min="7" max="7" width="9.28515625" bestFit="1" customWidth="1"/>
    <col min="11" max="12" width="12.85546875" customWidth="1"/>
    <col min="13" max="14" width="12.140625" customWidth="1"/>
    <col min="15" max="16" width="13.7109375" customWidth="1"/>
    <col min="17" max="17" width="13.28515625" customWidth="1"/>
    <col min="18" max="18" width="11.28515625" bestFit="1" customWidth="1"/>
    <col min="21" max="21" width="9.7109375" customWidth="1"/>
    <col min="22" max="24" width="10.5703125" bestFit="1" customWidth="1"/>
    <col min="25" max="25" width="9.7109375" customWidth="1"/>
    <col min="26" max="26" width="9.5703125" bestFit="1" customWidth="1"/>
    <col min="27" max="27" width="9.7109375" customWidth="1"/>
    <col min="28" max="28" width="9" bestFit="1" customWidth="1"/>
  </cols>
  <sheetData>
    <row r="1" spans="1:28">
      <c r="K1" s="106"/>
      <c r="L1" s="106"/>
      <c r="M1" s="106"/>
      <c r="N1" s="106"/>
      <c r="O1" s="106"/>
      <c r="P1" s="106"/>
      <c r="Q1" s="106"/>
      <c r="R1" s="93"/>
      <c r="U1" s="248" t="s">
        <v>74</v>
      </c>
      <c r="V1" s="248"/>
      <c r="W1" s="248"/>
      <c r="X1" s="248"/>
      <c r="Y1" s="248"/>
      <c r="Z1" s="248"/>
      <c r="AA1" s="248"/>
      <c r="AB1" s="248"/>
    </row>
    <row r="2" spans="1:28">
      <c r="A2" s="4" t="s">
        <v>75</v>
      </c>
      <c r="B2" s="4"/>
      <c r="C2" s="249" t="s">
        <v>76</v>
      </c>
      <c r="D2" s="249"/>
      <c r="E2" s="249"/>
      <c r="F2" s="249" t="s">
        <v>77</v>
      </c>
      <c r="G2" s="249"/>
      <c r="H2" s="249"/>
      <c r="K2" s="250" t="s">
        <v>76</v>
      </c>
      <c r="L2" s="250"/>
      <c r="M2" s="250"/>
      <c r="N2" s="250"/>
      <c r="O2" s="247" t="s">
        <v>77</v>
      </c>
      <c r="P2" s="247"/>
      <c r="Q2" s="247"/>
      <c r="R2" s="247"/>
      <c r="U2" s="250" t="s">
        <v>76</v>
      </c>
      <c r="V2" s="250"/>
      <c r="W2" s="250"/>
      <c r="X2" s="250"/>
      <c r="Y2" s="247" t="s">
        <v>77</v>
      </c>
      <c r="Z2" s="247"/>
      <c r="AA2" s="247"/>
      <c r="AB2" s="247"/>
    </row>
    <row r="3" spans="1:28" ht="27.6" customHeight="1">
      <c r="A3" s="4" t="s">
        <v>3</v>
      </c>
      <c r="B3" s="4" t="s">
        <v>4</v>
      </c>
      <c r="C3" s="4" t="s">
        <v>78</v>
      </c>
      <c r="D3" s="106" t="s">
        <v>79</v>
      </c>
      <c r="E3" s="106" t="s">
        <v>80</v>
      </c>
      <c r="F3" s="4" t="s">
        <v>78</v>
      </c>
      <c r="G3" s="106" t="s">
        <v>79</v>
      </c>
      <c r="H3" s="4" t="s">
        <v>80</v>
      </c>
      <c r="K3" s="106" t="s">
        <v>81</v>
      </c>
      <c r="L3" s="4" t="s">
        <v>82</v>
      </c>
      <c r="M3" s="106" t="s">
        <v>83</v>
      </c>
      <c r="N3" s="4" t="s">
        <v>82</v>
      </c>
      <c r="O3" s="106" t="s">
        <v>81</v>
      </c>
      <c r="P3" s="4" t="s">
        <v>82</v>
      </c>
      <c r="Q3" s="106" t="s">
        <v>84</v>
      </c>
      <c r="R3" s="4" t="s">
        <v>82</v>
      </c>
      <c r="U3" s="136" t="s">
        <v>81</v>
      </c>
      <c r="V3" s="137" t="s">
        <v>82</v>
      </c>
      <c r="W3" s="138" t="s">
        <v>83</v>
      </c>
      <c r="X3" s="139" t="s">
        <v>82</v>
      </c>
      <c r="Y3" s="140" t="s">
        <v>81</v>
      </c>
      <c r="Z3" s="141" t="s">
        <v>82</v>
      </c>
      <c r="AA3" s="142" t="s">
        <v>84</v>
      </c>
      <c r="AB3" s="143" t="s">
        <v>82</v>
      </c>
    </row>
    <row r="4" spans="1:28">
      <c r="A4" t="s">
        <v>14</v>
      </c>
      <c r="B4" t="s">
        <v>15</v>
      </c>
      <c r="C4">
        <f>2.5*12</f>
        <v>30</v>
      </c>
      <c r="D4">
        <f>2.5*12</f>
        <v>30</v>
      </c>
      <c r="E4">
        <f>2.5*12</f>
        <v>30</v>
      </c>
      <c r="F4">
        <f>3.8*12</f>
        <v>45.599999999999994</v>
      </c>
      <c r="G4">
        <f>3.8*12</f>
        <v>45.599999999999994</v>
      </c>
      <c r="H4">
        <f>3.8*12</f>
        <v>45.599999999999994</v>
      </c>
      <c r="K4">
        <f>C4</f>
        <v>30</v>
      </c>
      <c r="L4">
        <f>K4</f>
        <v>30</v>
      </c>
      <c r="M4">
        <f>D4</f>
        <v>30</v>
      </c>
      <c r="N4">
        <f>M4</f>
        <v>30</v>
      </c>
      <c r="O4">
        <f>F4</f>
        <v>45.599999999999994</v>
      </c>
      <c r="P4">
        <f>O4*0.8</f>
        <v>36.479999999999997</v>
      </c>
      <c r="Q4">
        <f>G4</f>
        <v>45.599999999999994</v>
      </c>
      <c r="R4">
        <f>Q4*0.8</f>
        <v>36.479999999999997</v>
      </c>
      <c r="U4">
        <f>K4</f>
        <v>30</v>
      </c>
      <c r="V4">
        <f t="shared" ref="V4:AB4" si="0">L4</f>
        <v>30</v>
      </c>
      <c r="W4">
        <f t="shared" si="0"/>
        <v>30</v>
      </c>
      <c r="X4">
        <f t="shared" si="0"/>
        <v>30</v>
      </c>
      <c r="Y4">
        <f t="shared" si="0"/>
        <v>45.599999999999994</v>
      </c>
      <c r="Z4">
        <f t="shared" si="0"/>
        <v>36.479999999999997</v>
      </c>
      <c r="AA4">
        <f t="shared" si="0"/>
        <v>45.599999999999994</v>
      </c>
      <c r="AB4">
        <f t="shared" si="0"/>
        <v>36.479999999999997</v>
      </c>
    </row>
    <row r="5" spans="1:28">
      <c r="A5" t="s">
        <v>16</v>
      </c>
      <c r="B5" t="s">
        <v>17</v>
      </c>
      <c r="C5">
        <v>5.3</v>
      </c>
      <c r="D5">
        <v>4.7</v>
      </c>
      <c r="E5">
        <v>6.4</v>
      </c>
      <c r="F5">
        <v>6.7</v>
      </c>
      <c r="G5">
        <v>5.2</v>
      </c>
      <c r="H5">
        <v>5.3</v>
      </c>
      <c r="K5">
        <f t="shared" ref="K5:K88" si="1">C5</f>
        <v>5.3</v>
      </c>
      <c r="L5">
        <f t="shared" ref="L5:L7" si="2">K5</f>
        <v>5.3</v>
      </c>
      <c r="M5">
        <f t="shared" ref="M5:M87" si="3">D5</f>
        <v>4.7</v>
      </c>
      <c r="N5">
        <f>M5</f>
        <v>4.7</v>
      </c>
      <c r="O5">
        <f t="shared" ref="O5:O87" si="4">F5</f>
        <v>6.7</v>
      </c>
      <c r="P5">
        <f>O5*0.9</f>
        <v>6.03</v>
      </c>
      <c r="Q5">
        <f t="shared" ref="Q5:Q49" si="5">G5</f>
        <v>5.2</v>
      </c>
      <c r="R5">
        <f>Q5*0.9</f>
        <v>4.6800000000000006</v>
      </c>
      <c r="U5">
        <f t="shared" ref="U5:U68" si="6">K5</f>
        <v>5.3</v>
      </c>
      <c r="V5">
        <f t="shared" ref="V5:V68" si="7">L5</f>
        <v>5.3</v>
      </c>
      <c r="W5">
        <f t="shared" ref="W5:W68" si="8">M5</f>
        <v>4.7</v>
      </c>
      <c r="X5">
        <f t="shared" ref="X5:X68" si="9">N5</f>
        <v>4.7</v>
      </c>
      <c r="Y5">
        <f t="shared" ref="Y5:Y68" si="10">O5</f>
        <v>6.7</v>
      </c>
      <c r="Z5">
        <f>Y5*0.95</f>
        <v>6.3650000000000002</v>
      </c>
      <c r="AA5">
        <f t="shared" ref="AA5:AA68" si="11">Q5</f>
        <v>5.2</v>
      </c>
      <c r="AB5">
        <f>AA5*0.95</f>
        <v>4.9399999999999995</v>
      </c>
    </row>
    <row r="6" spans="1:28">
      <c r="A6" t="s">
        <v>18</v>
      </c>
      <c r="B6" t="s">
        <v>17</v>
      </c>
      <c r="C6">
        <v>1.7</v>
      </c>
      <c r="D6">
        <v>1.7</v>
      </c>
      <c r="E6">
        <v>1.2</v>
      </c>
      <c r="F6">
        <v>1.7</v>
      </c>
      <c r="G6">
        <v>5.7</v>
      </c>
      <c r="H6">
        <v>0.6</v>
      </c>
      <c r="K6">
        <f t="shared" si="1"/>
        <v>1.7</v>
      </c>
      <c r="L6">
        <f t="shared" si="2"/>
        <v>1.7</v>
      </c>
      <c r="M6">
        <f t="shared" si="3"/>
        <v>1.7</v>
      </c>
      <c r="N6">
        <f t="shared" ref="N6:N7" si="12">M6</f>
        <v>1.7</v>
      </c>
      <c r="O6">
        <f t="shared" si="4"/>
        <v>1.7</v>
      </c>
      <c r="P6">
        <f>O6</f>
        <v>1.7</v>
      </c>
      <c r="Q6">
        <f t="shared" si="5"/>
        <v>5.7</v>
      </c>
      <c r="R6">
        <f t="shared" ref="R6:R7" si="13">Q6*0.9</f>
        <v>5.13</v>
      </c>
      <c r="U6">
        <f t="shared" si="6"/>
        <v>1.7</v>
      </c>
      <c r="V6">
        <f t="shared" si="7"/>
        <v>1.7</v>
      </c>
      <c r="W6">
        <f t="shared" si="8"/>
        <v>1.7</v>
      </c>
      <c r="X6">
        <f t="shared" si="9"/>
        <v>1.7</v>
      </c>
      <c r="Y6">
        <f t="shared" si="10"/>
        <v>1.7</v>
      </c>
      <c r="Z6">
        <f t="shared" ref="Z6:Z67" si="14">P6</f>
        <v>1.7</v>
      </c>
      <c r="AA6">
        <f t="shared" si="11"/>
        <v>5.7</v>
      </c>
      <c r="AB6">
        <f>AA6*0.95</f>
        <v>5.415</v>
      </c>
    </row>
    <row r="7" spans="1:28">
      <c r="A7" t="s">
        <v>19</v>
      </c>
      <c r="B7" t="s">
        <v>17</v>
      </c>
      <c r="C7">
        <v>1.9</v>
      </c>
      <c r="D7">
        <v>1.9</v>
      </c>
      <c r="E7">
        <v>1.5</v>
      </c>
      <c r="F7">
        <v>0.8</v>
      </c>
      <c r="G7">
        <v>8.8000000000000007</v>
      </c>
      <c r="H7">
        <v>1.6</v>
      </c>
      <c r="K7">
        <f t="shared" si="1"/>
        <v>1.9</v>
      </c>
      <c r="L7">
        <f t="shared" si="2"/>
        <v>1.9</v>
      </c>
      <c r="M7">
        <f t="shared" si="3"/>
        <v>1.9</v>
      </c>
      <c r="N7">
        <f t="shared" si="12"/>
        <v>1.9</v>
      </c>
      <c r="O7">
        <f t="shared" si="4"/>
        <v>0.8</v>
      </c>
      <c r="P7">
        <f>O7</f>
        <v>0.8</v>
      </c>
      <c r="Q7">
        <f t="shared" si="5"/>
        <v>8.8000000000000007</v>
      </c>
      <c r="R7">
        <f t="shared" si="13"/>
        <v>7.9200000000000008</v>
      </c>
      <c r="U7">
        <f t="shared" si="6"/>
        <v>1.9</v>
      </c>
      <c r="V7">
        <f t="shared" si="7"/>
        <v>1.9</v>
      </c>
      <c r="W7">
        <f t="shared" si="8"/>
        <v>1.9</v>
      </c>
      <c r="X7">
        <f t="shared" si="9"/>
        <v>1.9</v>
      </c>
      <c r="Y7">
        <f t="shared" si="10"/>
        <v>0.8</v>
      </c>
      <c r="Z7">
        <f t="shared" si="14"/>
        <v>0.8</v>
      </c>
      <c r="AA7">
        <f t="shared" si="11"/>
        <v>8.8000000000000007</v>
      </c>
      <c r="AB7">
        <f>AA7*0.95</f>
        <v>8.36</v>
      </c>
    </row>
    <row r="8" spans="1:28">
      <c r="A8" t="s">
        <v>20</v>
      </c>
      <c r="B8" t="s">
        <v>17</v>
      </c>
      <c r="C8">
        <v>55</v>
      </c>
      <c r="D8">
        <v>55</v>
      </c>
      <c r="E8">
        <v>55</v>
      </c>
      <c r="F8">
        <v>65</v>
      </c>
      <c r="G8">
        <v>65</v>
      </c>
      <c r="H8">
        <v>65</v>
      </c>
      <c r="K8">
        <f t="shared" si="1"/>
        <v>55</v>
      </c>
      <c r="L8">
        <f>K8*1.1</f>
        <v>60.500000000000007</v>
      </c>
      <c r="M8">
        <f t="shared" si="3"/>
        <v>55</v>
      </c>
      <c r="N8">
        <f>M8*1.1</f>
        <v>60.500000000000007</v>
      </c>
      <c r="O8">
        <f t="shared" si="4"/>
        <v>65</v>
      </c>
      <c r="P8">
        <f>O8*1.1</f>
        <v>71.5</v>
      </c>
      <c r="Q8">
        <f t="shared" si="5"/>
        <v>65</v>
      </c>
      <c r="R8">
        <f>Q8*1.1</f>
        <v>71.5</v>
      </c>
      <c r="U8">
        <f t="shared" si="6"/>
        <v>55</v>
      </c>
      <c r="V8">
        <f t="shared" si="7"/>
        <v>60.500000000000007</v>
      </c>
      <c r="W8">
        <f t="shared" si="8"/>
        <v>55</v>
      </c>
      <c r="X8">
        <f t="shared" si="9"/>
        <v>60.500000000000007</v>
      </c>
      <c r="Y8">
        <f t="shared" si="10"/>
        <v>65</v>
      </c>
      <c r="Z8">
        <f t="shared" si="14"/>
        <v>71.5</v>
      </c>
      <c r="AA8">
        <f t="shared" si="11"/>
        <v>65</v>
      </c>
      <c r="AB8">
        <f t="shared" ref="AB8:AB67" si="15">R8</f>
        <v>71.5</v>
      </c>
    </row>
    <row r="9" spans="1:28">
      <c r="A9" t="s">
        <v>21</v>
      </c>
      <c r="B9" t="s">
        <v>22</v>
      </c>
      <c r="C9">
        <v>200</v>
      </c>
      <c r="D9">
        <v>200</v>
      </c>
      <c r="E9">
        <v>200</v>
      </c>
      <c r="F9">
        <v>250</v>
      </c>
      <c r="G9">
        <v>250</v>
      </c>
      <c r="H9">
        <v>250</v>
      </c>
      <c r="K9">
        <f t="shared" si="1"/>
        <v>200</v>
      </c>
      <c r="L9">
        <f>K9*1.2</f>
        <v>240</v>
      </c>
      <c r="M9">
        <f t="shared" si="3"/>
        <v>200</v>
      </c>
      <c r="N9">
        <f>M9*1.2</f>
        <v>240</v>
      </c>
      <c r="O9">
        <f t="shared" si="4"/>
        <v>250</v>
      </c>
      <c r="P9">
        <f>O9*1.2</f>
        <v>300</v>
      </c>
      <c r="Q9">
        <f t="shared" si="5"/>
        <v>250</v>
      </c>
      <c r="R9">
        <f>Q9*1.2</f>
        <v>300</v>
      </c>
      <c r="U9">
        <f t="shared" si="6"/>
        <v>200</v>
      </c>
      <c r="V9">
        <f>U9*1.05</f>
        <v>210</v>
      </c>
      <c r="W9">
        <f t="shared" si="8"/>
        <v>200</v>
      </c>
      <c r="X9">
        <f>W9*1.05</f>
        <v>210</v>
      </c>
      <c r="Y9">
        <f t="shared" si="10"/>
        <v>250</v>
      </c>
      <c r="Z9">
        <f>Y9*1.2</f>
        <v>300</v>
      </c>
      <c r="AA9">
        <f t="shared" si="11"/>
        <v>250</v>
      </c>
      <c r="AB9">
        <f>AA9*1.2</f>
        <v>300</v>
      </c>
    </row>
    <row r="10" spans="1:28">
      <c r="A10" t="s">
        <v>23</v>
      </c>
      <c r="B10" t="s">
        <v>22</v>
      </c>
      <c r="C10">
        <v>350</v>
      </c>
      <c r="D10">
        <v>350</v>
      </c>
      <c r="E10">
        <v>350</v>
      </c>
      <c r="F10">
        <v>350</v>
      </c>
      <c r="G10">
        <v>350</v>
      </c>
      <c r="H10">
        <v>350</v>
      </c>
      <c r="K10">
        <f t="shared" si="1"/>
        <v>350</v>
      </c>
      <c r="L10">
        <f>K10*1.2</f>
        <v>420</v>
      </c>
      <c r="M10">
        <f t="shared" si="3"/>
        <v>350</v>
      </c>
      <c r="N10">
        <f>M10*1.2</f>
        <v>420</v>
      </c>
      <c r="O10">
        <f t="shared" si="4"/>
        <v>350</v>
      </c>
      <c r="P10">
        <f>O10*1.2</f>
        <v>420</v>
      </c>
      <c r="Q10">
        <f t="shared" si="5"/>
        <v>350</v>
      </c>
      <c r="R10">
        <f>Q10*1.2</f>
        <v>420</v>
      </c>
      <c r="U10">
        <f t="shared" si="6"/>
        <v>350</v>
      </c>
      <c r="V10">
        <f>U10*1.05</f>
        <v>367.5</v>
      </c>
      <c r="W10">
        <f t="shared" si="8"/>
        <v>350</v>
      </c>
      <c r="X10">
        <f>W10*1.05</f>
        <v>367.5</v>
      </c>
      <c r="Y10">
        <f t="shared" si="10"/>
        <v>350</v>
      </c>
      <c r="Z10">
        <f>Y10*1.05</f>
        <v>367.5</v>
      </c>
      <c r="AA10">
        <f t="shared" si="11"/>
        <v>350</v>
      </c>
      <c r="AB10">
        <f>AA10*1.05</f>
        <v>367.5</v>
      </c>
    </row>
    <row r="11" spans="1:28">
      <c r="A11" t="s">
        <v>24</v>
      </c>
      <c r="B11" t="s">
        <v>22</v>
      </c>
      <c r="C11">
        <v>189.5</v>
      </c>
      <c r="D11">
        <v>190.5</v>
      </c>
      <c r="E11">
        <v>190.1</v>
      </c>
      <c r="F11">
        <v>241</v>
      </c>
      <c r="G11">
        <v>235</v>
      </c>
      <c r="H11">
        <v>22</v>
      </c>
      <c r="K11">
        <f t="shared" si="1"/>
        <v>189.5</v>
      </c>
      <c r="L11">
        <f>K11</f>
        <v>189.5</v>
      </c>
      <c r="M11">
        <f t="shared" si="3"/>
        <v>190.5</v>
      </c>
      <c r="N11">
        <f>M11</f>
        <v>190.5</v>
      </c>
      <c r="O11">
        <f t="shared" si="4"/>
        <v>241</v>
      </c>
      <c r="P11">
        <f>O11</f>
        <v>241</v>
      </c>
      <c r="Q11">
        <f t="shared" si="5"/>
        <v>235</v>
      </c>
      <c r="R11">
        <f>Q11</f>
        <v>235</v>
      </c>
      <c r="U11">
        <f t="shared" si="6"/>
        <v>189.5</v>
      </c>
      <c r="V11">
        <f t="shared" si="7"/>
        <v>189.5</v>
      </c>
      <c r="W11">
        <f t="shared" si="8"/>
        <v>190.5</v>
      </c>
      <c r="X11">
        <f t="shared" si="9"/>
        <v>190.5</v>
      </c>
      <c r="Y11">
        <f t="shared" si="10"/>
        <v>241</v>
      </c>
      <c r="Z11">
        <f t="shared" si="14"/>
        <v>241</v>
      </c>
      <c r="AA11">
        <f t="shared" si="11"/>
        <v>235</v>
      </c>
      <c r="AB11">
        <f t="shared" si="15"/>
        <v>235</v>
      </c>
    </row>
    <row r="12" spans="1:28">
      <c r="A12" t="s">
        <v>25</v>
      </c>
      <c r="B12" t="s">
        <v>22</v>
      </c>
      <c r="C12">
        <v>338</v>
      </c>
      <c r="D12">
        <v>338</v>
      </c>
      <c r="E12">
        <v>346</v>
      </c>
      <c r="F12">
        <v>343</v>
      </c>
      <c r="G12">
        <v>343</v>
      </c>
      <c r="H12">
        <v>350</v>
      </c>
      <c r="K12">
        <f t="shared" si="1"/>
        <v>338</v>
      </c>
      <c r="L12">
        <f>K12</f>
        <v>338</v>
      </c>
      <c r="M12">
        <f t="shared" si="3"/>
        <v>338</v>
      </c>
      <c r="N12">
        <f t="shared" ref="N12:N14" si="16">M12</f>
        <v>338</v>
      </c>
      <c r="O12">
        <f t="shared" si="4"/>
        <v>343</v>
      </c>
      <c r="P12">
        <f t="shared" ref="P12:P14" si="17">O12</f>
        <v>343</v>
      </c>
      <c r="Q12">
        <f t="shared" si="5"/>
        <v>343</v>
      </c>
      <c r="R12">
        <f t="shared" ref="R12:R14" si="18">Q12</f>
        <v>343</v>
      </c>
      <c r="U12">
        <f t="shared" si="6"/>
        <v>338</v>
      </c>
      <c r="V12">
        <f>U12*0.8</f>
        <v>270.40000000000003</v>
      </c>
      <c r="W12">
        <f t="shared" si="8"/>
        <v>338</v>
      </c>
      <c r="X12">
        <f>W12*0.8</f>
        <v>270.40000000000003</v>
      </c>
      <c r="Y12">
        <f t="shared" si="10"/>
        <v>343</v>
      </c>
      <c r="Z12">
        <f>Y12*0.8</f>
        <v>274.40000000000003</v>
      </c>
      <c r="AA12">
        <f t="shared" si="11"/>
        <v>343</v>
      </c>
      <c r="AB12">
        <f>AA12*0.8</f>
        <v>274.40000000000003</v>
      </c>
    </row>
    <row r="13" spans="1:28">
      <c r="A13" t="s">
        <v>26</v>
      </c>
      <c r="B13" t="s">
        <v>17</v>
      </c>
      <c r="C13">
        <v>4</v>
      </c>
      <c r="D13">
        <v>4</v>
      </c>
      <c r="E13">
        <v>4</v>
      </c>
      <c r="F13">
        <v>4</v>
      </c>
      <c r="G13">
        <v>4</v>
      </c>
      <c r="H13">
        <v>4</v>
      </c>
      <c r="K13">
        <f t="shared" si="1"/>
        <v>4</v>
      </c>
      <c r="L13">
        <f>K13</f>
        <v>4</v>
      </c>
      <c r="M13">
        <f t="shared" si="3"/>
        <v>4</v>
      </c>
      <c r="N13">
        <f t="shared" si="16"/>
        <v>4</v>
      </c>
      <c r="O13">
        <f t="shared" si="4"/>
        <v>4</v>
      </c>
      <c r="P13">
        <f t="shared" si="17"/>
        <v>4</v>
      </c>
      <c r="Q13">
        <f t="shared" si="5"/>
        <v>4</v>
      </c>
      <c r="R13">
        <f t="shared" si="18"/>
        <v>4</v>
      </c>
      <c r="U13">
        <f t="shared" si="6"/>
        <v>4</v>
      </c>
      <c r="V13">
        <f t="shared" si="7"/>
        <v>4</v>
      </c>
      <c r="W13">
        <f t="shared" si="8"/>
        <v>4</v>
      </c>
      <c r="X13">
        <f t="shared" si="9"/>
        <v>4</v>
      </c>
      <c r="Y13">
        <f t="shared" si="10"/>
        <v>4</v>
      </c>
      <c r="Z13">
        <f t="shared" si="14"/>
        <v>4</v>
      </c>
      <c r="AA13">
        <f t="shared" si="11"/>
        <v>4</v>
      </c>
      <c r="AB13">
        <f t="shared" si="15"/>
        <v>4</v>
      </c>
    </row>
    <row r="14" spans="1:28">
      <c r="A14" t="s">
        <v>27</v>
      </c>
      <c r="B14" t="s">
        <v>17</v>
      </c>
      <c r="C14">
        <v>3.5</v>
      </c>
      <c r="D14">
        <v>3.5</v>
      </c>
      <c r="E14">
        <v>3.5</v>
      </c>
      <c r="F14">
        <v>3.5</v>
      </c>
      <c r="G14">
        <v>3.5</v>
      </c>
      <c r="H14">
        <v>3.5</v>
      </c>
      <c r="K14">
        <f t="shared" si="1"/>
        <v>3.5</v>
      </c>
      <c r="L14">
        <f>K14</f>
        <v>3.5</v>
      </c>
      <c r="M14">
        <f t="shared" si="3"/>
        <v>3.5</v>
      </c>
      <c r="N14">
        <f t="shared" si="16"/>
        <v>3.5</v>
      </c>
      <c r="O14">
        <f t="shared" si="4"/>
        <v>3.5</v>
      </c>
      <c r="P14">
        <f t="shared" si="17"/>
        <v>3.5</v>
      </c>
      <c r="Q14">
        <f t="shared" si="5"/>
        <v>3.5</v>
      </c>
      <c r="R14">
        <f t="shared" si="18"/>
        <v>3.5</v>
      </c>
      <c r="U14">
        <f t="shared" si="6"/>
        <v>3.5</v>
      </c>
      <c r="V14">
        <f t="shared" si="7"/>
        <v>3.5</v>
      </c>
      <c r="W14">
        <f t="shared" si="8"/>
        <v>3.5</v>
      </c>
      <c r="X14">
        <f t="shared" si="9"/>
        <v>3.5</v>
      </c>
      <c r="Y14">
        <f t="shared" si="10"/>
        <v>3.5</v>
      </c>
      <c r="Z14">
        <f t="shared" si="14"/>
        <v>3.5</v>
      </c>
      <c r="AA14">
        <f t="shared" si="11"/>
        <v>3.5</v>
      </c>
      <c r="AB14">
        <f t="shared" si="15"/>
        <v>3.5</v>
      </c>
    </row>
    <row r="15" spans="1:28">
      <c r="A15" t="s">
        <v>28</v>
      </c>
      <c r="B15" t="s">
        <v>22</v>
      </c>
      <c r="C15">
        <f>3*105</f>
        <v>315</v>
      </c>
      <c r="D15">
        <f>3*104</f>
        <v>312</v>
      </c>
      <c r="E15">
        <f>3*105</f>
        <v>315</v>
      </c>
      <c r="F15">
        <f>9.73*275</f>
        <v>2675.75</v>
      </c>
      <c r="G15">
        <f>7.61*275</f>
        <v>2092.75</v>
      </c>
      <c r="H15">
        <f>7.47*275</f>
        <v>2054.25</v>
      </c>
      <c r="K15">
        <f>C15*(1+'HH &amp; Animal Numbers'!AA15)</f>
        <v>1125.8333333333333</v>
      </c>
      <c r="L15">
        <f>(3*180)*(1+'HH &amp; Animal Numbers'!AA15)</f>
        <v>1930</v>
      </c>
      <c r="M15">
        <f>D15*(1+'HH &amp; Animal Numbers'!AA15)</f>
        <v>1115.1111111111111</v>
      </c>
      <c r="N15">
        <f>(3*180)*(1+'HH &amp; Animal Numbers'!AA15)</f>
        <v>1930</v>
      </c>
      <c r="O15" s="95">
        <f>F15*(1+'HH &amp; Animal Numbers'!AA15)</f>
        <v>9563.3287037037026</v>
      </c>
      <c r="P15" s="95">
        <f>((9.73*1.35)*275)*(1+'HH &amp; Animal Numbers'!AA15)</f>
        <v>12910.493750000001</v>
      </c>
      <c r="Q15" s="95">
        <f>G15*(1+'HH &amp; Animal Numbers'!AA15)</f>
        <v>7479.6435185185182</v>
      </c>
      <c r="R15" s="95">
        <f>((7.47*1.35)*275)*(1+'HH &amp; Animal Numbers'!AA15)</f>
        <v>9911.7562500000004</v>
      </c>
      <c r="U15" s="120">
        <f>C15*(1+'HH &amp; Animal Numbers'!AA15)</f>
        <v>1125.8333333333333</v>
      </c>
      <c r="V15" s="120">
        <f>(3*150)*(1+'HH &amp; Animal Numbers'!AA15)</f>
        <v>1608.3333333333333</v>
      </c>
      <c r="W15" s="120">
        <f>D15*(1+'HH &amp; Animal Numbers'!AA15)</f>
        <v>1115.1111111111111</v>
      </c>
      <c r="X15" s="120">
        <f>(3*150)*(1+'HH &amp; Animal Numbers'!AA15)</f>
        <v>1608.3333333333333</v>
      </c>
      <c r="Y15" s="120">
        <f>F15*(1+'HH &amp; Animal Numbers'!AA15)</f>
        <v>9563.3287037037026</v>
      </c>
      <c r="Z15" s="120">
        <f>((9.73*1.15)*275)*(1+'HH &amp; Animal Numbers'!AA15)</f>
        <v>10997.828009259258</v>
      </c>
      <c r="AA15" s="120">
        <f>G15*(1+'HH &amp; Animal Numbers'!AA15)</f>
        <v>7479.6435185185182</v>
      </c>
      <c r="AB15" s="120">
        <f>((7.47*1.15)*275)*(1+'HH &amp; Animal Numbers'!AA15)</f>
        <v>8443.3479166666657</v>
      </c>
    </row>
    <row r="16" spans="1:28" s="29" customFormat="1">
      <c r="A16" s="29" t="s">
        <v>29</v>
      </c>
      <c r="B16" s="29" t="s">
        <v>30</v>
      </c>
      <c r="C16" s="167">
        <f>'HH &amp; Animal Numbers'!W16</f>
        <v>232187.76971104374</v>
      </c>
      <c r="D16" s="167">
        <f>'HH &amp; Animal Numbers'!W18</f>
        <v>76459.268741051419</v>
      </c>
      <c r="E16" s="168"/>
      <c r="F16" s="167">
        <f>'HH &amp; Animal Numbers'!X16</f>
        <v>35533.810823321168</v>
      </c>
      <c r="G16" s="167">
        <f>'HH &amp; Animal Numbers'!X18</f>
        <v>2040.474305485845</v>
      </c>
      <c r="H16" s="163"/>
      <c r="K16" s="164">
        <f>C16*('HH &amp; Animal Numbers'!AA12+1)</f>
        <v>506334.52455521078</v>
      </c>
      <c r="L16" s="164">
        <f>K16</f>
        <v>506334.52455521078</v>
      </c>
      <c r="M16" s="164">
        <f>D16*(1+'HH &amp; Animal Numbers'!AA12)</f>
        <v>166735.60168142643</v>
      </c>
      <c r="N16" s="164">
        <f>M16</f>
        <v>166735.60168142643</v>
      </c>
      <c r="O16" s="164">
        <f>F16*(1+'HH &amp; Animal Numbers'!AA12)</f>
        <v>77488.987603662565</v>
      </c>
      <c r="P16" s="164">
        <f>O16</f>
        <v>77488.987603662565</v>
      </c>
      <c r="Q16" s="164">
        <f>G16*(1+'HH &amp; Animal Numbers'!AA12)</f>
        <v>4449.6856514925985</v>
      </c>
      <c r="R16" s="165">
        <f>Q16</f>
        <v>4449.6856514925985</v>
      </c>
      <c r="U16" s="166">
        <f t="shared" si="6"/>
        <v>506334.52455521078</v>
      </c>
      <c r="V16" s="166">
        <f t="shared" si="7"/>
        <v>506334.52455521078</v>
      </c>
      <c r="W16" s="166">
        <f t="shared" si="8"/>
        <v>166735.60168142643</v>
      </c>
      <c r="X16" s="166">
        <f t="shared" si="9"/>
        <v>166735.60168142643</v>
      </c>
      <c r="Y16" s="166">
        <f t="shared" si="10"/>
        <v>77488.987603662565</v>
      </c>
      <c r="Z16" s="166">
        <f t="shared" si="14"/>
        <v>77488.987603662565</v>
      </c>
      <c r="AA16" s="166">
        <f t="shared" si="11"/>
        <v>4449.6856514925985</v>
      </c>
      <c r="AB16" s="166">
        <f t="shared" si="15"/>
        <v>4449.6856514925985</v>
      </c>
    </row>
    <row r="17" spans="1:28" s="29" customFormat="1">
      <c r="A17" s="29" t="s">
        <v>31</v>
      </c>
      <c r="B17" s="29" t="s">
        <v>30</v>
      </c>
      <c r="C17" s="167">
        <f>'HH &amp; Animal Numbers'!W17</f>
        <v>69079.235093127165</v>
      </c>
      <c r="D17" s="167">
        <f>'HH &amp; Animal Numbers'!W19</f>
        <v>31967.74875531223</v>
      </c>
      <c r="E17" s="168"/>
      <c r="F17" s="167">
        <f>'HH &amp; Animal Numbers'!X17</f>
        <v>4381.5408163855318</v>
      </c>
      <c r="G17" s="167">
        <f>'HH &amp; Animal Numbers'!X19</f>
        <v>545.21729576125267</v>
      </c>
      <c r="H17" s="163"/>
      <c r="K17" s="164">
        <f>C17*(1+'HH &amp; Animal Numbers'!AA12)</f>
        <v>150641.87791219619</v>
      </c>
      <c r="L17" s="164">
        <f>K17*0.9</f>
        <v>135577.69012097656</v>
      </c>
      <c r="M17" s="164">
        <f>D17*(1+'HH &amp; Animal Numbers'!AA12)</f>
        <v>69712.435272819464</v>
      </c>
      <c r="N17" s="164">
        <f>M17*0.9</f>
        <v>62741.191745537522</v>
      </c>
      <c r="O17" s="164">
        <f>F17*(1+'HH &amp; Animal Numbers'!AA12)</f>
        <v>9554.8761627055537</v>
      </c>
      <c r="P17" s="164">
        <f>O17*0.9</f>
        <v>8599.3885464349987</v>
      </c>
      <c r="Q17" s="164">
        <f>G17*(1+'HH &amp; Animal Numbers'!AA12)</f>
        <v>1188.961591612295</v>
      </c>
      <c r="R17" s="165">
        <f>Q17*0.9</f>
        <v>1070.0654324510656</v>
      </c>
      <c r="U17" s="166">
        <f t="shared" si="6"/>
        <v>150641.87791219619</v>
      </c>
      <c r="V17" s="166">
        <f t="shared" si="7"/>
        <v>135577.69012097656</v>
      </c>
      <c r="W17" s="166">
        <f t="shared" si="8"/>
        <v>69712.435272819464</v>
      </c>
      <c r="X17" s="166">
        <f t="shared" si="9"/>
        <v>62741.191745537522</v>
      </c>
      <c r="Y17" s="166">
        <f t="shared" si="10"/>
        <v>9554.8761627055537</v>
      </c>
      <c r="Z17" s="166">
        <f>Y17*0.8</f>
        <v>7643.9009301644437</v>
      </c>
      <c r="AA17" s="166">
        <f t="shared" si="11"/>
        <v>1188.961591612295</v>
      </c>
      <c r="AB17" s="166">
        <f>AA17*0.8</f>
        <v>951.16927328983604</v>
      </c>
    </row>
    <row r="18" spans="1:28">
      <c r="A18" t="s">
        <v>32</v>
      </c>
      <c r="B18" t="s">
        <v>17</v>
      </c>
      <c r="C18">
        <v>12.8</v>
      </c>
      <c r="D18">
        <v>14</v>
      </c>
      <c r="E18">
        <v>13.3</v>
      </c>
      <c r="F18">
        <v>22</v>
      </c>
      <c r="G18">
        <v>24</v>
      </c>
      <c r="H18">
        <v>21.3</v>
      </c>
      <c r="K18">
        <f t="shared" si="1"/>
        <v>12.8</v>
      </c>
      <c r="L18">
        <f>K18</f>
        <v>12.8</v>
      </c>
      <c r="M18">
        <f t="shared" si="3"/>
        <v>14</v>
      </c>
      <c r="N18">
        <f>M18</f>
        <v>14</v>
      </c>
      <c r="O18">
        <f t="shared" si="4"/>
        <v>22</v>
      </c>
      <c r="P18" s="117">
        <f>O18</f>
        <v>22</v>
      </c>
      <c r="Q18">
        <f t="shared" si="5"/>
        <v>24</v>
      </c>
      <c r="R18" s="121">
        <f>Q18</f>
        <v>24</v>
      </c>
      <c r="U18">
        <f t="shared" si="6"/>
        <v>12.8</v>
      </c>
      <c r="V18">
        <f t="shared" si="7"/>
        <v>12.8</v>
      </c>
      <c r="W18">
        <f t="shared" si="8"/>
        <v>14</v>
      </c>
      <c r="X18">
        <f t="shared" si="9"/>
        <v>14</v>
      </c>
      <c r="Y18">
        <f t="shared" si="10"/>
        <v>22</v>
      </c>
      <c r="Z18">
        <f t="shared" si="14"/>
        <v>22</v>
      </c>
      <c r="AA18">
        <f t="shared" si="11"/>
        <v>24</v>
      </c>
      <c r="AB18">
        <f t="shared" si="15"/>
        <v>24</v>
      </c>
    </row>
    <row r="19" spans="1:28">
      <c r="A19" t="s">
        <v>33</v>
      </c>
      <c r="B19" t="s">
        <v>22</v>
      </c>
      <c r="C19">
        <v>17</v>
      </c>
      <c r="D19">
        <v>17</v>
      </c>
      <c r="E19">
        <v>17</v>
      </c>
      <c r="F19">
        <v>20</v>
      </c>
      <c r="G19">
        <v>20</v>
      </c>
      <c r="H19">
        <v>20</v>
      </c>
      <c r="K19">
        <f t="shared" si="1"/>
        <v>17</v>
      </c>
      <c r="L19">
        <f>K19*1.2</f>
        <v>20.399999999999999</v>
      </c>
      <c r="M19">
        <f t="shared" si="3"/>
        <v>17</v>
      </c>
      <c r="N19">
        <f>M19*1.2</f>
        <v>20.399999999999999</v>
      </c>
      <c r="O19">
        <f t="shared" si="4"/>
        <v>20</v>
      </c>
      <c r="P19">
        <f>O19*1.2</f>
        <v>24</v>
      </c>
      <c r="Q19">
        <f t="shared" si="5"/>
        <v>20</v>
      </c>
      <c r="R19">
        <f>Q19*1.2</f>
        <v>24</v>
      </c>
      <c r="U19">
        <f t="shared" si="6"/>
        <v>17</v>
      </c>
      <c r="V19">
        <f t="shared" si="7"/>
        <v>20.399999999999999</v>
      </c>
      <c r="W19">
        <f t="shared" si="8"/>
        <v>17</v>
      </c>
      <c r="X19">
        <f t="shared" si="9"/>
        <v>20.399999999999999</v>
      </c>
      <c r="Y19">
        <f t="shared" si="10"/>
        <v>20</v>
      </c>
      <c r="Z19">
        <f t="shared" si="14"/>
        <v>24</v>
      </c>
      <c r="AA19">
        <f t="shared" si="11"/>
        <v>20</v>
      </c>
      <c r="AB19">
        <f t="shared" si="15"/>
        <v>24</v>
      </c>
    </row>
    <row r="20" spans="1:28">
      <c r="A20" s="4" t="s">
        <v>34</v>
      </c>
    </row>
    <row r="21" spans="1:28" s="148" customFormat="1">
      <c r="A21" s="148" t="s">
        <v>35</v>
      </c>
      <c r="B21" s="148" t="s">
        <v>17</v>
      </c>
      <c r="C21" s="148">
        <v>0</v>
      </c>
      <c r="D21" s="148">
        <v>0</v>
      </c>
      <c r="E21" s="148">
        <v>0</v>
      </c>
      <c r="F21" s="148">
        <v>0</v>
      </c>
      <c r="G21" s="148">
        <v>0</v>
      </c>
      <c r="H21" s="148">
        <v>0</v>
      </c>
      <c r="K21" s="148">
        <f t="shared" si="1"/>
        <v>0</v>
      </c>
      <c r="L21" s="148">
        <f>K21</f>
        <v>0</v>
      </c>
      <c r="M21" s="148">
        <f t="shared" si="3"/>
        <v>0</v>
      </c>
      <c r="N21" s="148">
        <f>M21</f>
        <v>0</v>
      </c>
      <c r="O21" s="148">
        <f t="shared" si="4"/>
        <v>0</v>
      </c>
      <c r="P21" s="148">
        <f>O21</f>
        <v>0</v>
      </c>
      <c r="Q21" s="148">
        <f t="shared" si="5"/>
        <v>0</v>
      </c>
      <c r="R21" s="148">
        <f>Q21</f>
        <v>0</v>
      </c>
      <c r="U21" s="148">
        <f t="shared" si="6"/>
        <v>0</v>
      </c>
      <c r="V21" s="148">
        <f t="shared" si="7"/>
        <v>0</v>
      </c>
      <c r="W21" s="148">
        <f t="shared" si="8"/>
        <v>0</v>
      </c>
      <c r="X21" s="148">
        <f t="shared" si="9"/>
        <v>0</v>
      </c>
      <c r="Y21" s="148">
        <f t="shared" si="10"/>
        <v>0</v>
      </c>
      <c r="Z21" s="148">
        <f t="shared" si="14"/>
        <v>0</v>
      </c>
      <c r="AA21" s="148">
        <f t="shared" si="11"/>
        <v>0</v>
      </c>
      <c r="AB21" s="148">
        <f t="shared" si="15"/>
        <v>0</v>
      </c>
    </row>
    <row r="22" spans="1:28" s="148" customFormat="1">
      <c r="A22" s="148" t="s">
        <v>36</v>
      </c>
      <c r="B22" s="148" t="s">
        <v>17</v>
      </c>
      <c r="C22" s="148">
        <v>0</v>
      </c>
      <c r="D22" s="148">
        <v>0</v>
      </c>
      <c r="E22" s="148">
        <v>0</v>
      </c>
      <c r="F22" s="148">
        <v>0</v>
      </c>
      <c r="G22" s="148">
        <v>0</v>
      </c>
      <c r="H22" s="148">
        <v>0</v>
      </c>
      <c r="K22" s="148">
        <f t="shared" si="1"/>
        <v>0</v>
      </c>
      <c r="L22" s="148">
        <f t="shared" ref="L22:N86" si="19">K22</f>
        <v>0</v>
      </c>
      <c r="M22" s="148">
        <f t="shared" si="3"/>
        <v>0</v>
      </c>
      <c r="N22" s="148">
        <f t="shared" ref="N22:N87" si="20">M22</f>
        <v>0</v>
      </c>
      <c r="O22" s="148">
        <f t="shared" si="4"/>
        <v>0</v>
      </c>
      <c r="P22" s="148">
        <f t="shared" ref="P22:P86" si="21">O22</f>
        <v>0</v>
      </c>
      <c r="Q22" s="148">
        <f t="shared" si="5"/>
        <v>0</v>
      </c>
      <c r="R22" s="148">
        <f t="shared" ref="R22:R78" si="22">Q22</f>
        <v>0</v>
      </c>
      <c r="U22" s="148">
        <f t="shared" si="6"/>
        <v>0</v>
      </c>
      <c r="V22" s="148">
        <f t="shared" si="7"/>
        <v>0</v>
      </c>
      <c r="W22" s="148">
        <f t="shared" si="8"/>
        <v>0</v>
      </c>
      <c r="X22" s="148">
        <f t="shared" si="9"/>
        <v>0</v>
      </c>
      <c r="Y22" s="148">
        <f t="shared" si="10"/>
        <v>0</v>
      </c>
      <c r="Z22" s="148">
        <f t="shared" si="14"/>
        <v>0</v>
      </c>
      <c r="AA22" s="148">
        <f t="shared" si="11"/>
        <v>0</v>
      </c>
      <c r="AB22" s="148">
        <f t="shared" si="15"/>
        <v>0</v>
      </c>
    </row>
    <row r="23" spans="1:28" s="148" customFormat="1">
      <c r="A23" s="148" t="s">
        <v>37</v>
      </c>
      <c r="B23" s="148" t="s">
        <v>17</v>
      </c>
      <c r="C23" s="148">
        <v>0</v>
      </c>
      <c r="D23" s="148">
        <v>0</v>
      </c>
      <c r="E23" s="148">
        <v>0</v>
      </c>
      <c r="F23" s="148">
        <v>0</v>
      </c>
      <c r="G23" s="148">
        <v>0</v>
      </c>
      <c r="H23" s="148">
        <v>0</v>
      </c>
      <c r="K23" s="148">
        <f t="shared" si="1"/>
        <v>0</v>
      </c>
      <c r="L23" s="148">
        <f t="shared" si="19"/>
        <v>0</v>
      </c>
      <c r="M23" s="148">
        <f t="shared" si="3"/>
        <v>0</v>
      </c>
      <c r="N23" s="148">
        <f t="shared" si="20"/>
        <v>0</v>
      </c>
      <c r="O23" s="148">
        <f t="shared" si="4"/>
        <v>0</v>
      </c>
      <c r="P23" s="148">
        <f t="shared" si="21"/>
        <v>0</v>
      </c>
      <c r="Q23" s="148">
        <f t="shared" si="5"/>
        <v>0</v>
      </c>
      <c r="R23" s="148">
        <f t="shared" si="22"/>
        <v>0</v>
      </c>
      <c r="U23" s="148">
        <f t="shared" si="6"/>
        <v>0</v>
      </c>
      <c r="V23" s="148">
        <f t="shared" si="7"/>
        <v>0</v>
      </c>
      <c r="W23" s="148">
        <f t="shared" si="8"/>
        <v>0</v>
      </c>
      <c r="X23" s="148">
        <f t="shared" si="9"/>
        <v>0</v>
      </c>
      <c r="Y23" s="148">
        <f t="shared" si="10"/>
        <v>0</v>
      </c>
      <c r="Z23" s="148">
        <f t="shared" si="14"/>
        <v>0</v>
      </c>
      <c r="AA23" s="148">
        <f t="shared" si="11"/>
        <v>0</v>
      </c>
      <c r="AB23" s="148">
        <f t="shared" si="15"/>
        <v>0</v>
      </c>
    </row>
    <row r="24" spans="1:28" s="148" customFormat="1">
      <c r="A24" s="148" t="s">
        <v>38</v>
      </c>
      <c r="B24" s="148" t="s">
        <v>17</v>
      </c>
      <c r="C24" s="148">
        <v>0</v>
      </c>
      <c r="D24" s="148">
        <v>0</v>
      </c>
      <c r="E24" s="148">
        <v>0</v>
      </c>
      <c r="F24" s="148">
        <v>0</v>
      </c>
      <c r="G24" s="148">
        <v>0</v>
      </c>
      <c r="H24" s="148">
        <v>0</v>
      </c>
      <c r="K24" s="148">
        <f t="shared" si="1"/>
        <v>0</v>
      </c>
      <c r="L24" s="148">
        <f t="shared" si="19"/>
        <v>0</v>
      </c>
      <c r="M24" s="148">
        <f t="shared" si="3"/>
        <v>0</v>
      </c>
      <c r="N24" s="148">
        <f t="shared" si="20"/>
        <v>0</v>
      </c>
      <c r="O24" s="148">
        <f t="shared" si="4"/>
        <v>0</v>
      </c>
      <c r="P24" s="148">
        <f t="shared" si="21"/>
        <v>0</v>
      </c>
      <c r="Q24" s="148">
        <f t="shared" si="5"/>
        <v>0</v>
      </c>
      <c r="R24" s="148">
        <f t="shared" si="22"/>
        <v>0</v>
      </c>
      <c r="U24" s="148">
        <f t="shared" si="6"/>
        <v>0</v>
      </c>
      <c r="V24" s="148">
        <f t="shared" si="7"/>
        <v>0</v>
      </c>
      <c r="W24" s="148">
        <f t="shared" si="8"/>
        <v>0</v>
      </c>
      <c r="X24" s="148">
        <f t="shared" si="9"/>
        <v>0</v>
      </c>
      <c r="Y24" s="148">
        <f t="shared" si="10"/>
        <v>0</v>
      </c>
      <c r="Z24" s="148">
        <f t="shared" si="14"/>
        <v>0</v>
      </c>
      <c r="AA24" s="148">
        <f t="shared" si="11"/>
        <v>0</v>
      </c>
      <c r="AB24" s="148">
        <f t="shared" si="15"/>
        <v>0</v>
      </c>
    </row>
    <row r="25" spans="1:28" s="148" customFormat="1">
      <c r="A25" s="148" t="s">
        <v>39</v>
      </c>
      <c r="B25" s="148" t="s">
        <v>17</v>
      </c>
      <c r="C25" s="148">
        <v>20</v>
      </c>
      <c r="D25" s="148">
        <v>20</v>
      </c>
      <c r="E25" s="148">
        <v>20</v>
      </c>
      <c r="F25" s="148">
        <v>20</v>
      </c>
      <c r="G25" s="148">
        <v>20</v>
      </c>
      <c r="H25" s="148">
        <v>20</v>
      </c>
      <c r="K25" s="148">
        <f t="shared" si="1"/>
        <v>20</v>
      </c>
      <c r="L25" s="148">
        <f>K25-10</f>
        <v>10</v>
      </c>
      <c r="M25" s="148">
        <f t="shared" si="3"/>
        <v>20</v>
      </c>
      <c r="N25" s="148">
        <f>M25-10</f>
        <v>10</v>
      </c>
      <c r="O25" s="148">
        <f t="shared" si="4"/>
        <v>20</v>
      </c>
      <c r="P25" s="148">
        <f>O25-10</f>
        <v>10</v>
      </c>
      <c r="Q25" s="148">
        <f t="shared" si="5"/>
        <v>20</v>
      </c>
      <c r="R25" s="148">
        <f>Q25-10</f>
        <v>10</v>
      </c>
      <c r="U25" s="148">
        <f t="shared" si="6"/>
        <v>20</v>
      </c>
      <c r="V25" s="148">
        <f t="shared" si="7"/>
        <v>10</v>
      </c>
      <c r="W25" s="148">
        <f t="shared" si="8"/>
        <v>20</v>
      </c>
      <c r="X25" s="148">
        <f t="shared" si="9"/>
        <v>10</v>
      </c>
      <c r="Y25" s="148">
        <f t="shared" si="10"/>
        <v>20</v>
      </c>
      <c r="Z25" s="148">
        <f t="shared" si="14"/>
        <v>10</v>
      </c>
      <c r="AA25" s="148">
        <f t="shared" si="11"/>
        <v>20</v>
      </c>
      <c r="AB25" s="148">
        <f t="shared" si="15"/>
        <v>10</v>
      </c>
    </row>
    <row r="26" spans="1:28" s="148" customFormat="1">
      <c r="A26" s="148" t="s">
        <v>40</v>
      </c>
      <c r="B26" s="148" t="s">
        <v>17</v>
      </c>
      <c r="C26" s="148">
        <v>0</v>
      </c>
      <c r="D26" s="148">
        <v>0</v>
      </c>
      <c r="E26" s="148">
        <v>0</v>
      </c>
      <c r="F26" s="148">
        <v>0</v>
      </c>
      <c r="G26" s="148">
        <v>0</v>
      </c>
      <c r="H26" s="148">
        <v>0</v>
      </c>
      <c r="K26" s="148">
        <f t="shared" si="1"/>
        <v>0</v>
      </c>
      <c r="L26" s="148">
        <f t="shared" si="19"/>
        <v>0</v>
      </c>
      <c r="M26" s="148">
        <f t="shared" si="3"/>
        <v>0</v>
      </c>
      <c r="N26" s="148">
        <f t="shared" si="20"/>
        <v>0</v>
      </c>
      <c r="O26" s="148">
        <f t="shared" si="4"/>
        <v>0</v>
      </c>
      <c r="P26" s="148">
        <f t="shared" si="21"/>
        <v>0</v>
      </c>
      <c r="Q26" s="148">
        <f t="shared" si="5"/>
        <v>0</v>
      </c>
      <c r="R26" s="148">
        <f t="shared" si="22"/>
        <v>0</v>
      </c>
      <c r="U26" s="148">
        <f t="shared" si="6"/>
        <v>0</v>
      </c>
      <c r="V26" s="148">
        <f t="shared" si="7"/>
        <v>0</v>
      </c>
      <c r="W26" s="148">
        <f t="shared" si="8"/>
        <v>0</v>
      </c>
      <c r="X26" s="148">
        <f t="shared" si="9"/>
        <v>0</v>
      </c>
      <c r="Y26" s="148">
        <f t="shared" si="10"/>
        <v>0</v>
      </c>
      <c r="Z26" s="148">
        <f t="shared" si="14"/>
        <v>0</v>
      </c>
      <c r="AA26" s="148">
        <f t="shared" si="11"/>
        <v>0</v>
      </c>
      <c r="AB26" s="148">
        <f t="shared" si="15"/>
        <v>0</v>
      </c>
    </row>
    <row r="27" spans="1:28" s="148" customFormat="1">
      <c r="A27" s="148" t="s">
        <v>41</v>
      </c>
      <c r="B27" s="148" t="s">
        <v>17</v>
      </c>
      <c r="C27" s="148">
        <v>0</v>
      </c>
      <c r="D27" s="148">
        <v>0</v>
      </c>
      <c r="E27" s="148">
        <v>0</v>
      </c>
      <c r="F27" s="148">
        <v>0</v>
      </c>
      <c r="G27" s="148">
        <v>0</v>
      </c>
      <c r="H27" s="148">
        <v>0</v>
      </c>
      <c r="K27" s="148">
        <f t="shared" si="1"/>
        <v>0</v>
      </c>
      <c r="L27" s="148">
        <f t="shared" si="19"/>
        <v>0</v>
      </c>
      <c r="M27" s="148">
        <f t="shared" si="3"/>
        <v>0</v>
      </c>
      <c r="N27" s="148">
        <f t="shared" si="20"/>
        <v>0</v>
      </c>
      <c r="O27" s="148">
        <f t="shared" si="4"/>
        <v>0</v>
      </c>
      <c r="P27" s="148">
        <f t="shared" si="21"/>
        <v>0</v>
      </c>
      <c r="Q27" s="148">
        <f t="shared" si="5"/>
        <v>0</v>
      </c>
      <c r="R27" s="148">
        <f t="shared" si="22"/>
        <v>0</v>
      </c>
      <c r="U27" s="148">
        <f t="shared" si="6"/>
        <v>0</v>
      </c>
      <c r="V27" s="148">
        <f t="shared" si="7"/>
        <v>0</v>
      </c>
      <c r="W27" s="148">
        <f t="shared" si="8"/>
        <v>0</v>
      </c>
      <c r="X27" s="148">
        <f t="shared" si="9"/>
        <v>0</v>
      </c>
      <c r="Y27" s="148">
        <f t="shared" si="10"/>
        <v>0</v>
      </c>
      <c r="Z27" s="148">
        <f t="shared" si="14"/>
        <v>0</v>
      </c>
      <c r="AA27" s="148">
        <f t="shared" si="11"/>
        <v>0</v>
      </c>
      <c r="AB27" s="148">
        <f t="shared" si="15"/>
        <v>0</v>
      </c>
    </row>
    <row r="28" spans="1:28" s="148" customFormat="1">
      <c r="A28" s="148" t="s">
        <v>42</v>
      </c>
      <c r="B28" s="148" t="s">
        <v>17</v>
      </c>
      <c r="C28" s="148">
        <v>0</v>
      </c>
      <c r="D28" s="148">
        <v>0</v>
      </c>
      <c r="E28" s="148">
        <v>0</v>
      </c>
      <c r="F28" s="148">
        <v>0</v>
      </c>
      <c r="G28" s="148">
        <v>0</v>
      </c>
      <c r="H28" s="148">
        <v>0</v>
      </c>
      <c r="K28" s="148">
        <f t="shared" si="1"/>
        <v>0</v>
      </c>
      <c r="L28" s="148">
        <f t="shared" si="19"/>
        <v>0</v>
      </c>
      <c r="M28" s="148">
        <f t="shared" si="3"/>
        <v>0</v>
      </c>
      <c r="N28" s="148">
        <f t="shared" si="20"/>
        <v>0</v>
      </c>
      <c r="O28" s="148">
        <f t="shared" si="4"/>
        <v>0</v>
      </c>
      <c r="P28" s="148">
        <f t="shared" si="21"/>
        <v>0</v>
      </c>
      <c r="Q28" s="148">
        <f t="shared" si="5"/>
        <v>0</v>
      </c>
      <c r="R28" s="148">
        <f t="shared" si="22"/>
        <v>0</v>
      </c>
      <c r="U28" s="148">
        <f t="shared" si="6"/>
        <v>0</v>
      </c>
      <c r="V28" s="148">
        <f t="shared" si="7"/>
        <v>0</v>
      </c>
      <c r="W28" s="148">
        <f t="shared" si="8"/>
        <v>0</v>
      </c>
      <c r="X28" s="148">
        <f t="shared" si="9"/>
        <v>0</v>
      </c>
      <c r="Y28" s="148">
        <f t="shared" si="10"/>
        <v>0</v>
      </c>
      <c r="Z28" s="148">
        <f t="shared" si="14"/>
        <v>0</v>
      </c>
      <c r="AA28" s="148">
        <f t="shared" si="11"/>
        <v>0</v>
      </c>
      <c r="AB28" s="148">
        <f t="shared" si="15"/>
        <v>0</v>
      </c>
    </row>
    <row r="29" spans="1:28" s="148" customFormat="1">
      <c r="A29" s="148" t="s">
        <v>43</v>
      </c>
      <c r="B29" s="148" t="s">
        <v>17</v>
      </c>
      <c r="C29" s="148">
        <v>0</v>
      </c>
      <c r="D29" s="148">
        <v>0</v>
      </c>
      <c r="E29" s="148">
        <v>0</v>
      </c>
      <c r="F29" s="148">
        <v>0</v>
      </c>
      <c r="G29" s="148">
        <v>0</v>
      </c>
      <c r="H29" s="148">
        <v>0</v>
      </c>
      <c r="K29" s="148">
        <f t="shared" si="1"/>
        <v>0</v>
      </c>
      <c r="L29" s="148">
        <f t="shared" si="19"/>
        <v>0</v>
      </c>
      <c r="M29" s="148">
        <f t="shared" si="3"/>
        <v>0</v>
      </c>
      <c r="N29" s="148">
        <f t="shared" si="20"/>
        <v>0</v>
      </c>
      <c r="O29" s="148">
        <f t="shared" si="4"/>
        <v>0</v>
      </c>
      <c r="P29" s="148">
        <f t="shared" si="21"/>
        <v>0</v>
      </c>
      <c r="Q29" s="148">
        <f t="shared" si="5"/>
        <v>0</v>
      </c>
      <c r="R29" s="148">
        <f t="shared" si="22"/>
        <v>0</v>
      </c>
      <c r="U29" s="148">
        <f t="shared" si="6"/>
        <v>0</v>
      </c>
      <c r="V29" s="148">
        <f t="shared" si="7"/>
        <v>0</v>
      </c>
      <c r="W29" s="148">
        <f t="shared" si="8"/>
        <v>0</v>
      </c>
      <c r="X29" s="148">
        <f t="shared" si="9"/>
        <v>0</v>
      </c>
      <c r="Y29" s="148">
        <f t="shared" si="10"/>
        <v>0</v>
      </c>
      <c r="Z29" s="148">
        <f t="shared" si="14"/>
        <v>0</v>
      </c>
      <c r="AA29" s="148">
        <f t="shared" si="11"/>
        <v>0</v>
      </c>
      <c r="AB29" s="148">
        <f t="shared" si="15"/>
        <v>0</v>
      </c>
    </row>
    <row r="30" spans="1:28" s="148" customFormat="1">
      <c r="A30" s="148" t="s">
        <v>44</v>
      </c>
      <c r="B30" s="148" t="s">
        <v>17</v>
      </c>
      <c r="C30" s="148">
        <v>0</v>
      </c>
      <c r="D30" s="148">
        <v>0</v>
      </c>
      <c r="E30" s="148">
        <v>0</v>
      </c>
      <c r="F30" s="148">
        <v>0</v>
      </c>
      <c r="G30" s="148">
        <v>0</v>
      </c>
      <c r="H30" s="148">
        <v>0</v>
      </c>
      <c r="K30" s="148">
        <f t="shared" si="1"/>
        <v>0</v>
      </c>
      <c r="L30" s="148">
        <f t="shared" si="19"/>
        <v>0</v>
      </c>
      <c r="M30" s="148">
        <f t="shared" si="3"/>
        <v>0</v>
      </c>
      <c r="N30" s="148">
        <f t="shared" si="20"/>
        <v>0</v>
      </c>
      <c r="O30" s="148">
        <f t="shared" si="4"/>
        <v>0</v>
      </c>
      <c r="P30" s="148">
        <f t="shared" si="21"/>
        <v>0</v>
      </c>
      <c r="Q30" s="148">
        <f t="shared" si="5"/>
        <v>0</v>
      </c>
      <c r="R30" s="148">
        <f t="shared" si="22"/>
        <v>0</v>
      </c>
      <c r="U30" s="148">
        <f t="shared" si="6"/>
        <v>0</v>
      </c>
      <c r="V30" s="148">
        <f t="shared" si="7"/>
        <v>0</v>
      </c>
      <c r="W30" s="148">
        <f t="shared" si="8"/>
        <v>0</v>
      </c>
      <c r="X30" s="148">
        <f t="shared" si="9"/>
        <v>0</v>
      </c>
      <c r="Y30" s="148">
        <f t="shared" si="10"/>
        <v>0</v>
      </c>
      <c r="Z30" s="148">
        <f t="shared" si="14"/>
        <v>0</v>
      </c>
      <c r="AA30" s="148">
        <f t="shared" si="11"/>
        <v>0</v>
      </c>
      <c r="AB30" s="148">
        <f t="shared" si="15"/>
        <v>0</v>
      </c>
    </row>
    <row r="31" spans="1:28" s="148" customFormat="1">
      <c r="A31" s="148" t="s">
        <v>45</v>
      </c>
      <c r="B31" s="148" t="s">
        <v>17</v>
      </c>
      <c r="C31" s="148">
        <v>0</v>
      </c>
      <c r="D31" s="148">
        <v>0</v>
      </c>
      <c r="E31" s="148">
        <v>0</v>
      </c>
      <c r="F31" s="148">
        <v>0</v>
      </c>
      <c r="G31" s="148">
        <v>0</v>
      </c>
      <c r="H31" s="148">
        <v>0</v>
      </c>
      <c r="K31" s="148">
        <f t="shared" si="1"/>
        <v>0</v>
      </c>
      <c r="L31" s="148">
        <f t="shared" si="19"/>
        <v>0</v>
      </c>
      <c r="M31" s="148">
        <f t="shared" si="3"/>
        <v>0</v>
      </c>
      <c r="N31" s="148">
        <f t="shared" si="20"/>
        <v>0</v>
      </c>
      <c r="O31" s="148">
        <f t="shared" si="4"/>
        <v>0</v>
      </c>
      <c r="P31" s="148">
        <f t="shared" si="21"/>
        <v>0</v>
      </c>
      <c r="Q31" s="148">
        <f t="shared" si="5"/>
        <v>0</v>
      </c>
      <c r="R31" s="148">
        <f t="shared" si="22"/>
        <v>0</v>
      </c>
      <c r="U31" s="148">
        <f t="shared" si="6"/>
        <v>0</v>
      </c>
      <c r="V31" s="148">
        <f t="shared" si="7"/>
        <v>0</v>
      </c>
      <c r="W31" s="148">
        <f t="shared" si="8"/>
        <v>0</v>
      </c>
      <c r="X31" s="148">
        <f t="shared" si="9"/>
        <v>0</v>
      </c>
      <c r="Y31" s="148">
        <f t="shared" si="10"/>
        <v>0</v>
      </c>
      <c r="Z31" s="148">
        <f t="shared" si="14"/>
        <v>0</v>
      </c>
      <c r="AA31" s="148">
        <f t="shared" si="11"/>
        <v>0</v>
      </c>
      <c r="AB31" s="148">
        <f t="shared" si="15"/>
        <v>0</v>
      </c>
    </row>
    <row r="32" spans="1:28" s="148" customFormat="1">
      <c r="A32" s="148" t="s">
        <v>46</v>
      </c>
      <c r="B32" s="148" t="s">
        <v>17</v>
      </c>
      <c r="C32" s="148">
        <v>0</v>
      </c>
      <c r="D32" s="148">
        <v>0</v>
      </c>
      <c r="E32" s="148">
        <v>0</v>
      </c>
      <c r="F32" s="148">
        <v>0</v>
      </c>
      <c r="G32" s="148">
        <v>0</v>
      </c>
      <c r="H32" s="148">
        <v>0</v>
      </c>
      <c r="K32" s="148">
        <f t="shared" si="1"/>
        <v>0</v>
      </c>
      <c r="L32" s="148">
        <f t="shared" si="19"/>
        <v>0</v>
      </c>
      <c r="M32" s="148">
        <f t="shared" si="3"/>
        <v>0</v>
      </c>
      <c r="N32" s="148">
        <f t="shared" si="20"/>
        <v>0</v>
      </c>
      <c r="O32" s="148">
        <f t="shared" si="4"/>
        <v>0</v>
      </c>
      <c r="P32" s="148">
        <f t="shared" si="21"/>
        <v>0</v>
      </c>
      <c r="Q32" s="148">
        <f t="shared" si="5"/>
        <v>0</v>
      </c>
      <c r="R32" s="148">
        <f t="shared" si="22"/>
        <v>0</v>
      </c>
      <c r="U32" s="148">
        <f t="shared" si="6"/>
        <v>0</v>
      </c>
      <c r="V32" s="148">
        <f t="shared" si="7"/>
        <v>0</v>
      </c>
      <c r="W32" s="148">
        <f t="shared" si="8"/>
        <v>0</v>
      </c>
      <c r="X32" s="148">
        <f t="shared" si="9"/>
        <v>0</v>
      </c>
      <c r="Y32" s="148">
        <f t="shared" si="10"/>
        <v>0</v>
      </c>
      <c r="Z32" s="148">
        <f t="shared" si="14"/>
        <v>0</v>
      </c>
      <c r="AA32" s="148">
        <f t="shared" si="11"/>
        <v>0</v>
      </c>
      <c r="AB32" s="148">
        <f t="shared" si="15"/>
        <v>0</v>
      </c>
    </row>
    <row r="33" spans="1:28" s="148" customFormat="1">
      <c r="A33" s="148" t="s">
        <v>47</v>
      </c>
      <c r="B33" s="148" t="s">
        <v>17</v>
      </c>
      <c r="C33" s="148">
        <v>0</v>
      </c>
      <c r="D33" s="148">
        <v>0</v>
      </c>
      <c r="E33" s="148">
        <v>0</v>
      </c>
      <c r="F33" s="148">
        <v>0</v>
      </c>
      <c r="G33" s="148">
        <v>0</v>
      </c>
      <c r="H33" s="148">
        <v>0</v>
      </c>
      <c r="K33" s="148">
        <f t="shared" si="1"/>
        <v>0</v>
      </c>
      <c r="L33" s="148">
        <f t="shared" si="19"/>
        <v>0</v>
      </c>
      <c r="M33" s="148">
        <f t="shared" si="3"/>
        <v>0</v>
      </c>
      <c r="N33" s="148">
        <f t="shared" si="20"/>
        <v>0</v>
      </c>
      <c r="O33" s="148">
        <f t="shared" si="4"/>
        <v>0</v>
      </c>
      <c r="P33" s="148">
        <f t="shared" si="21"/>
        <v>0</v>
      </c>
      <c r="Q33" s="148">
        <f t="shared" si="5"/>
        <v>0</v>
      </c>
      <c r="R33" s="148">
        <f t="shared" si="22"/>
        <v>0</v>
      </c>
      <c r="U33" s="148">
        <f t="shared" si="6"/>
        <v>0</v>
      </c>
      <c r="V33" s="148">
        <f t="shared" si="7"/>
        <v>0</v>
      </c>
      <c r="W33" s="148">
        <f t="shared" si="8"/>
        <v>0</v>
      </c>
      <c r="X33" s="148">
        <f t="shared" si="9"/>
        <v>0</v>
      </c>
      <c r="Y33" s="148">
        <f t="shared" si="10"/>
        <v>0</v>
      </c>
      <c r="Z33" s="148">
        <f t="shared" si="14"/>
        <v>0</v>
      </c>
      <c r="AA33" s="148">
        <f t="shared" si="11"/>
        <v>0</v>
      </c>
      <c r="AB33" s="148">
        <f t="shared" si="15"/>
        <v>0</v>
      </c>
    </row>
    <row r="34" spans="1:28" s="148" customFormat="1">
      <c r="A34" s="148" t="s">
        <v>48</v>
      </c>
      <c r="B34" s="148" t="s">
        <v>17</v>
      </c>
      <c r="C34" s="148">
        <v>80</v>
      </c>
      <c r="D34" s="148">
        <v>80</v>
      </c>
      <c r="E34" s="148">
        <v>80</v>
      </c>
      <c r="F34" s="148">
        <v>40</v>
      </c>
      <c r="G34" s="148">
        <v>40</v>
      </c>
      <c r="H34" s="148">
        <v>40</v>
      </c>
      <c r="K34" s="148">
        <f t="shared" si="1"/>
        <v>80</v>
      </c>
      <c r="L34" s="148">
        <f>K34</f>
        <v>80</v>
      </c>
      <c r="M34" s="148">
        <f t="shared" si="3"/>
        <v>80</v>
      </c>
      <c r="N34" s="148">
        <f>M34</f>
        <v>80</v>
      </c>
      <c r="O34" s="148">
        <f t="shared" si="4"/>
        <v>40</v>
      </c>
      <c r="P34" s="148">
        <f t="shared" si="21"/>
        <v>40</v>
      </c>
      <c r="Q34" s="148">
        <f t="shared" si="5"/>
        <v>40</v>
      </c>
      <c r="R34" s="148">
        <f t="shared" si="22"/>
        <v>40</v>
      </c>
      <c r="U34" s="148">
        <f t="shared" si="6"/>
        <v>80</v>
      </c>
      <c r="V34" s="148">
        <f>L34-10</f>
        <v>70</v>
      </c>
      <c r="W34" s="148">
        <f t="shared" si="8"/>
        <v>80</v>
      </c>
      <c r="X34" s="148">
        <f>N34-10</f>
        <v>70</v>
      </c>
      <c r="Y34" s="148">
        <f t="shared" si="10"/>
        <v>40</v>
      </c>
      <c r="Z34" s="148">
        <f t="shared" si="14"/>
        <v>40</v>
      </c>
      <c r="AA34" s="148">
        <f t="shared" si="11"/>
        <v>40</v>
      </c>
      <c r="AB34" s="148">
        <f t="shared" si="15"/>
        <v>40</v>
      </c>
    </row>
    <row r="35" spans="1:28" s="148" customFormat="1">
      <c r="A35" s="148" t="s">
        <v>49</v>
      </c>
      <c r="B35" s="148" t="s">
        <v>17</v>
      </c>
      <c r="C35" s="148">
        <v>0</v>
      </c>
      <c r="D35" s="148">
        <v>0</v>
      </c>
      <c r="E35" s="148">
        <v>0</v>
      </c>
      <c r="F35" s="148">
        <v>0</v>
      </c>
      <c r="G35" s="148">
        <v>0</v>
      </c>
      <c r="H35" s="148">
        <v>0</v>
      </c>
      <c r="K35" s="148">
        <f t="shared" si="1"/>
        <v>0</v>
      </c>
      <c r="L35" s="148">
        <f>K35+10</f>
        <v>10</v>
      </c>
      <c r="M35" s="148">
        <f t="shared" si="3"/>
        <v>0</v>
      </c>
      <c r="N35" s="148">
        <f>M35+10</f>
        <v>10</v>
      </c>
      <c r="O35" s="148">
        <f t="shared" si="4"/>
        <v>0</v>
      </c>
      <c r="P35" s="148">
        <f>O35+10</f>
        <v>10</v>
      </c>
      <c r="Q35" s="148">
        <f t="shared" si="5"/>
        <v>0</v>
      </c>
      <c r="R35" s="148">
        <f>Q35+10</f>
        <v>10</v>
      </c>
      <c r="U35" s="148">
        <f t="shared" si="6"/>
        <v>0</v>
      </c>
      <c r="V35" s="148">
        <f>L35+10</f>
        <v>20</v>
      </c>
      <c r="W35" s="148">
        <f t="shared" si="8"/>
        <v>0</v>
      </c>
      <c r="X35" s="148">
        <f>N35+10</f>
        <v>20</v>
      </c>
      <c r="Y35" s="148">
        <f t="shared" si="10"/>
        <v>0</v>
      </c>
      <c r="Z35" s="148">
        <f t="shared" si="14"/>
        <v>10</v>
      </c>
      <c r="AA35" s="148">
        <f t="shared" si="11"/>
        <v>0</v>
      </c>
      <c r="AB35" s="148">
        <f t="shared" si="15"/>
        <v>10</v>
      </c>
    </row>
    <row r="36" spans="1:28" s="148" customFormat="1">
      <c r="A36" s="148" t="s">
        <v>50</v>
      </c>
      <c r="B36" s="148" t="s">
        <v>17</v>
      </c>
      <c r="C36" s="148">
        <v>0</v>
      </c>
      <c r="D36" s="148">
        <v>0</v>
      </c>
      <c r="E36" s="148">
        <v>0</v>
      </c>
      <c r="F36" s="148">
        <v>0</v>
      </c>
      <c r="G36" s="148">
        <v>0</v>
      </c>
      <c r="H36" s="148">
        <v>0</v>
      </c>
      <c r="K36" s="148">
        <f t="shared" si="1"/>
        <v>0</v>
      </c>
      <c r="L36" s="148">
        <f t="shared" si="19"/>
        <v>0</v>
      </c>
      <c r="M36" s="148">
        <f t="shared" si="3"/>
        <v>0</v>
      </c>
      <c r="N36" s="148">
        <f t="shared" si="20"/>
        <v>0</v>
      </c>
      <c r="O36" s="148">
        <f t="shared" si="4"/>
        <v>0</v>
      </c>
      <c r="P36" s="148">
        <f t="shared" si="21"/>
        <v>0</v>
      </c>
      <c r="Q36" s="148">
        <f t="shared" si="5"/>
        <v>0</v>
      </c>
      <c r="R36" s="148">
        <f t="shared" si="22"/>
        <v>0</v>
      </c>
      <c r="U36" s="148">
        <f t="shared" si="6"/>
        <v>0</v>
      </c>
      <c r="V36" s="148">
        <f t="shared" si="7"/>
        <v>0</v>
      </c>
      <c r="W36" s="148">
        <f t="shared" si="8"/>
        <v>0</v>
      </c>
      <c r="X36" s="148">
        <f t="shared" si="9"/>
        <v>0</v>
      </c>
      <c r="Y36" s="148">
        <f t="shared" si="10"/>
        <v>0</v>
      </c>
      <c r="Z36" s="148">
        <f t="shared" si="14"/>
        <v>0</v>
      </c>
      <c r="AA36" s="148">
        <f t="shared" si="11"/>
        <v>0</v>
      </c>
      <c r="AB36" s="148">
        <f t="shared" si="15"/>
        <v>0</v>
      </c>
    </row>
    <row r="37" spans="1:28" s="148" customFormat="1">
      <c r="A37" s="148" t="s">
        <v>51</v>
      </c>
      <c r="B37" s="148" t="s">
        <v>17</v>
      </c>
      <c r="C37" s="148">
        <v>0</v>
      </c>
      <c r="D37" s="148">
        <v>0</v>
      </c>
      <c r="E37" s="148">
        <v>0</v>
      </c>
      <c r="F37" s="148">
        <v>0</v>
      </c>
      <c r="G37" s="148">
        <v>0</v>
      </c>
      <c r="H37" s="148">
        <v>0</v>
      </c>
      <c r="K37" s="148">
        <f t="shared" si="1"/>
        <v>0</v>
      </c>
      <c r="L37" s="148">
        <f t="shared" si="19"/>
        <v>0</v>
      </c>
      <c r="M37" s="148">
        <f t="shared" si="3"/>
        <v>0</v>
      </c>
      <c r="N37" s="148">
        <f t="shared" si="20"/>
        <v>0</v>
      </c>
      <c r="O37" s="148">
        <f t="shared" si="4"/>
        <v>0</v>
      </c>
      <c r="P37" s="148">
        <f t="shared" si="21"/>
        <v>0</v>
      </c>
      <c r="Q37" s="148">
        <f t="shared" si="5"/>
        <v>0</v>
      </c>
      <c r="R37" s="148">
        <f t="shared" si="22"/>
        <v>0</v>
      </c>
      <c r="U37" s="148">
        <f t="shared" si="6"/>
        <v>0</v>
      </c>
      <c r="V37" s="148">
        <f t="shared" si="7"/>
        <v>0</v>
      </c>
      <c r="W37" s="148">
        <f t="shared" si="8"/>
        <v>0</v>
      </c>
      <c r="X37" s="148">
        <f t="shared" si="9"/>
        <v>0</v>
      </c>
      <c r="Y37" s="148">
        <f t="shared" si="10"/>
        <v>0</v>
      </c>
      <c r="Z37" s="148">
        <f t="shared" si="14"/>
        <v>0</v>
      </c>
      <c r="AA37" s="148">
        <f t="shared" si="11"/>
        <v>0</v>
      </c>
      <c r="AB37" s="148">
        <f t="shared" si="15"/>
        <v>0</v>
      </c>
    </row>
    <row r="38" spans="1:28" s="148" customFormat="1">
      <c r="A38" s="148" t="s">
        <v>52</v>
      </c>
      <c r="B38" s="148" t="s">
        <v>17</v>
      </c>
      <c r="C38" s="148">
        <v>0</v>
      </c>
      <c r="D38" s="148">
        <v>0</v>
      </c>
      <c r="E38" s="148">
        <v>0</v>
      </c>
      <c r="F38" s="148">
        <v>0</v>
      </c>
      <c r="G38" s="148">
        <v>0</v>
      </c>
      <c r="H38" s="148">
        <v>0</v>
      </c>
      <c r="K38" s="148">
        <f t="shared" si="1"/>
        <v>0</v>
      </c>
      <c r="L38" s="148">
        <f t="shared" si="19"/>
        <v>0</v>
      </c>
      <c r="M38" s="148">
        <f t="shared" si="3"/>
        <v>0</v>
      </c>
      <c r="N38" s="148">
        <f t="shared" si="20"/>
        <v>0</v>
      </c>
      <c r="O38" s="148">
        <f t="shared" si="4"/>
        <v>0</v>
      </c>
      <c r="P38" s="148">
        <f t="shared" si="21"/>
        <v>0</v>
      </c>
      <c r="Q38" s="148">
        <f t="shared" si="5"/>
        <v>0</v>
      </c>
      <c r="R38" s="148">
        <f t="shared" si="22"/>
        <v>0</v>
      </c>
      <c r="U38" s="148">
        <f t="shared" si="6"/>
        <v>0</v>
      </c>
      <c r="V38" s="148">
        <f t="shared" si="7"/>
        <v>0</v>
      </c>
      <c r="W38" s="148">
        <f t="shared" si="8"/>
        <v>0</v>
      </c>
      <c r="X38" s="148">
        <f t="shared" si="9"/>
        <v>0</v>
      </c>
      <c r="Y38" s="148">
        <f t="shared" si="10"/>
        <v>0</v>
      </c>
      <c r="Z38" s="148">
        <f t="shared" si="14"/>
        <v>0</v>
      </c>
      <c r="AA38" s="148">
        <f t="shared" si="11"/>
        <v>0</v>
      </c>
      <c r="AB38" s="148">
        <f t="shared" si="15"/>
        <v>0</v>
      </c>
    </row>
    <row r="39" spans="1:28" s="148" customFormat="1">
      <c r="A39" s="148" t="s">
        <v>53</v>
      </c>
      <c r="B39" s="148" t="s">
        <v>17</v>
      </c>
      <c r="C39" s="148">
        <v>0</v>
      </c>
      <c r="D39" s="148">
        <v>0</v>
      </c>
      <c r="E39" s="148">
        <v>0</v>
      </c>
      <c r="F39" s="148">
        <v>40</v>
      </c>
      <c r="G39" s="148">
        <v>40</v>
      </c>
      <c r="H39" s="148">
        <v>40</v>
      </c>
      <c r="K39" s="148">
        <f t="shared" si="1"/>
        <v>0</v>
      </c>
      <c r="L39" s="148">
        <f t="shared" si="19"/>
        <v>0</v>
      </c>
      <c r="M39" s="148">
        <f t="shared" si="3"/>
        <v>0</v>
      </c>
      <c r="N39" s="148">
        <f t="shared" si="20"/>
        <v>0</v>
      </c>
      <c r="O39" s="148">
        <f t="shared" si="4"/>
        <v>40</v>
      </c>
      <c r="P39" s="148">
        <f t="shared" si="21"/>
        <v>40</v>
      </c>
      <c r="Q39" s="148">
        <f t="shared" si="5"/>
        <v>40</v>
      </c>
      <c r="R39" s="148">
        <f t="shared" si="22"/>
        <v>40</v>
      </c>
      <c r="U39" s="148">
        <f t="shared" si="6"/>
        <v>0</v>
      </c>
      <c r="V39" s="148">
        <f t="shared" si="7"/>
        <v>0</v>
      </c>
      <c r="W39" s="148">
        <f t="shared" si="8"/>
        <v>0</v>
      </c>
      <c r="X39" s="148">
        <f t="shared" si="9"/>
        <v>0</v>
      </c>
      <c r="Y39" s="148">
        <f t="shared" si="10"/>
        <v>40</v>
      </c>
      <c r="Z39" s="148">
        <f>P39-10</f>
        <v>30</v>
      </c>
      <c r="AA39" s="148">
        <f t="shared" si="11"/>
        <v>40</v>
      </c>
      <c r="AB39" s="148">
        <f>R39-10</f>
        <v>30</v>
      </c>
    </row>
    <row r="40" spans="1:28" s="148" customFormat="1">
      <c r="A40" s="148" t="s">
        <v>54</v>
      </c>
      <c r="B40" s="148" t="s">
        <v>17</v>
      </c>
      <c r="C40" s="148">
        <v>0</v>
      </c>
      <c r="D40" s="148">
        <v>0</v>
      </c>
      <c r="E40" s="148">
        <v>0</v>
      </c>
      <c r="F40" s="148">
        <v>0</v>
      </c>
      <c r="G40" s="148">
        <v>0</v>
      </c>
      <c r="H40" s="148">
        <v>0</v>
      </c>
      <c r="K40" s="148">
        <f t="shared" si="1"/>
        <v>0</v>
      </c>
      <c r="L40" s="148">
        <f t="shared" si="19"/>
        <v>0</v>
      </c>
      <c r="M40" s="148">
        <f t="shared" si="3"/>
        <v>0</v>
      </c>
      <c r="N40" s="148">
        <f t="shared" si="20"/>
        <v>0</v>
      </c>
      <c r="O40" s="148">
        <f t="shared" si="4"/>
        <v>0</v>
      </c>
      <c r="P40" s="148">
        <f t="shared" si="21"/>
        <v>0</v>
      </c>
      <c r="Q40" s="148">
        <f t="shared" si="5"/>
        <v>0</v>
      </c>
      <c r="R40" s="148">
        <f t="shared" si="22"/>
        <v>0</v>
      </c>
      <c r="U40" s="148">
        <f t="shared" si="6"/>
        <v>0</v>
      </c>
      <c r="V40" s="148">
        <f t="shared" si="7"/>
        <v>0</v>
      </c>
      <c r="W40" s="148">
        <f t="shared" si="8"/>
        <v>0</v>
      </c>
      <c r="X40" s="148">
        <f t="shared" si="9"/>
        <v>0</v>
      </c>
      <c r="Y40" s="148">
        <f t="shared" si="10"/>
        <v>0</v>
      </c>
      <c r="Z40" s="148">
        <f>P40+10</f>
        <v>10</v>
      </c>
      <c r="AA40" s="148">
        <f t="shared" si="11"/>
        <v>0</v>
      </c>
      <c r="AB40" s="148">
        <f>R40+10</f>
        <v>10</v>
      </c>
    </row>
    <row r="41" spans="1:28" s="148" customFormat="1">
      <c r="A41" s="148" t="s">
        <v>55</v>
      </c>
      <c r="B41" s="148" t="s">
        <v>17</v>
      </c>
      <c r="C41" s="148">
        <v>0</v>
      </c>
      <c r="D41" s="148">
        <v>0</v>
      </c>
      <c r="E41" s="148">
        <v>0</v>
      </c>
      <c r="F41" s="148">
        <v>0</v>
      </c>
      <c r="G41" s="148">
        <v>0</v>
      </c>
      <c r="H41" s="148">
        <v>0</v>
      </c>
      <c r="K41" s="148">
        <f t="shared" si="1"/>
        <v>0</v>
      </c>
      <c r="L41" s="148">
        <f t="shared" si="19"/>
        <v>0</v>
      </c>
      <c r="M41" s="148">
        <f t="shared" si="3"/>
        <v>0</v>
      </c>
      <c r="N41" s="148">
        <f t="shared" si="20"/>
        <v>0</v>
      </c>
      <c r="O41" s="148">
        <f t="shared" si="4"/>
        <v>0</v>
      </c>
      <c r="P41" s="148">
        <f t="shared" si="21"/>
        <v>0</v>
      </c>
      <c r="Q41" s="148">
        <f t="shared" si="5"/>
        <v>0</v>
      </c>
      <c r="R41" s="148">
        <f t="shared" si="22"/>
        <v>0</v>
      </c>
      <c r="U41" s="148">
        <f t="shared" si="6"/>
        <v>0</v>
      </c>
      <c r="V41" s="148">
        <f t="shared" si="7"/>
        <v>0</v>
      </c>
      <c r="W41" s="148">
        <f t="shared" si="8"/>
        <v>0</v>
      </c>
      <c r="X41" s="148">
        <f t="shared" si="9"/>
        <v>0</v>
      </c>
      <c r="Y41" s="148">
        <f t="shared" si="10"/>
        <v>0</v>
      </c>
      <c r="Z41" s="148">
        <f t="shared" si="14"/>
        <v>0</v>
      </c>
      <c r="AA41" s="148">
        <f t="shared" si="11"/>
        <v>0</v>
      </c>
      <c r="AB41" s="148">
        <f t="shared" si="15"/>
        <v>0</v>
      </c>
    </row>
    <row r="42" spans="1:28" s="148" customFormat="1">
      <c r="A42" s="148" t="s">
        <v>56</v>
      </c>
      <c r="B42" s="148" t="s">
        <v>17</v>
      </c>
      <c r="C42" s="148">
        <v>0</v>
      </c>
      <c r="D42" s="148">
        <v>0</v>
      </c>
      <c r="E42" s="148">
        <v>0</v>
      </c>
      <c r="F42" s="148">
        <v>0</v>
      </c>
      <c r="G42" s="148">
        <v>0</v>
      </c>
      <c r="H42" s="148">
        <v>0</v>
      </c>
      <c r="K42" s="148">
        <f t="shared" si="1"/>
        <v>0</v>
      </c>
      <c r="L42" s="148">
        <f t="shared" si="19"/>
        <v>0</v>
      </c>
      <c r="M42" s="148">
        <f t="shared" si="3"/>
        <v>0</v>
      </c>
      <c r="N42" s="148">
        <f t="shared" si="20"/>
        <v>0</v>
      </c>
      <c r="O42" s="148">
        <f t="shared" si="4"/>
        <v>0</v>
      </c>
      <c r="P42" s="148">
        <f t="shared" si="21"/>
        <v>0</v>
      </c>
      <c r="Q42" s="148">
        <f t="shared" si="5"/>
        <v>0</v>
      </c>
      <c r="R42" s="148">
        <f t="shared" si="22"/>
        <v>0</v>
      </c>
      <c r="U42" s="148">
        <f t="shared" si="6"/>
        <v>0</v>
      </c>
      <c r="V42" s="148">
        <f t="shared" si="7"/>
        <v>0</v>
      </c>
      <c r="W42" s="148">
        <f t="shared" si="8"/>
        <v>0</v>
      </c>
      <c r="X42" s="148">
        <f t="shared" si="9"/>
        <v>0</v>
      </c>
      <c r="Y42" s="148">
        <f t="shared" si="10"/>
        <v>0</v>
      </c>
      <c r="Z42" s="148">
        <f t="shared" si="14"/>
        <v>0</v>
      </c>
      <c r="AA42" s="148">
        <f t="shared" si="11"/>
        <v>0</v>
      </c>
      <c r="AB42" s="148">
        <f t="shared" si="15"/>
        <v>0</v>
      </c>
    </row>
    <row r="43" spans="1:28" s="148" customFormat="1">
      <c r="A43" s="148" t="s">
        <v>57</v>
      </c>
      <c r="B43" s="148" t="s">
        <v>17</v>
      </c>
      <c r="C43" s="148">
        <v>0</v>
      </c>
      <c r="D43" s="148">
        <v>0</v>
      </c>
      <c r="E43" s="148">
        <v>0</v>
      </c>
      <c r="F43" s="148">
        <v>0</v>
      </c>
      <c r="G43" s="148">
        <v>0</v>
      </c>
      <c r="H43" s="148">
        <v>0</v>
      </c>
      <c r="K43" s="148">
        <f t="shared" si="1"/>
        <v>0</v>
      </c>
      <c r="L43" s="148">
        <f t="shared" si="19"/>
        <v>0</v>
      </c>
      <c r="M43" s="148">
        <f t="shared" si="3"/>
        <v>0</v>
      </c>
      <c r="N43" s="148">
        <f t="shared" si="20"/>
        <v>0</v>
      </c>
      <c r="O43" s="148">
        <f t="shared" si="4"/>
        <v>0</v>
      </c>
      <c r="P43" s="148">
        <f t="shared" si="21"/>
        <v>0</v>
      </c>
      <c r="Q43" s="148">
        <f t="shared" si="5"/>
        <v>0</v>
      </c>
      <c r="R43" s="148">
        <f t="shared" si="22"/>
        <v>0</v>
      </c>
      <c r="U43" s="148">
        <f t="shared" si="6"/>
        <v>0</v>
      </c>
      <c r="V43" s="148">
        <f t="shared" si="7"/>
        <v>0</v>
      </c>
      <c r="W43" s="148">
        <f t="shared" si="8"/>
        <v>0</v>
      </c>
      <c r="X43" s="148">
        <f t="shared" si="9"/>
        <v>0</v>
      </c>
      <c r="Y43" s="148">
        <f t="shared" si="10"/>
        <v>0</v>
      </c>
      <c r="Z43" s="148">
        <f t="shared" si="14"/>
        <v>0</v>
      </c>
      <c r="AA43" s="148">
        <f t="shared" si="11"/>
        <v>0</v>
      </c>
      <c r="AB43" s="148">
        <f t="shared" si="15"/>
        <v>0</v>
      </c>
    </row>
    <row r="44" spans="1:28" s="148" customFormat="1">
      <c r="A44" s="148" t="s">
        <v>58</v>
      </c>
      <c r="B44" s="148" t="s">
        <v>17</v>
      </c>
      <c r="C44" s="148">
        <v>0</v>
      </c>
      <c r="D44" s="148">
        <v>0</v>
      </c>
      <c r="E44" s="148">
        <v>0</v>
      </c>
      <c r="F44" s="148">
        <v>0</v>
      </c>
      <c r="G44" s="148">
        <v>0</v>
      </c>
      <c r="H44" s="148">
        <v>0</v>
      </c>
      <c r="K44" s="148">
        <f t="shared" si="1"/>
        <v>0</v>
      </c>
      <c r="L44" s="148">
        <f t="shared" si="19"/>
        <v>0</v>
      </c>
      <c r="M44" s="148">
        <f t="shared" si="3"/>
        <v>0</v>
      </c>
      <c r="N44" s="148">
        <f t="shared" si="20"/>
        <v>0</v>
      </c>
      <c r="O44" s="148">
        <f t="shared" si="4"/>
        <v>0</v>
      </c>
      <c r="P44" s="148">
        <f t="shared" si="21"/>
        <v>0</v>
      </c>
      <c r="Q44" s="148">
        <f t="shared" si="5"/>
        <v>0</v>
      </c>
      <c r="R44" s="148">
        <f t="shared" si="22"/>
        <v>0</v>
      </c>
      <c r="U44" s="148">
        <f t="shared" si="6"/>
        <v>0</v>
      </c>
      <c r="V44" s="148">
        <f t="shared" si="7"/>
        <v>0</v>
      </c>
      <c r="W44" s="148">
        <f t="shared" si="8"/>
        <v>0</v>
      </c>
      <c r="X44" s="148">
        <f t="shared" si="9"/>
        <v>0</v>
      </c>
      <c r="Y44" s="148">
        <f t="shared" si="10"/>
        <v>0</v>
      </c>
      <c r="Z44" s="148">
        <f t="shared" si="14"/>
        <v>0</v>
      </c>
      <c r="AA44" s="148">
        <f t="shared" si="11"/>
        <v>0</v>
      </c>
      <c r="AB44" s="148">
        <f t="shared" si="15"/>
        <v>0</v>
      </c>
    </row>
    <row r="45" spans="1:28" s="148" customFormat="1">
      <c r="A45" s="148" t="s">
        <v>59</v>
      </c>
      <c r="B45" s="148" t="s">
        <v>17</v>
      </c>
      <c r="C45" s="148">
        <v>0</v>
      </c>
      <c r="D45" s="148">
        <v>0</v>
      </c>
      <c r="E45" s="148">
        <v>0</v>
      </c>
      <c r="F45" s="148">
        <v>0</v>
      </c>
      <c r="G45" s="148">
        <v>0</v>
      </c>
      <c r="H45" s="148">
        <v>0</v>
      </c>
      <c r="K45" s="148">
        <f t="shared" si="1"/>
        <v>0</v>
      </c>
      <c r="L45" s="148">
        <f t="shared" si="19"/>
        <v>0</v>
      </c>
      <c r="M45" s="148">
        <f t="shared" si="3"/>
        <v>0</v>
      </c>
      <c r="N45" s="148">
        <f t="shared" si="20"/>
        <v>0</v>
      </c>
      <c r="O45" s="148">
        <f t="shared" si="4"/>
        <v>0</v>
      </c>
      <c r="P45" s="148">
        <f t="shared" si="21"/>
        <v>0</v>
      </c>
      <c r="Q45" s="148">
        <f t="shared" si="5"/>
        <v>0</v>
      </c>
      <c r="R45" s="148">
        <f t="shared" si="22"/>
        <v>0</v>
      </c>
      <c r="U45" s="148">
        <f t="shared" si="6"/>
        <v>0</v>
      </c>
      <c r="V45" s="148">
        <f t="shared" si="7"/>
        <v>0</v>
      </c>
      <c r="W45" s="148">
        <f t="shared" si="8"/>
        <v>0</v>
      </c>
      <c r="X45" s="148">
        <f t="shared" si="9"/>
        <v>0</v>
      </c>
      <c r="Y45" s="148">
        <f t="shared" si="10"/>
        <v>0</v>
      </c>
      <c r="Z45" s="148">
        <f t="shared" si="14"/>
        <v>0</v>
      </c>
      <c r="AA45" s="148">
        <f t="shared" si="11"/>
        <v>0</v>
      </c>
      <c r="AB45" s="148">
        <f t="shared" si="15"/>
        <v>0</v>
      </c>
    </row>
    <row r="46" spans="1:28" s="148" customFormat="1">
      <c r="A46" s="148" t="s">
        <v>60</v>
      </c>
      <c r="B46" s="148" t="s">
        <v>17</v>
      </c>
      <c r="C46" s="148">
        <v>0</v>
      </c>
      <c r="D46" s="148">
        <v>0</v>
      </c>
      <c r="E46" s="148">
        <v>0</v>
      </c>
      <c r="F46" s="148">
        <v>0</v>
      </c>
      <c r="G46" s="148">
        <v>0</v>
      </c>
      <c r="H46" s="148">
        <v>0</v>
      </c>
      <c r="K46" s="148">
        <f t="shared" si="1"/>
        <v>0</v>
      </c>
      <c r="L46" s="148">
        <f t="shared" si="19"/>
        <v>0</v>
      </c>
      <c r="M46" s="148">
        <f t="shared" si="3"/>
        <v>0</v>
      </c>
      <c r="N46" s="148">
        <f t="shared" si="20"/>
        <v>0</v>
      </c>
      <c r="O46" s="148">
        <f t="shared" si="4"/>
        <v>0</v>
      </c>
      <c r="P46" s="148">
        <f t="shared" si="21"/>
        <v>0</v>
      </c>
      <c r="Q46" s="148">
        <f t="shared" si="5"/>
        <v>0</v>
      </c>
      <c r="R46" s="148">
        <f t="shared" si="22"/>
        <v>0</v>
      </c>
      <c r="U46" s="148">
        <f t="shared" si="6"/>
        <v>0</v>
      </c>
      <c r="V46" s="148">
        <f t="shared" si="7"/>
        <v>0</v>
      </c>
      <c r="W46" s="148">
        <f t="shared" si="8"/>
        <v>0</v>
      </c>
      <c r="X46" s="148">
        <f t="shared" si="9"/>
        <v>0</v>
      </c>
      <c r="Y46" s="148">
        <f t="shared" si="10"/>
        <v>0</v>
      </c>
      <c r="Z46" s="148">
        <f t="shared" si="14"/>
        <v>0</v>
      </c>
      <c r="AA46" s="148">
        <f t="shared" si="11"/>
        <v>0</v>
      </c>
      <c r="AB46" s="148">
        <f t="shared" si="15"/>
        <v>0</v>
      </c>
    </row>
    <row r="47" spans="1:28" s="148" customFormat="1">
      <c r="A47" s="148" t="s">
        <v>61</v>
      </c>
      <c r="B47" s="148" t="s">
        <v>17</v>
      </c>
      <c r="C47" s="148">
        <v>0</v>
      </c>
      <c r="D47" s="148">
        <v>0</v>
      </c>
      <c r="E47" s="148">
        <v>0</v>
      </c>
      <c r="F47" s="148">
        <v>0</v>
      </c>
      <c r="G47" s="148">
        <v>0</v>
      </c>
      <c r="H47" s="148">
        <v>0</v>
      </c>
      <c r="K47" s="148">
        <f t="shared" si="1"/>
        <v>0</v>
      </c>
      <c r="L47" s="148">
        <f t="shared" si="19"/>
        <v>0</v>
      </c>
      <c r="M47" s="148">
        <f t="shared" si="3"/>
        <v>0</v>
      </c>
      <c r="N47" s="148">
        <f t="shared" si="20"/>
        <v>0</v>
      </c>
      <c r="O47" s="148">
        <f t="shared" si="4"/>
        <v>0</v>
      </c>
      <c r="P47" s="148">
        <f t="shared" si="21"/>
        <v>0</v>
      </c>
      <c r="Q47" s="148">
        <f t="shared" si="5"/>
        <v>0</v>
      </c>
      <c r="R47" s="148">
        <f t="shared" si="22"/>
        <v>0</v>
      </c>
      <c r="U47" s="148">
        <f t="shared" si="6"/>
        <v>0</v>
      </c>
      <c r="V47" s="148">
        <f t="shared" si="7"/>
        <v>0</v>
      </c>
      <c r="W47" s="148">
        <f t="shared" si="8"/>
        <v>0</v>
      </c>
      <c r="X47" s="148">
        <f t="shared" si="9"/>
        <v>0</v>
      </c>
      <c r="Y47" s="148">
        <f t="shared" si="10"/>
        <v>0</v>
      </c>
      <c r="Z47" s="148">
        <f t="shared" si="14"/>
        <v>0</v>
      </c>
      <c r="AA47" s="148">
        <f t="shared" si="11"/>
        <v>0</v>
      </c>
      <c r="AB47" s="148">
        <f t="shared" si="15"/>
        <v>0</v>
      </c>
    </row>
    <row r="48" spans="1:28" s="148" customFormat="1">
      <c r="A48" s="148" t="s">
        <v>62</v>
      </c>
      <c r="B48" s="148" t="s">
        <v>17</v>
      </c>
      <c r="C48" s="148">
        <v>0</v>
      </c>
      <c r="D48" s="148">
        <v>0</v>
      </c>
      <c r="E48" s="148">
        <v>0</v>
      </c>
      <c r="F48" s="148">
        <v>0</v>
      </c>
      <c r="G48" s="148">
        <v>0</v>
      </c>
      <c r="H48" s="148">
        <v>0</v>
      </c>
      <c r="K48" s="148">
        <f t="shared" si="1"/>
        <v>0</v>
      </c>
      <c r="L48" s="148">
        <f t="shared" si="19"/>
        <v>0</v>
      </c>
      <c r="M48" s="148">
        <f t="shared" si="3"/>
        <v>0</v>
      </c>
      <c r="N48" s="148">
        <f t="shared" si="20"/>
        <v>0</v>
      </c>
      <c r="O48" s="148">
        <f t="shared" si="4"/>
        <v>0</v>
      </c>
      <c r="P48" s="148">
        <f t="shared" si="21"/>
        <v>0</v>
      </c>
      <c r="Q48" s="148">
        <f t="shared" si="5"/>
        <v>0</v>
      </c>
      <c r="R48" s="148">
        <f t="shared" si="22"/>
        <v>0</v>
      </c>
      <c r="U48" s="148">
        <f t="shared" si="6"/>
        <v>0</v>
      </c>
      <c r="V48" s="148">
        <f t="shared" si="7"/>
        <v>0</v>
      </c>
      <c r="W48" s="148">
        <f t="shared" si="8"/>
        <v>0</v>
      </c>
      <c r="X48" s="148">
        <f t="shared" si="9"/>
        <v>0</v>
      </c>
      <c r="Y48" s="148">
        <f t="shared" si="10"/>
        <v>0</v>
      </c>
      <c r="Z48" s="148">
        <f t="shared" si="14"/>
        <v>0</v>
      </c>
      <c r="AA48" s="148">
        <f t="shared" si="11"/>
        <v>0</v>
      </c>
      <c r="AB48" s="148">
        <f t="shared" si="15"/>
        <v>0</v>
      </c>
    </row>
    <row r="49" spans="1:28" s="148" customFormat="1">
      <c r="A49" s="148" t="s">
        <v>63</v>
      </c>
      <c r="B49" s="148" t="s">
        <v>17</v>
      </c>
      <c r="C49" s="148">
        <v>0</v>
      </c>
      <c r="D49" s="148">
        <v>0</v>
      </c>
      <c r="E49" s="148">
        <v>0</v>
      </c>
      <c r="F49" s="148">
        <v>0</v>
      </c>
      <c r="G49" s="148">
        <v>0</v>
      </c>
      <c r="H49" s="148">
        <v>0</v>
      </c>
      <c r="K49" s="148">
        <f t="shared" si="1"/>
        <v>0</v>
      </c>
      <c r="L49" s="148">
        <f t="shared" si="19"/>
        <v>0</v>
      </c>
      <c r="M49" s="148">
        <f t="shared" si="3"/>
        <v>0</v>
      </c>
      <c r="N49" s="148">
        <f t="shared" si="20"/>
        <v>0</v>
      </c>
      <c r="O49" s="148">
        <f t="shared" si="4"/>
        <v>0</v>
      </c>
      <c r="P49" s="148">
        <f t="shared" si="21"/>
        <v>0</v>
      </c>
      <c r="Q49" s="148">
        <f t="shared" si="5"/>
        <v>0</v>
      </c>
      <c r="R49" s="148">
        <f t="shared" si="22"/>
        <v>0</v>
      </c>
      <c r="U49" s="148">
        <f t="shared" si="6"/>
        <v>0</v>
      </c>
      <c r="V49" s="148">
        <f t="shared" si="7"/>
        <v>0</v>
      </c>
      <c r="W49" s="148">
        <f t="shared" si="8"/>
        <v>0</v>
      </c>
      <c r="X49" s="148">
        <f t="shared" si="9"/>
        <v>0</v>
      </c>
      <c r="Y49" s="148">
        <f t="shared" si="10"/>
        <v>0</v>
      </c>
      <c r="Z49" s="148">
        <f t="shared" si="14"/>
        <v>0</v>
      </c>
      <c r="AA49" s="148">
        <f t="shared" si="11"/>
        <v>0</v>
      </c>
      <c r="AB49" s="148">
        <f t="shared" si="15"/>
        <v>0</v>
      </c>
    </row>
    <row r="50" spans="1:28">
      <c r="A50" t="s">
        <v>35</v>
      </c>
      <c r="B50" t="s">
        <v>17</v>
      </c>
      <c r="C50">
        <v>0</v>
      </c>
      <c r="D50">
        <v>0</v>
      </c>
      <c r="E50">
        <v>0</v>
      </c>
      <c r="F50">
        <v>0</v>
      </c>
      <c r="G50">
        <v>0</v>
      </c>
      <c r="H50">
        <v>0</v>
      </c>
      <c r="K50">
        <f t="shared" ref="K50:K78" si="23">C50</f>
        <v>0</v>
      </c>
      <c r="L50">
        <f>K50</f>
        <v>0</v>
      </c>
      <c r="M50">
        <f t="shared" ref="M50:M78" si="24">D50</f>
        <v>0</v>
      </c>
      <c r="N50">
        <f>M50</f>
        <v>0</v>
      </c>
      <c r="O50">
        <f t="shared" ref="O50:O78" si="25">F50</f>
        <v>0</v>
      </c>
      <c r="P50">
        <f>O50</f>
        <v>0</v>
      </c>
      <c r="Q50">
        <f t="shared" ref="Q50:Q78" si="26">G50</f>
        <v>0</v>
      </c>
      <c r="R50">
        <f>Q50</f>
        <v>0</v>
      </c>
      <c r="U50">
        <f t="shared" si="6"/>
        <v>0</v>
      </c>
      <c r="V50">
        <f t="shared" si="7"/>
        <v>0</v>
      </c>
      <c r="W50">
        <f t="shared" si="8"/>
        <v>0</v>
      </c>
      <c r="X50">
        <f t="shared" si="9"/>
        <v>0</v>
      </c>
      <c r="Y50">
        <f t="shared" si="10"/>
        <v>0</v>
      </c>
      <c r="Z50">
        <f t="shared" si="14"/>
        <v>0</v>
      </c>
      <c r="AA50">
        <f t="shared" si="11"/>
        <v>0</v>
      </c>
      <c r="AB50">
        <f t="shared" si="15"/>
        <v>0</v>
      </c>
    </row>
    <row r="51" spans="1:28">
      <c r="A51" t="s">
        <v>36</v>
      </c>
      <c r="B51" t="s">
        <v>17</v>
      </c>
      <c r="C51">
        <v>0</v>
      </c>
      <c r="D51">
        <v>0</v>
      </c>
      <c r="E51">
        <v>0</v>
      </c>
      <c r="F51">
        <v>0</v>
      </c>
      <c r="G51">
        <v>0</v>
      </c>
      <c r="H51">
        <v>0</v>
      </c>
      <c r="K51">
        <f t="shared" si="23"/>
        <v>0</v>
      </c>
      <c r="L51">
        <f t="shared" si="19"/>
        <v>0</v>
      </c>
      <c r="M51">
        <f t="shared" si="24"/>
        <v>0</v>
      </c>
      <c r="N51">
        <f t="shared" si="19"/>
        <v>0</v>
      </c>
      <c r="O51">
        <f t="shared" si="25"/>
        <v>0</v>
      </c>
      <c r="P51">
        <f t="shared" si="21"/>
        <v>0</v>
      </c>
      <c r="Q51">
        <f t="shared" si="26"/>
        <v>0</v>
      </c>
      <c r="R51">
        <f t="shared" si="22"/>
        <v>0</v>
      </c>
      <c r="U51">
        <f t="shared" si="6"/>
        <v>0</v>
      </c>
      <c r="V51">
        <f t="shared" si="7"/>
        <v>0</v>
      </c>
      <c r="W51">
        <f t="shared" si="8"/>
        <v>0</v>
      </c>
      <c r="X51">
        <f t="shared" si="9"/>
        <v>0</v>
      </c>
      <c r="Y51">
        <f t="shared" si="10"/>
        <v>0</v>
      </c>
      <c r="Z51">
        <f t="shared" si="14"/>
        <v>0</v>
      </c>
      <c r="AA51">
        <f t="shared" si="11"/>
        <v>0</v>
      </c>
      <c r="AB51">
        <f t="shared" si="15"/>
        <v>0</v>
      </c>
    </row>
    <row r="52" spans="1:28">
      <c r="A52" t="s">
        <v>37</v>
      </c>
      <c r="B52" t="s">
        <v>17</v>
      </c>
      <c r="C52">
        <v>0</v>
      </c>
      <c r="D52">
        <v>0</v>
      </c>
      <c r="E52">
        <v>0</v>
      </c>
      <c r="F52">
        <v>0</v>
      </c>
      <c r="G52">
        <v>0</v>
      </c>
      <c r="H52">
        <v>0</v>
      </c>
      <c r="K52">
        <f t="shared" si="23"/>
        <v>0</v>
      </c>
      <c r="L52">
        <f t="shared" si="19"/>
        <v>0</v>
      </c>
      <c r="M52">
        <f t="shared" si="24"/>
        <v>0</v>
      </c>
      <c r="N52">
        <f t="shared" si="19"/>
        <v>0</v>
      </c>
      <c r="O52">
        <f t="shared" si="25"/>
        <v>0</v>
      </c>
      <c r="P52">
        <f t="shared" si="21"/>
        <v>0</v>
      </c>
      <c r="Q52">
        <f t="shared" si="26"/>
        <v>0</v>
      </c>
      <c r="R52">
        <f t="shared" si="22"/>
        <v>0</v>
      </c>
      <c r="U52">
        <f t="shared" si="6"/>
        <v>0</v>
      </c>
      <c r="V52">
        <f t="shared" si="7"/>
        <v>0</v>
      </c>
      <c r="W52">
        <f t="shared" si="8"/>
        <v>0</v>
      </c>
      <c r="X52">
        <f t="shared" si="9"/>
        <v>0</v>
      </c>
      <c r="Y52">
        <f t="shared" si="10"/>
        <v>0</v>
      </c>
      <c r="Z52">
        <f t="shared" si="14"/>
        <v>0</v>
      </c>
      <c r="AA52">
        <f t="shared" si="11"/>
        <v>0</v>
      </c>
      <c r="AB52">
        <f t="shared" si="15"/>
        <v>0</v>
      </c>
    </row>
    <row r="53" spans="1:28">
      <c r="A53" t="s">
        <v>38</v>
      </c>
      <c r="B53" t="s">
        <v>17</v>
      </c>
      <c r="C53">
        <v>0</v>
      </c>
      <c r="D53">
        <v>0</v>
      </c>
      <c r="E53">
        <v>0</v>
      </c>
      <c r="F53">
        <v>0</v>
      </c>
      <c r="G53">
        <v>0</v>
      </c>
      <c r="H53">
        <v>0</v>
      </c>
      <c r="K53">
        <f t="shared" si="23"/>
        <v>0</v>
      </c>
      <c r="L53">
        <f t="shared" si="19"/>
        <v>0</v>
      </c>
      <c r="M53">
        <f t="shared" si="24"/>
        <v>0</v>
      </c>
      <c r="N53">
        <f t="shared" si="19"/>
        <v>0</v>
      </c>
      <c r="O53">
        <f t="shared" si="25"/>
        <v>0</v>
      </c>
      <c r="P53">
        <f t="shared" si="21"/>
        <v>0</v>
      </c>
      <c r="Q53">
        <f t="shared" si="26"/>
        <v>0</v>
      </c>
      <c r="R53">
        <f t="shared" si="22"/>
        <v>0</v>
      </c>
      <c r="U53">
        <f t="shared" si="6"/>
        <v>0</v>
      </c>
      <c r="V53">
        <f t="shared" si="7"/>
        <v>0</v>
      </c>
      <c r="W53">
        <f t="shared" si="8"/>
        <v>0</v>
      </c>
      <c r="X53">
        <f t="shared" si="9"/>
        <v>0</v>
      </c>
      <c r="Y53">
        <f t="shared" si="10"/>
        <v>0</v>
      </c>
      <c r="Z53">
        <f t="shared" si="14"/>
        <v>0</v>
      </c>
      <c r="AA53">
        <f t="shared" si="11"/>
        <v>0</v>
      </c>
      <c r="AB53">
        <f t="shared" si="15"/>
        <v>0</v>
      </c>
    </row>
    <row r="54" spans="1:28">
      <c r="A54" t="s">
        <v>39</v>
      </c>
      <c r="B54" t="s">
        <v>17</v>
      </c>
      <c r="C54">
        <v>20</v>
      </c>
      <c r="D54">
        <v>20</v>
      </c>
      <c r="E54">
        <v>20</v>
      </c>
      <c r="F54">
        <v>20</v>
      </c>
      <c r="G54">
        <v>20</v>
      </c>
      <c r="H54">
        <v>20</v>
      </c>
      <c r="K54">
        <f t="shared" si="23"/>
        <v>20</v>
      </c>
      <c r="L54">
        <f>K54-10</f>
        <v>10</v>
      </c>
      <c r="M54">
        <f t="shared" si="24"/>
        <v>20</v>
      </c>
      <c r="N54">
        <f>M54-10</f>
        <v>10</v>
      </c>
      <c r="O54">
        <f t="shared" si="25"/>
        <v>20</v>
      </c>
      <c r="P54">
        <f>O54-10</f>
        <v>10</v>
      </c>
      <c r="Q54">
        <f t="shared" si="26"/>
        <v>20</v>
      </c>
      <c r="R54">
        <f>Q54-10</f>
        <v>10</v>
      </c>
      <c r="U54">
        <f t="shared" si="6"/>
        <v>20</v>
      </c>
      <c r="V54">
        <f t="shared" si="7"/>
        <v>10</v>
      </c>
      <c r="W54">
        <f t="shared" si="8"/>
        <v>20</v>
      </c>
      <c r="X54">
        <f t="shared" si="9"/>
        <v>10</v>
      </c>
      <c r="Y54">
        <f t="shared" si="10"/>
        <v>20</v>
      </c>
      <c r="Z54">
        <f t="shared" si="14"/>
        <v>10</v>
      </c>
      <c r="AA54">
        <f t="shared" si="11"/>
        <v>20</v>
      </c>
      <c r="AB54">
        <f t="shared" si="15"/>
        <v>10</v>
      </c>
    </row>
    <row r="55" spans="1:28">
      <c r="A55" t="s">
        <v>40</v>
      </c>
      <c r="B55" t="s">
        <v>17</v>
      </c>
      <c r="C55">
        <v>0</v>
      </c>
      <c r="D55">
        <v>0</v>
      </c>
      <c r="E55">
        <v>0</v>
      </c>
      <c r="F55">
        <v>0</v>
      </c>
      <c r="G55">
        <v>0</v>
      </c>
      <c r="H55">
        <v>0</v>
      </c>
      <c r="K55">
        <f t="shared" si="23"/>
        <v>0</v>
      </c>
      <c r="L55">
        <f t="shared" si="19"/>
        <v>0</v>
      </c>
      <c r="M55">
        <f t="shared" si="24"/>
        <v>0</v>
      </c>
      <c r="N55">
        <f t="shared" si="19"/>
        <v>0</v>
      </c>
      <c r="O55">
        <f t="shared" si="25"/>
        <v>0</v>
      </c>
      <c r="P55">
        <f t="shared" si="21"/>
        <v>0</v>
      </c>
      <c r="Q55">
        <f t="shared" si="26"/>
        <v>0</v>
      </c>
      <c r="R55">
        <f t="shared" si="22"/>
        <v>0</v>
      </c>
      <c r="U55">
        <f t="shared" si="6"/>
        <v>0</v>
      </c>
      <c r="V55">
        <f t="shared" si="7"/>
        <v>0</v>
      </c>
      <c r="W55">
        <f t="shared" si="8"/>
        <v>0</v>
      </c>
      <c r="X55">
        <f t="shared" si="9"/>
        <v>0</v>
      </c>
      <c r="Y55">
        <f t="shared" si="10"/>
        <v>0</v>
      </c>
      <c r="Z55">
        <f t="shared" si="14"/>
        <v>0</v>
      </c>
      <c r="AA55">
        <f t="shared" si="11"/>
        <v>0</v>
      </c>
      <c r="AB55">
        <f t="shared" si="15"/>
        <v>0</v>
      </c>
    </row>
    <row r="56" spans="1:28">
      <c r="A56" t="s">
        <v>41</v>
      </c>
      <c r="B56" t="s">
        <v>17</v>
      </c>
      <c r="C56">
        <v>0</v>
      </c>
      <c r="D56">
        <v>0</v>
      </c>
      <c r="E56">
        <v>0</v>
      </c>
      <c r="F56">
        <v>0</v>
      </c>
      <c r="G56">
        <v>0</v>
      </c>
      <c r="H56">
        <v>0</v>
      </c>
      <c r="K56">
        <f t="shared" si="23"/>
        <v>0</v>
      </c>
      <c r="L56">
        <f t="shared" si="19"/>
        <v>0</v>
      </c>
      <c r="M56">
        <f t="shared" si="24"/>
        <v>0</v>
      </c>
      <c r="N56">
        <f t="shared" si="19"/>
        <v>0</v>
      </c>
      <c r="O56">
        <f t="shared" si="25"/>
        <v>0</v>
      </c>
      <c r="P56">
        <f t="shared" si="21"/>
        <v>0</v>
      </c>
      <c r="Q56">
        <f t="shared" si="26"/>
        <v>0</v>
      </c>
      <c r="R56">
        <f t="shared" si="22"/>
        <v>0</v>
      </c>
      <c r="U56">
        <f t="shared" si="6"/>
        <v>0</v>
      </c>
      <c r="V56">
        <f t="shared" si="7"/>
        <v>0</v>
      </c>
      <c r="W56">
        <f t="shared" si="8"/>
        <v>0</v>
      </c>
      <c r="X56">
        <f t="shared" si="9"/>
        <v>0</v>
      </c>
      <c r="Y56">
        <f t="shared" si="10"/>
        <v>0</v>
      </c>
      <c r="Z56">
        <f t="shared" si="14"/>
        <v>0</v>
      </c>
      <c r="AA56">
        <f t="shared" si="11"/>
        <v>0</v>
      </c>
      <c r="AB56">
        <f t="shared" si="15"/>
        <v>0</v>
      </c>
    </row>
    <row r="57" spans="1:28">
      <c r="A57" t="s">
        <v>42</v>
      </c>
      <c r="B57" t="s">
        <v>17</v>
      </c>
      <c r="C57">
        <v>0</v>
      </c>
      <c r="D57">
        <v>0</v>
      </c>
      <c r="E57">
        <v>0</v>
      </c>
      <c r="F57">
        <v>0</v>
      </c>
      <c r="G57">
        <v>0</v>
      </c>
      <c r="H57">
        <v>0</v>
      </c>
      <c r="K57">
        <f t="shared" si="23"/>
        <v>0</v>
      </c>
      <c r="L57">
        <f t="shared" si="19"/>
        <v>0</v>
      </c>
      <c r="M57">
        <f t="shared" si="24"/>
        <v>0</v>
      </c>
      <c r="N57">
        <f t="shared" si="19"/>
        <v>0</v>
      </c>
      <c r="O57">
        <f t="shared" si="25"/>
        <v>0</v>
      </c>
      <c r="P57">
        <f t="shared" si="21"/>
        <v>0</v>
      </c>
      <c r="Q57">
        <f t="shared" si="26"/>
        <v>0</v>
      </c>
      <c r="R57">
        <f t="shared" si="22"/>
        <v>0</v>
      </c>
      <c r="U57">
        <f t="shared" si="6"/>
        <v>0</v>
      </c>
      <c r="V57">
        <f t="shared" si="7"/>
        <v>0</v>
      </c>
      <c r="W57">
        <f t="shared" si="8"/>
        <v>0</v>
      </c>
      <c r="X57">
        <f t="shared" si="9"/>
        <v>0</v>
      </c>
      <c r="Y57">
        <f t="shared" si="10"/>
        <v>0</v>
      </c>
      <c r="Z57">
        <f t="shared" si="14"/>
        <v>0</v>
      </c>
      <c r="AA57">
        <f t="shared" si="11"/>
        <v>0</v>
      </c>
      <c r="AB57">
        <f t="shared" si="15"/>
        <v>0</v>
      </c>
    </row>
    <row r="58" spans="1:28">
      <c r="A58" t="s">
        <v>43</v>
      </c>
      <c r="B58" t="s">
        <v>17</v>
      </c>
      <c r="C58">
        <v>0</v>
      </c>
      <c r="D58">
        <v>0</v>
      </c>
      <c r="E58">
        <v>0</v>
      </c>
      <c r="F58">
        <v>0</v>
      </c>
      <c r="G58">
        <v>0</v>
      </c>
      <c r="H58">
        <v>0</v>
      </c>
      <c r="K58">
        <f t="shared" si="23"/>
        <v>0</v>
      </c>
      <c r="L58">
        <f t="shared" si="19"/>
        <v>0</v>
      </c>
      <c r="M58">
        <f t="shared" si="24"/>
        <v>0</v>
      </c>
      <c r="N58">
        <f t="shared" si="19"/>
        <v>0</v>
      </c>
      <c r="O58">
        <f t="shared" si="25"/>
        <v>0</v>
      </c>
      <c r="P58">
        <f t="shared" si="21"/>
        <v>0</v>
      </c>
      <c r="Q58">
        <f t="shared" si="26"/>
        <v>0</v>
      </c>
      <c r="R58">
        <f t="shared" si="22"/>
        <v>0</v>
      </c>
      <c r="U58">
        <f t="shared" si="6"/>
        <v>0</v>
      </c>
      <c r="V58">
        <f t="shared" si="7"/>
        <v>0</v>
      </c>
      <c r="W58">
        <f t="shared" si="8"/>
        <v>0</v>
      </c>
      <c r="X58">
        <f t="shared" si="9"/>
        <v>0</v>
      </c>
      <c r="Y58">
        <f t="shared" si="10"/>
        <v>0</v>
      </c>
      <c r="Z58">
        <f t="shared" si="14"/>
        <v>0</v>
      </c>
      <c r="AA58">
        <f t="shared" si="11"/>
        <v>0</v>
      </c>
      <c r="AB58">
        <f t="shared" si="15"/>
        <v>0</v>
      </c>
    </row>
    <row r="59" spans="1:28">
      <c r="A59" t="s">
        <v>44</v>
      </c>
      <c r="B59" t="s">
        <v>17</v>
      </c>
      <c r="C59">
        <v>0</v>
      </c>
      <c r="D59">
        <v>0</v>
      </c>
      <c r="E59">
        <v>0</v>
      </c>
      <c r="F59">
        <v>0</v>
      </c>
      <c r="G59">
        <v>0</v>
      </c>
      <c r="H59">
        <v>0</v>
      </c>
      <c r="K59">
        <f t="shared" si="23"/>
        <v>0</v>
      </c>
      <c r="L59">
        <f t="shared" si="19"/>
        <v>0</v>
      </c>
      <c r="M59">
        <f t="shared" si="24"/>
        <v>0</v>
      </c>
      <c r="N59">
        <f t="shared" si="19"/>
        <v>0</v>
      </c>
      <c r="O59">
        <f t="shared" si="25"/>
        <v>0</v>
      </c>
      <c r="P59">
        <f t="shared" si="21"/>
        <v>0</v>
      </c>
      <c r="Q59">
        <f t="shared" si="26"/>
        <v>0</v>
      </c>
      <c r="R59">
        <f t="shared" si="22"/>
        <v>0</v>
      </c>
      <c r="U59">
        <f t="shared" si="6"/>
        <v>0</v>
      </c>
      <c r="V59">
        <f t="shared" si="7"/>
        <v>0</v>
      </c>
      <c r="W59">
        <f t="shared" si="8"/>
        <v>0</v>
      </c>
      <c r="X59">
        <f t="shared" si="9"/>
        <v>0</v>
      </c>
      <c r="Y59">
        <f t="shared" si="10"/>
        <v>0</v>
      </c>
      <c r="Z59">
        <f t="shared" si="14"/>
        <v>0</v>
      </c>
      <c r="AA59">
        <f t="shared" si="11"/>
        <v>0</v>
      </c>
      <c r="AB59">
        <f t="shared" si="15"/>
        <v>0</v>
      </c>
    </row>
    <row r="60" spans="1:28">
      <c r="A60" t="s">
        <v>45</v>
      </c>
      <c r="B60" t="s">
        <v>17</v>
      </c>
      <c r="C60">
        <v>0</v>
      </c>
      <c r="D60">
        <v>0</v>
      </c>
      <c r="E60">
        <v>0</v>
      </c>
      <c r="F60">
        <v>0</v>
      </c>
      <c r="G60">
        <v>0</v>
      </c>
      <c r="H60">
        <v>0</v>
      </c>
      <c r="K60">
        <f t="shared" si="23"/>
        <v>0</v>
      </c>
      <c r="L60">
        <f t="shared" si="19"/>
        <v>0</v>
      </c>
      <c r="M60">
        <f t="shared" si="24"/>
        <v>0</v>
      </c>
      <c r="N60">
        <f t="shared" si="19"/>
        <v>0</v>
      </c>
      <c r="O60">
        <f t="shared" si="25"/>
        <v>0</v>
      </c>
      <c r="P60">
        <f t="shared" si="21"/>
        <v>0</v>
      </c>
      <c r="Q60">
        <f t="shared" si="26"/>
        <v>0</v>
      </c>
      <c r="R60">
        <f t="shared" si="22"/>
        <v>0</v>
      </c>
      <c r="U60">
        <f t="shared" si="6"/>
        <v>0</v>
      </c>
      <c r="V60">
        <f t="shared" si="7"/>
        <v>0</v>
      </c>
      <c r="W60">
        <f t="shared" si="8"/>
        <v>0</v>
      </c>
      <c r="X60">
        <f t="shared" si="9"/>
        <v>0</v>
      </c>
      <c r="Y60">
        <f t="shared" si="10"/>
        <v>0</v>
      </c>
      <c r="Z60">
        <f t="shared" si="14"/>
        <v>0</v>
      </c>
      <c r="AA60">
        <f t="shared" si="11"/>
        <v>0</v>
      </c>
      <c r="AB60">
        <f t="shared" si="15"/>
        <v>0</v>
      </c>
    </row>
    <row r="61" spans="1:28">
      <c r="A61" t="s">
        <v>46</v>
      </c>
      <c r="B61" t="s">
        <v>17</v>
      </c>
      <c r="C61">
        <v>0</v>
      </c>
      <c r="D61">
        <v>0</v>
      </c>
      <c r="E61">
        <v>0</v>
      </c>
      <c r="F61">
        <v>0</v>
      </c>
      <c r="G61">
        <v>0</v>
      </c>
      <c r="H61">
        <v>0</v>
      </c>
      <c r="K61">
        <f t="shared" si="23"/>
        <v>0</v>
      </c>
      <c r="L61">
        <f t="shared" si="19"/>
        <v>0</v>
      </c>
      <c r="M61">
        <f t="shared" si="24"/>
        <v>0</v>
      </c>
      <c r="N61">
        <f t="shared" si="19"/>
        <v>0</v>
      </c>
      <c r="O61">
        <f t="shared" si="25"/>
        <v>0</v>
      </c>
      <c r="P61">
        <f t="shared" si="21"/>
        <v>0</v>
      </c>
      <c r="Q61">
        <f t="shared" si="26"/>
        <v>0</v>
      </c>
      <c r="R61">
        <f t="shared" si="22"/>
        <v>0</v>
      </c>
      <c r="U61">
        <f t="shared" si="6"/>
        <v>0</v>
      </c>
      <c r="V61">
        <f t="shared" si="7"/>
        <v>0</v>
      </c>
      <c r="W61">
        <f t="shared" si="8"/>
        <v>0</v>
      </c>
      <c r="X61">
        <f t="shared" si="9"/>
        <v>0</v>
      </c>
      <c r="Y61">
        <f t="shared" si="10"/>
        <v>0</v>
      </c>
      <c r="Z61">
        <f t="shared" si="14"/>
        <v>0</v>
      </c>
      <c r="AA61">
        <f t="shared" si="11"/>
        <v>0</v>
      </c>
      <c r="AB61">
        <f t="shared" si="15"/>
        <v>0</v>
      </c>
    </row>
    <row r="62" spans="1:28">
      <c r="A62" t="s">
        <v>47</v>
      </c>
      <c r="B62" t="s">
        <v>17</v>
      </c>
      <c r="C62">
        <v>0</v>
      </c>
      <c r="D62">
        <v>0</v>
      </c>
      <c r="E62">
        <v>0</v>
      </c>
      <c r="F62">
        <v>0</v>
      </c>
      <c r="G62">
        <v>0</v>
      </c>
      <c r="H62">
        <v>0</v>
      </c>
      <c r="K62">
        <f t="shared" si="23"/>
        <v>0</v>
      </c>
      <c r="L62">
        <f t="shared" si="19"/>
        <v>0</v>
      </c>
      <c r="M62">
        <f t="shared" si="24"/>
        <v>0</v>
      </c>
      <c r="N62">
        <f t="shared" si="19"/>
        <v>0</v>
      </c>
      <c r="O62">
        <f t="shared" si="25"/>
        <v>0</v>
      </c>
      <c r="P62">
        <f t="shared" si="21"/>
        <v>0</v>
      </c>
      <c r="Q62">
        <f t="shared" si="26"/>
        <v>0</v>
      </c>
      <c r="R62">
        <f t="shared" si="22"/>
        <v>0</v>
      </c>
      <c r="U62">
        <f t="shared" si="6"/>
        <v>0</v>
      </c>
      <c r="V62">
        <f t="shared" si="7"/>
        <v>0</v>
      </c>
      <c r="W62">
        <f t="shared" si="8"/>
        <v>0</v>
      </c>
      <c r="X62">
        <f t="shared" si="9"/>
        <v>0</v>
      </c>
      <c r="Y62">
        <f t="shared" si="10"/>
        <v>0</v>
      </c>
      <c r="Z62">
        <f t="shared" si="14"/>
        <v>0</v>
      </c>
      <c r="AA62">
        <f t="shared" si="11"/>
        <v>0</v>
      </c>
      <c r="AB62">
        <f t="shared" si="15"/>
        <v>0</v>
      </c>
    </row>
    <row r="63" spans="1:28">
      <c r="A63" t="s">
        <v>48</v>
      </c>
      <c r="B63" t="s">
        <v>17</v>
      </c>
      <c r="C63">
        <v>80</v>
      </c>
      <c r="D63">
        <v>80</v>
      </c>
      <c r="E63">
        <v>80</v>
      </c>
      <c r="F63">
        <v>40</v>
      </c>
      <c r="G63">
        <v>40</v>
      </c>
      <c r="H63">
        <v>40</v>
      </c>
      <c r="K63">
        <f t="shared" si="23"/>
        <v>80</v>
      </c>
      <c r="L63">
        <f>K63</f>
        <v>80</v>
      </c>
      <c r="M63">
        <f t="shared" si="24"/>
        <v>80</v>
      </c>
      <c r="N63">
        <f>M63</f>
        <v>80</v>
      </c>
      <c r="O63">
        <f t="shared" si="25"/>
        <v>40</v>
      </c>
      <c r="P63">
        <f t="shared" si="21"/>
        <v>40</v>
      </c>
      <c r="Q63">
        <f t="shared" si="26"/>
        <v>40</v>
      </c>
      <c r="R63">
        <f t="shared" si="22"/>
        <v>40</v>
      </c>
      <c r="U63">
        <f t="shared" si="6"/>
        <v>80</v>
      </c>
      <c r="V63">
        <f>L63-10</f>
        <v>70</v>
      </c>
      <c r="W63">
        <f t="shared" si="8"/>
        <v>80</v>
      </c>
      <c r="X63">
        <f>N63-10</f>
        <v>70</v>
      </c>
      <c r="Y63">
        <f t="shared" si="10"/>
        <v>40</v>
      </c>
      <c r="Z63">
        <f t="shared" si="14"/>
        <v>40</v>
      </c>
      <c r="AA63">
        <f t="shared" si="11"/>
        <v>40</v>
      </c>
      <c r="AB63">
        <f t="shared" si="15"/>
        <v>40</v>
      </c>
    </row>
    <row r="64" spans="1:28">
      <c r="A64" t="s">
        <v>49</v>
      </c>
      <c r="B64" t="s">
        <v>17</v>
      </c>
      <c r="C64">
        <v>0</v>
      </c>
      <c r="D64">
        <v>0</v>
      </c>
      <c r="E64">
        <v>0</v>
      </c>
      <c r="F64">
        <v>0</v>
      </c>
      <c r="G64">
        <v>0</v>
      </c>
      <c r="H64">
        <v>0</v>
      </c>
      <c r="K64">
        <f t="shared" si="23"/>
        <v>0</v>
      </c>
      <c r="L64">
        <f>K64+10</f>
        <v>10</v>
      </c>
      <c r="M64">
        <f t="shared" si="24"/>
        <v>0</v>
      </c>
      <c r="N64">
        <f>M64+10</f>
        <v>10</v>
      </c>
      <c r="O64">
        <f t="shared" si="25"/>
        <v>0</v>
      </c>
      <c r="P64">
        <f>O64+10</f>
        <v>10</v>
      </c>
      <c r="Q64">
        <f t="shared" si="26"/>
        <v>0</v>
      </c>
      <c r="R64">
        <f>Q64+10</f>
        <v>10</v>
      </c>
      <c r="U64">
        <f t="shared" si="6"/>
        <v>0</v>
      </c>
      <c r="V64">
        <f>L64+10</f>
        <v>20</v>
      </c>
      <c r="W64">
        <f t="shared" si="8"/>
        <v>0</v>
      </c>
      <c r="X64">
        <f>N64+10</f>
        <v>20</v>
      </c>
      <c r="Y64">
        <f t="shared" si="10"/>
        <v>0</v>
      </c>
      <c r="Z64">
        <f t="shared" si="14"/>
        <v>10</v>
      </c>
      <c r="AA64">
        <f t="shared" si="11"/>
        <v>0</v>
      </c>
      <c r="AB64">
        <f t="shared" si="15"/>
        <v>10</v>
      </c>
    </row>
    <row r="65" spans="1:28">
      <c r="A65" t="s">
        <v>50</v>
      </c>
      <c r="B65" t="s">
        <v>17</v>
      </c>
      <c r="C65">
        <v>0</v>
      </c>
      <c r="D65">
        <v>0</v>
      </c>
      <c r="E65">
        <v>0</v>
      </c>
      <c r="F65">
        <v>0</v>
      </c>
      <c r="G65">
        <v>0</v>
      </c>
      <c r="H65">
        <v>0</v>
      </c>
      <c r="K65">
        <f t="shared" si="23"/>
        <v>0</v>
      </c>
      <c r="L65">
        <f t="shared" si="19"/>
        <v>0</v>
      </c>
      <c r="M65">
        <f t="shared" si="24"/>
        <v>0</v>
      </c>
      <c r="N65">
        <f t="shared" si="19"/>
        <v>0</v>
      </c>
      <c r="O65">
        <f t="shared" si="25"/>
        <v>0</v>
      </c>
      <c r="P65">
        <f t="shared" si="21"/>
        <v>0</v>
      </c>
      <c r="Q65">
        <f t="shared" si="26"/>
        <v>0</v>
      </c>
      <c r="R65">
        <f t="shared" si="22"/>
        <v>0</v>
      </c>
      <c r="U65">
        <f t="shared" si="6"/>
        <v>0</v>
      </c>
      <c r="V65">
        <f t="shared" si="7"/>
        <v>0</v>
      </c>
      <c r="W65">
        <f t="shared" si="8"/>
        <v>0</v>
      </c>
      <c r="X65">
        <f t="shared" si="9"/>
        <v>0</v>
      </c>
      <c r="Y65">
        <f t="shared" si="10"/>
        <v>0</v>
      </c>
      <c r="Z65">
        <f t="shared" si="14"/>
        <v>0</v>
      </c>
      <c r="AA65">
        <f t="shared" si="11"/>
        <v>0</v>
      </c>
      <c r="AB65">
        <f t="shared" si="15"/>
        <v>0</v>
      </c>
    </row>
    <row r="66" spans="1:28">
      <c r="A66" t="s">
        <v>51</v>
      </c>
      <c r="B66" t="s">
        <v>17</v>
      </c>
      <c r="C66">
        <v>0</v>
      </c>
      <c r="D66">
        <v>0</v>
      </c>
      <c r="E66">
        <v>0</v>
      </c>
      <c r="F66">
        <v>0</v>
      </c>
      <c r="G66">
        <v>0</v>
      </c>
      <c r="H66">
        <v>0</v>
      </c>
      <c r="K66">
        <f t="shared" si="23"/>
        <v>0</v>
      </c>
      <c r="L66">
        <f t="shared" si="19"/>
        <v>0</v>
      </c>
      <c r="M66">
        <f t="shared" si="24"/>
        <v>0</v>
      </c>
      <c r="N66">
        <f t="shared" si="19"/>
        <v>0</v>
      </c>
      <c r="O66">
        <f t="shared" si="25"/>
        <v>0</v>
      </c>
      <c r="P66">
        <f t="shared" si="21"/>
        <v>0</v>
      </c>
      <c r="Q66">
        <f t="shared" si="26"/>
        <v>0</v>
      </c>
      <c r="R66">
        <f t="shared" si="22"/>
        <v>0</v>
      </c>
      <c r="U66">
        <f t="shared" si="6"/>
        <v>0</v>
      </c>
      <c r="V66">
        <f t="shared" si="7"/>
        <v>0</v>
      </c>
      <c r="W66">
        <f t="shared" si="8"/>
        <v>0</v>
      </c>
      <c r="X66">
        <f t="shared" si="9"/>
        <v>0</v>
      </c>
      <c r="Y66">
        <f t="shared" si="10"/>
        <v>0</v>
      </c>
      <c r="Z66">
        <f t="shared" si="14"/>
        <v>0</v>
      </c>
      <c r="AA66">
        <f t="shared" si="11"/>
        <v>0</v>
      </c>
      <c r="AB66">
        <f t="shared" si="15"/>
        <v>0</v>
      </c>
    </row>
    <row r="67" spans="1:28">
      <c r="A67" t="s">
        <v>52</v>
      </c>
      <c r="B67" t="s">
        <v>17</v>
      </c>
      <c r="C67">
        <v>0</v>
      </c>
      <c r="D67">
        <v>0</v>
      </c>
      <c r="E67">
        <v>0</v>
      </c>
      <c r="F67">
        <v>0</v>
      </c>
      <c r="G67">
        <v>0</v>
      </c>
      <c r="H67">
        <v>0</v>
      </c>
      <c r="K67">
        <f t="shared" si="23"/>
        <v>0</v>
      </c>
      <c r="L67">
        <f t="shared" si="19"/>
        <v>0</v>
      </c>
      <c r="M67">
        <f t="shared" si="24"/>
        <v>0</v>
      </c>
      <c r="N67">
        <f t="shared" si="19"/>
        <v>0</v>
      </c>
      <c r="O67">
        <f t="shared" si="25"/>
        <v>0</v>
      </c>
      <c r="P67">
        <f t="shared" si="21"/>
        <v>0</v>
      </c>
      <c r="Q67">
        <f t="shared" si="26"/>
        <v>0</v>
      </c>
      <c r="R67">
        <f t="shared" si="22"/>
        <v>0</v>
      </c>
      <c r="U67">
        <f t="shared" si="6"/>
        <v>0</v>
      </c>
      <c r="V67">
        <f t="shared" si="7"/>
        <v>0</v>
      </c>
      <c r="W67">
        <f t="shared" si="8"/>
        <v>0</v>
      </c>
      <c r="X67">
        <f t="shared" si="9"/>
        <v>0</v>
      </c>
      <c r="Y67">
        <f t="shared" si="10"/>
        <v>0</v>
      </c>
      <c r="Z67">
        <f t="shared" si="14"/>
        <v>0</v>
      </c>
      <c r="AA67">
        <f t="shared" si="11"/>
        <v>0</v>
      </c>
      <c r="AB67">
        <f t="shared" si="15"/>
        <v>0</v>
      </c>
    </row>
    <row r="68" spans="1:28">
      <c r="A68" t="s">
        <v>53</v>
      </c>
      <c r="B68" t="s">
        <v>17</v>
      </c>
      <c r="C68">
        <v>0</v>
      </c>
      <c r="D68">
        <v>0</v>
      </c>
      <c r="E68">
        <v>0</v>
      </c>
      <c r="F68">
        <v>40</v>
      </c>
      <c r="G68">
        <v>40</v>
      </c>
      <c r="H68">
        <v>40</v>
      </c>
      <c r="K68">
        <f t="shared" si="23"/>
        <v>0</v>
      </c>
      <c r="L68">
        <f t="shared" si="19"/>
        <v>0</v>
      </c>
      <c r="M68">
        <f t="shared" si="24"/>
        <v>0</v>
      </c>
      <c r="N68">
        <f t="shared" si="19"/>
        <v>0</v>
      </c>
      <c r="O68">
        <f t="shared" si="25"/>
        <v>40</v>
      </c>
      <c r="P68">
        <f t="shared" si="21"/>
        <v>40</v>
      </c>
      <c r="Q68">
        <f t="shared" si="26"/>
        <v>40</v>
      </c>
      <c r="R68">
        <f t="shared" si="22"/>
        <v>40</v>
      </c>
      <c r="U68">
        <f t="shared" si="6"/>
        <v>0</v>
      </c>
      <c r="V68">
        <f t="shared" si="7"/>
        <v>0</v>
      </c>
      <c r="W68">
        <f t="shared" si="8"/>
        <v>0</v>
      </c>
      <c r="X68">
        <f t="shared" si="9"/>
        <v>0</v>
      </c>
      <c r="Y68">
        <f t="shared" si="10"/>
        <v>40</v>
      </c>
      <c r="Z68">
        <f>P68-10</f>
        <v>30</v>
      </c>
      <c r="AA68">
        <f t="shared" si="11"/>
        <v>40</v>
      </c>
      <c r="AB68">
        <f>R68-10</f>
        <v>30</v>
      </c>
    </row>
    <row r="69" spans="1:28">
      <c r="A69" t="s">
        <v>54</v>
      </c>
      <c r="B69" t="s">
        <v>17</v>
      </c>
      <c r="C69">
        <v>0</v>
      </c>
      <c r="D69">
        <v>0</v>
      </c>
      <c r="E69">
        <v>0</v>
      </c>
      <c r="F69">
        <v>0</v>
      </c>
      <c r="G69">
        <v>0</v>
      </c>
      <c r="H69">
        <v>0</v>
      </c>
      <c r="K69">
        <f t="shared" si="23"/>
        <v>0</v>
      </c>
      <c r="L69">
        <f t="shared" si="19"/>
        <v>0</v>
      </c>
      <c r="M69">
        <f t="shared" si="24"/>
        <v>0</v>
      </c>
      <c r="N69">
        <f t="shared" si="19"/>
        <v>0</v>
      </c>
      <c r="O69">
        <f t="shared" si="25"/>
        <v>0</v>
      </c>
      <c r="P69">
        <f t="shared" si="21"/>
        <v>0</v>
      </c>
      <c r="Q69">
        <f t="shared" si="26"/>
        <v>0</v>
      </c>
      <c r="R69">
        <f t="shared" si="22"/>
        <v>0</v>
      </c>
      <c r="U69">
        <f t="shared" ref="U69:U88" si="27">K69</f>
        <v>0</v>
      </c>
      <c r="V69">
        <f t="shared" ref="V69:V88" si="28">L69</f>
        <v>0</v>
      </c>
      <c r="W69">
        <f t="shared" ref="W69:W88" si="29">M69</f>
        <v>0</v>
      </c>
      <c r="X69">
        <f t="shared" ref="X69:X88" si="30">N69</f>
        <v>0</v>
      </c>
      <c r="Y69">
        <f t="shared" ref="Y69:Y88" si="31">O69</f>
        <v>0</v>
      </c>
      <c r="Z69">
        <f>P69+10</f>
        <v>10</v>
      </c>
      <c r="AA69">
        <f t="shared" ref="AA69:AA88" si="32">Q69</f>
        <v>0</v>
      </c>
      <c r="AB69">
        <f>R69+10</f>
        <v>10</v>
      </c>
    </row>
    <row r="70" spans="1:28">
      <c r="A70" t="s">
        <v>55</v>
      </c>
      <c r="B70" t="s">
        <v>17</v>
      </c>
      <c r="C70">
        <v>0</v>
      </c>
      <c r="D70">
        <v>0</v>
      </c>
      <c r="E70">
        <v>0</v>
      </c>
      <c r="F70">
        <v>0</v>
      </c>
      <c r="G70">
        <v>0</v>
      </c>
      <c r="H70">
        <v>0</v>
      </c>
      <c r="K70">
        <f t="shared" si="23"/>
        <v>0</v>
      </c>
      <c r="L70">
        <f t="shared" si="19"/>
        <v>0</v>
      </c>
      <c r="M70">
        <f t="shared" si="24"/>
        <v>0</v>
      </c>
      <c r="N70">
        <f t="shared" si="19"/>
        <v>0</v>
      </c>
      <c r="O70">
        <f t="shared" si="25"/>
        <v>0</v>
      </c>
      <c r="P70">
        <f t="shared" si="21"/>
        <v>0</v>
      </c>
      <c r="Q70">
        <f t="shared" si="26"/>
        <v>0</v>
      </c>
      <c r="R70">
        <f t="shared" si="22"/>
        <v>0</v>
      </c>
      <c r="U70">
        <f t="shared" si="27"/>
        <v>0</v>
      </c>
      <c r="V70">
        <f t="shared" si="28"/>
        <v>0</v>
      </c>
      <c r="W70">
        <f t="shared" si="29"/>
        <v>0</v>
      </c>
      <c r="X70">
        <f t="shared" si="30"/>
        <v>0</v>
      </c>
      <c r="Y70">
        <f t="shared" si="31"/>
        <v>0</v>
      </c>
      <c r="Z70">
        <f t="shared" ref="Z70:Z88" si="33">P70</f>
        <v>0</v>
      </c>
      <c r="AA70">
        <f t="shared" si="32"/>
        <v>0</v>
      </c>
      <c r="AB70">
        <f t="shared" ref="AB70:AB88" si="34">R70</f>
        <v>0</v>
      </c>
    </row>
    <row r="71" spans="1:28">
      <c r="A71" t="s">
        <v>56</v>
      </c>
      <c r="B71" t="s">
        <v>17</v>
      </c>
      <c r="C71">
        <v>0</v>
      </c>
      <c r="D71">
        <v>0</v>
      </c>
      <c r="E71">
        <v>0</v>
      </c>
      <c r="F71">
        <v>0</v>
      </c>
      <c r="G71">
        <v>0</v>
      </c>
      <c r="H71">
        <v>0</v>
      </c>
      <c r="K71">
        <f t="shared" si="23"/>
        <v>0</v>
      </c>
      <c r="L71">
        <f t="shared" si="19"/>
        <v>0</v>
      </c>
      <c r="M71">
        <f t="shared" si="24"/>
        <v>0</v>
      </c>
      <c r="N71">
        <f t="shared" si="19"/>
        <v>0</v>
      </c>
      <c r="O71">
        <f t="shared" si="25"/>
        <v>0</v>
      </c>
      <c r="P71">
        <f t="shared" si="21"/>
        <v>0</v>
      </c>
      <c r="Q71">
        <f t="shared" si="26"/>
        <v>0</v>
      </c>
      <c r="R71">
        <f t="shared" si="22"/>
        <v>0</v>
      </c>
      <c r="U71">
        <f t="shared" si="27"/>
        <v>0</v>
      </c>
      <c r="V71">
        <f t="shared" si="28"/>
        <v>0</v>
      </c>
      <c r="W71">
        <f t="shared" si="29"/>
        <v>0</v>
      </c>
      <c r="X71">
        <f t="shared" si="30"/>
        <v>0</v>
      </c>
      <c r="Y71">
        <f t="shared" si="31"/>
        <v>0</v>
      </c>
      <c r="Z71">
        <f t="shared" si="33"/>
        <v>0</v>
      </c>
      <c r="AA71">
        <f t="shared" si="32"/>
        <v>0</v>
      </c>
      <c r="AB71">
        <f t="shared" si="34"/>
        <v>0</v>
      </c>
    </row>
    <row r="72" spans="1:28">
      <c r="A72" t="s">
        <v>57</v>
      </c>
      <c r="B72" t="s">
        <v>17</v>
      </c>
      <c r="C72">
        <v>0</v>
      </c>
      <c r="D72">
        <v>0</v>
      </c>
      <c r="E72">
        <v>0</v>
      </c>
      <c r="F72">
        <v>0</v>
      </c>
      <c r="G72">
        <v>0</v>
      </c>
      <c r="H72">
        <v>0</v>
      </c>
      <c r="K72">
        <f t="shared" si="23"/>
        <v>0</v>
      </c>
      <c r="L72">
        <f t="shared" si="19"/>
        <v>0</v>
      </c>
      <c r="M72">
        <f t="shared" si="24"/>
        <v>0</v>
      </c>
      <c r="N72">
        <f t="shared" si="19"/>
        <v>0</v>
      </c>
      <c r="O72">
        <f t="shared" si="25"/>
        <v>0</v>
      </c>
      <c r="P72">
        <f t="shared" si="21"/>
        <v>0</v>
      </c>
      <c r="Q72">
        <f t="shared" si="26"/>
        <v>0</v>
      </c>
      <c r="R72">
        <f t="shared" si="22"/>
        <v>0</v>
      </c>
      <c r="U72">
        <f t="shared" si="27"/>
        <v>0</v>
      </c>
      <c r="V72">
        <f t="shared" si="28"/>
        <v>0</v>
      </c>
      <c r="W72">
        <f t="shared" si="29"/>
        <v>0</v>
      </c>
      <c r="X72">
        <f t="shared" si="30"/>
        <v>0</v>
      </c>
      <c r="Y72">
        <f t="shared" si="31"/>
        <v>0</v>
      </c>
      <c r="Z72">
        <f t="shared" si="33"/>
        <v>0</v>
      </c>
      <c r="AA72">
        <f t="shared" si="32"/>
        <v>0</v>
      </c>
      <c r="AB72">
        <f t="shared" si="34"/>
        <v>0</v>
      </c>
    </row>
    <row r="73" spans="1:28">
      <c r="A73" t="s">
        <v>58</v>
      </c>
      <c r="B73" t="s">
        <v>17</v>
      </c>
      <c r="C73">
        <v>0</v>
      </c>
      <c r="D73">
        <v>0</v>
      </c>
      <c r="E73">
        <v>0</v>
      </c>
      <c r="F73">
        <v>0</v>
      </c>
      <c r="G73">
        <v>0</v>
      </c>
      <c r="H73">
        <v>0</v>
      </c>
      <c r="K73">
        <f t="shared" si="23"/>
        <v>0</v>
      </c>
      <c r="L73">
        <f t="shared" si="19"/>
        <v>0</v>
      </c>
      <c r="M73">
        <f t="shared" si="24"/>
        <v>0</v>
      </c>
      <c r="N73">
        <f t="shared" si="19"/>
        <v>0</v>
      </c>
      <c r="O73">
        <f t="shared" si="25"/>
        <v>0</v>
      </c>
      <c r="P73">
        <f t="shared" si="21"/>
        <v>0</v>
      </c>
      <c r="Q73">
        <f t="shared" si="26"/>
        <v>0</v>
      </c>
      <c r="R73">
        <f t="shared" si="22"/>
        <v>0</v>
      </c>
      <c r="U73">
        <f t="shared" si="27"/>
        <v>0</v>
      </c>
      <c r="V73">
        <f t="shared" si="28"/>
        <v>0</v>
      </c>
      <c r="W73">
        <f t="shared" si="29"/>
        <v>0</v>
      </c>
      <c r="X73">
        <f t="shared" si="30"/>
        <v>0</v>
      </c>
      <c r="Y73">
        <f t="shared" si="31"/>
        <v>0</v>
      </c>
      <c r="Z73">
        <f t="shared" si="33"/>
        <v>0</v>
      </c>
      <c r="AA73">
        <f t="shared" si="32"/>
        <v>0</v>
      </c>
      <c r="AB73">
        <f t="shared" si="34"/>
        <v>0</v>
      </c>
    </row>
    <row r="74" spans="1:28">
      <c r="A74" t="s">
        <v>59</v>
      </c>
      <c r="B74" t="s">
        <v>17</v>
      </c>
      <c r="C74">
        <v>0</v>
      </c>
      <c r="D74">
        <v>0</v>
      </c>
      <c r="E74">
        <v>0</v>
      </c>
      <c r="F74">
        <v>0</v>
      </c>
      <c r="G74">
        <v>0</v>
      </c>
      <c r="H74">
        <v>0</v>
      </c>
      <c r="K74">
        <f t="shared" si="23"/>
        <v>0</v>
      </c>
      <c r="L74">
        <f t="shared" si="19"/>
        <v>0</v>
      </c>
      <c r="M74">
        <f t="shared" si="24"/>
        <v>0</v>
      </c>
      <c r="N74">
        <f t="shared" si="19"/>
        <v>0</v>
      </c>
      <c r="O74">
        <f t="shared" si="25"/>
        <v>0</v>
      </c>
      <c r="P74">
        <f t="shared" si="21"/>
        <v>0</v>
      </c>
      <c r="Q74">
        <f t="shared" si="26"/>
        <v>0</v>
      </c>
      <c r="R74">
        <f t="shared" si="22"/>
        <v>0</v>
      </c>
      <c r="U74">
        <f t="shared" si="27"/>
        <v>0</v>
      </c>
      <c r="V74">
        <f t="shared" si="28"/>
        <v>0</v>
      </c>
      <c r="W74">
        <f t="shared" si="29"/>
        <v>0</v>
      </c>
      <c r="X74">
        <f t="shared" si="30"/>
        <v>0</v>
      </c>
      <c r="Y74">
        <f t="shared" si="31"/>
        <v>0</v>
      </c>
      <c r="Z74">
        <f t="shared" si="33"/>
        <v>0</v>
      </c>
      <c r="AA74">
        <f t="shared" si="32"/>
        <v>0</v>
      </c>
      <c r="AB74">
        <f t="shared" si="34"/>
        <v>0</v>
      </c>
    </row>
    <row r="75" spans="1:28">
      <c r="A75" t="s">
        <v>60</v>
      </c>
      <c r="B75" t="s">
        <v>17</v>
      </c>
      <c r="C75">
        <v>0</v>
      </c>
      <c r="D75">
        <v>0</v>
      </c>
      <c r="E75">
        <v>0</v>
      </c>
      <c r="F75">
        <v>0</v>
      </c>
      <c r="G75">
        <v>0</v>
      </c>
      <c r="H75">
        <v>0</v>
      </c>
      <c r="K75">
        <f t="shared" si="23"/>
        <v>0</v>
      </c>
      <c r="L75">
        <f t="shared" si="19"/>
        <v>0</v>
      </c>
      <c r="M75">
        <f t="shared" si="24"/>
        <v>0</v>
      </c>
      <c r="N75">
        <f t="shared" si="19"/>
        <v>0</v>
      </c>
      <c r="O75">
        <f t="shared" si="25"/>
        <v>0</v>
      </c>
      <c r="P75">
        <f t="shared" si="21"/>
        <v>0</v>
      </c>
      <c r="Q75">
        <f t="shared" si="26"/>
        <v>0</v>
      </c>
      <c r="R75">
        <f t="shared" si="22"/>
        <v>0</v>
      </c>
      <c r="U75">
        <f t="shared" si="27"/>
        <v>0</v>
      </c>
      <c r="V75">
        <f t="shared" si="28"/>
        <v>0</v>
      </c>
      <c r="W75">
        <f t="shared" si="29"/>
        <v>0</v>
      </c>
      <c r="X75">
        <f t="shared" si="30"/>
        <v>0</v>
      </c>
      <c r="Y75">
        <f t="shared" si="31"/>
        <v>0</v>
      </c>
      <c r="Z75">
        <f t="shared" si="33"/>
        <v>0</v>
      </c>
      <c r="AA75">
        <f t="shared" si="32"/>
        <v>0</v>
      </c>
      <c r="AB75">
        <f t="shared" si="34"/>
        <v>0</v>
      </c>
    </row>
    <row r="76" spans="1:28">
      <c r="A76" t="s">
        <v>61</v>
      </c>
      <c r="B76" t="s">
        <v>17</v>
      </c>
      <c r="C76">
        <v>0</v>
      </c>
      <c r="D76">
        <v>0</v>
      </c>
      <c r="E76">
        <v>0</v>
      </c>
      <c r="F76">
        <v>0</v>
      </c>
      <c r="G76">
        <v>0</v>
      </c>
      <c r="H76">
        <v>0</v>
      </c>
      <c r="K76">
        <f t="shared" si="23"/>
        <v>0</v>
      </c>
      <c r="L76">
        <f t="shared" si="19"/>
        <v>0</v>
      </c>
      <c r="M76">
        <f t="shared" si="24"/>
        <v>0</v>
      </c>
      <c r="N76">
        <f t="shared" si="19"/>
        <v>0</v>
      </c>
      <c r="O76">
        <f t="shared" si="25"/>
        <v>0</v>
      </c>
      <c r="P76">
        <f t="shared" si="21"/>
        <v>0</v>
      </c>
      <c r="Q76">
        <f t="shared" si="26"/>
        <v>0</v>
      </c>
      <c r="R76">
        <f t="shared" si="22"/>
        <v>0</v>
      </c>
      <c r="U76">
        <f t="shared" si="27"/>
        <v>0</v>
      </c>
      <c r="V76">
        <f t="shared" si="28"/>
        <v>0</v>
      </c>
      <c r="W76">
        <f t="shared" si="29"/>
        <v>0</v>
      </c>
      <c r="X76">
        <f t="shared" si="30"/>
        <v>0</v>
      </c>
      <c r="Y76">
        <f t="shared" si="31"/>
        <v>0</v>
      </c>
      <c r="Z76">
        <f t="shared" si="33"/>
        <v>0</v>
      </c>
      <c r="AA76">
        <f t="shared" si="32"/>
        <v>0</v>
      </c>
      <c r="AB76">
        <f t="shared" si="34"/>
        <v>0</v>
      </c>
    </row>
    <row r="77" spans="1:28">
      <c r="A77" t="s">
        <v>62</v>
      </c>
      <c r="B77" t="s">
        <v>17</v>
      </c>
      <c r="C77">
        <v>0</v>
      </c>
      <c r="D77">
        <v>0</v>
      </c>
      <c r="E77">
        <v>0</v>
      </c>
      <c r="F77">
        <v>0</v>
      </c>
      <c r="G77">
        <v>0</v>
      </c>
      <c r="H77">
        <v>0</v>
      </c>
      <c r="K77">
        <f t="shared" si="23"/>
        <v>0</v>
      </c>
      <c r="L77">
        <f t="shared" si="19"/>
        <v>0</v>
      </c>
      <c r="M77">
        <f t="shared" si="24"/>
        <v>0</v>
      </c>
      <c r="N77">
        <f t="shared" si="19"/>
        <v>0</v>
      </c>
      <c r="O77">
        <f t="shared" si="25"/>
        <v>0</v>
      </c>
      <c r="P77">
        <f t="shared" si="21"/>
        <v>0</v>
      </c>
      <c r="Q77">
        <f t="shared" si="26"/>
        <v>0</v>
      </c>
      <c r="R77">
        <f t="shared" si="22"/>
        <v>0</v>
      </c>
      <c r="U77">
        <f t="shared" si="27"/>
        <v>0</v>
      </c>
      <c r="V77">
        <f t="shared" si="28"/>
        <v>0</v>
      </c>
      <c r="W77">
        <f t="shared" si="29"/>
        <v>0</v>
      </c>
      <c r="X77">
        <f t="shared" si="30"/>
        <v>0</v>
      </c>
      <c r="Y77">
        <f t="shared" si="31"/>
        <v>0</v>
      </c>
      <c r="Z77">
        <f t="shared" si="33"/>
        <v>0</v>
      </c>
      <c r="AA77">
        <f t="shared" si="32"/>
        <v>0</v>
      </c>
      <c r="AB77">
        <f t="shared" si="34"/>
        <v>0</v>
      </c>
    </row>
    <row r="78" spans="1:28">
      <c r="A78" t="s">
        <v>63</v>
      </c>
      <c r="B78" t="s">
        <v>17</v>
      </c>
      <c r="C78">
        <v>0</v>
      </c>
      <c r="D78">
        <v>0</v>
      </c>
      <c r="E78">
        <v>0</v>
      </c>
      <c r="F78">
        <v>0</v>
      </c>
      <c r="G78">
        <v>0</v>
      </c>
      <c r="H78">
        <v>0</v>
      </c>
      <c r="K78">
        <f t="shared" si="23"/>
        <v>0</v>
      </c>
      <c r="L78">
        <f t="shared" si="19"/>
        <v>0</v>
      </c>
      <c r="M78">
        <f t="shared" si="24"/>
        <v>0</v>
      </c>
      <c r="N78">
        <f t="shared" si="19"/>
        <v>0</v>
      </c>
      <c r="O78">
        <f t="shared" si="25"/>
        <v>0</v>
      </c>
      <c r="P78">
        <f t="shared" si="21"/>
        <v>0</v>
      </c>
      <c r="Q78">
        <f t="shared" si="26"/>
        <v>0</v>
      </c>
      <c r="R78">
        <f t="shared" si="22"/>
        <v>0</v>
      </c>
      <c r="U78">
        <f t="shared" si="27"/>
        <v>0</v>
      </c>
      <c r="V78">
        <f t="shared" si="28"/>
        <v>0</v>
      </c>
      <c r="W78">
        <f t="shared" si="29"/>
        <v>0</v>
      </c>
      <c r="X78">
        <f t="shared" si="30"/>
        <v>0</v>
      </c>
      <c r="Y78">
        <f t="shared" si="31"/>
        <v>0</v>
      </c>
      <c r="Z78">
        <f t="shared" si="33"/>
        <v>0</v>
      </c>
      <c r="AA78">
        <f t="shared" si="32"/>
        <v>0</v>
      </c>
      <c r="AB78">
        <f t="shared" si="34"/>
        <v>0</v>
      </c>
    </row>
    <row r="79" spans="1:28">
      <c r="A79" s="4" t="s">
        <v>64</v>
      </c>
    </row>
    <row r="80" spans="1:28">
      <c r="A80" t="s">
        <v>65</v>
      </c>
      <c r="B80" t="s">
        <v>17</v>
      </c>
      <c r="C80">
        <v>0</v>
      </c>
      <c r="D80">
        <v>0</v>
      </c>
      <c r="E80">
        <v>0</v>
      </c>
      <c r="F80">
        <v>0</v>
      </c>
      <c r="G80">
        <v>0</v>
      </c>
      <c r="H80">
        <v>0</v>
      </c>
      <c r="K80">
        <f t="shared" si="1"/>
        <v>0</v>
      </c>
      <c r="L80">
        <f t="shared" si="19"/>
        <v>0</v>
      </c>
      <c r="M80">
        <f t="shared" si="3"/>
        <v>0</v>
      </c>
      <c r="N80">
        <f t="shared" si="20"/>
        <v>0</v>
      </c>
      <c r="O80">
        <f t="shared" si="4"/>
        <v>0</v>
      </c>
      <c r="P80">
        <f>O80+20</f>
        <v>20</v>
      </c>
      <c r="Q80">
        <f t="shared" ref="Q80:Q87" si="35">G80</f>
        <v>0</v>
      </c>
      <c r="R80">
        <f>Q80+20</f>
        <v>20</v>
      </c>
      <c r="U80">
        <f t="shared" si="27"/>
        <v>0</v>
      </c>
      <c r="V80">
        <f t="shared" si="28"/>
        <v>0</v>
      </c>
      <c r="W80">
        <f t="shared" si="29"/>
        <v>0</v>
      </c>
      <c r="X80">
        <f t="shared" si="30"/>
        <v>0</v>
      </c>
      <c r="Y80">
        <f t="shared" si="31"/>
        <v>0</v>
      </c>
      <c r="Z80">
        <f>P80</f>
        <v>20</v>
      </c>
      <c r="AA80">
        <f t="shared" si="32"/>
        <v>0</v>
      </c>
      <c r="AB80">
        <f t="shared" si="34"/>
        <v>20</v>
      </c>
    </row>
    <row r="81" spans="1:28">
      <c r="A81" t="s">
        <v>66</v>
      </c>
      <c r="B81" t="s">
        <v>17</v>
      </c>
      <c r="C81">
        <v>0</v>
      </c>
      <c r="D81">
        <v>0</v>
      </c>
      <c r="E81">
        <v>20</v>
      </c>
      <c r="F81">
        <v>0</v>
      </c>
      <c r="G81">
        <v>0</v>
      </c>
      <c r="H81">
        <v>20</v>
      </c>
      <c r="K81">
        <f t="shared" si="1"/>
        <v>0</v>
      </c>
      <c r="L81">
        <f t="shared" si="19"/>
        <v>0</v>
      </c>
      <c r="M81">
        <f t="shared" si="3"/>
        <v>0</v>
      </c>
      <c r="N81">
        <f t="shared" si="20"/>
        <v>0</v>
      </c>
      <c r="O81">
        <f t="shared" si="4"/>
        <v>0</v>
      </c>
      <c r="P81">
        <f t="shared" si="21"/>
        <v>0</v>
      </c>
      <c r="Q81">
        <f t="shared" si="35"/>
        <v>0</v>
      </c>
      <c r="R81">
        <f>Q81</f>
        <v>0</v>
      </c>
      <c r="U81">
        <f t="shared" si="27"/>
        <v>0</v>
      </c>
      <c r="V81">
        <f t="shared" si="28"/>
        <v>0</v>
      </c>
      <c r="W81">
        <f t="shared" si="29"/>
        <v>0</v>
      </c>
      <c r="X81">
        <f t="shared" si="30"/>
        <v>0</v>
      </c>
      <c r="Y81">
        <f t="shared" si="31"/>
        <v>0</v>
      </c>
      <c r="Z81">
        <f t="shared" si="33"/>
        <v>0</v>
      </c>
      <c r="AA81">
        <f t="shared" si="32"/>
        <v>0</v>
      </c>
      <c r="AB81">
        <f t="shared" si="34"/>
        <v>0</v>
      </c>
    </row>
    <row r="82" spans="1:28">
      <c r="A82" t="s">
        <v>67</v>
      </c>
      <c r="B82" t="s">
        <v>17</v>
      </c>
      <c r="C82">
        <v>0</v>
      </c>
      <c r="D82">
        <v>0</v>
      </c>
      <c r="E82">
        <v>0</v>
      </c>
      <c r="F82">
        <v>0</v>
      </c>
      <c r="G82">
        <v>0</v>
      </c>
      <c r="H82">
        <v>0</v>
      </c>
      <c r="K82">
        <f t="shared" si="1"/>
        <v>0</v>
      </c>
      <c r="L82">
        <f>K82+20</f>
        <v>20</v>
      </c>
      <c r="M82">
        <f t="shared" si="3"/>
        <v>0</v>
      </c>
      <c r="N82">
        <f>M82+20</f>
        <v>20</v>
      </c>
      <c r="O82">
        <f t="shared" si="4"/>
        <v>0</v>
      </c>
      <c r="P82">
        <f>O82+20</f>
        <v>20</v>
      </c>
      <c r="Q82">
        <f t="shared" si="35"/>
        <v>0</v>
      </c>
      <c r="R82">
        <f>Q82+10</f>
        <v>10</v>
      </c>
      <c r="U82">
        <f t="shared" si="27"/>
        <v>0</v>
      </c>
      <c r="V82">
        <f t="shared" si="28"/>
        <v>20</v>
      </c>
      <c r="W82">
        <f t="shared" si="29"/>
        <v>0</v>
      </c>
      <c r="X82">
        <f t="shared" si="30"/>
        <v>20</v>
      </c>
      <c r="Y82">
        <f t="shared" si="31"/>
        <v>0</v>
      </c>
      <c r="Z82">
        <f t="shared" si="33"/>
        <v>20</v>
      </c>
      <c r="AA82">
        <f t="shared" si="32"/>
        <v>0</v>
      </c>
      <c r="AB82">
        <f t="shared" si="34"/>
        <v>10</v>
      </c>
    </row>
    <row r="83" spans="1:28">
      <c r="A83" t="s">
        <v>68</v>
      </c>
      <c r="B83" t="s">
        <v>17</v>
      </c>
      <c r="C83">
        <v>0</v>
      </c>
      <c r="D83">
        <v>0</v>
      </c>
      <c r="E83">
        <v>0</v>
      </c>
      <c r="F83">
        <v>0</v>
      </c>
      <c r="G83">
        <v>0</v>
      </c>
      <c r="H83">
        <v>0</v>
      </c>
      <c r="K83">
        <f t="shared" si="1"/>
        <v>0</v>
      </c>
      <c r="L83">
        <f t="shared" si="19"/>
        <v>0</v>
      </c>
      <c r="M83">
        <f t="shared" si="3"/>
        <v>0</v>
      </c>
      <c r="N83">
        <f t="shared" si="20"/>
        <v>0</v>
      </c>
      <c r="O83">
        <f t="shared" si="4"/>
        <v>0</v>
      </c>
      <c r="P83">
        <f>O83+5</f>
        <v>5</v>
      </c>
      <c r="Q83">
        <f t="shared" si="35"/>
        <v>0</v>
      </c>
      <c r="R83">
        <f>Q83+5</f>
        <v>5</v>
      </c>
      <c r="U83">
        <f t="shared" si="27"/>
        <v>0</v>
      </c>
      <c r="V83">
        <f t="shared" si="28"/>
        <v>0</v>
      </c>
      <c r="W83">
        <f t="shared" si="29"/>
        <v>0</v>
      </c>
      <c r="X83">
        <f t="shared" si="30"/>
        <v>0</v>
      </c>
      <c r="Y83">
        <f t="shared" si="31"/>
        <v>0</v>
      </c>
      <c r="Z83">
        <f t="shared" si="33"/>
        <v>5</v>
      </c>
      <c r="AA83">
        <f t="shared" si="32"/>
        <v>0</v>
      </c>
      <c r="AB83">
        <f t="shared" si="34"/>
        <v>5</v>
      </c>
    </row>
    <row r="84" spans="1:28">
      <c r="A84" t="s">
        <v>69</v>
      </c>
      <c r="B84" t="s">
        <v>17</v>
      </c>
      <c r="C84">
        <v>0</v>
      </c>
      <c r="D84">
        <v>25</v>
      </c>
      <c r="E84">
        <v>20</v>
      </c>
      <c r="F84">
        <v>0</v>
      </c>
      <c r="G84">
        <v>60</v>
      </c>
      <c r="H84">
        <v>48</v>
      </c>
      <c r="K84">
        <f t="shared" si="1"/>
        <v>0</v>
      </c>
      <c r="L84">
        <f t="shared" si="19"/>
        <v>0</v>
      </c>
      <c r="M84">
        <f t="shared" si="3"/>
        <v>25</v>
      </c>
      <c r="N84">
        <f t="shared" si="20"/>
        <v>25</v>
      </c>
      <c r="O84">
        <f t="shared" si="4"/>
        <v>0</v>
      </c>
      <c r="P84">
        <f t="shared" si="21"/>
        <v>0</v>
      </c>
      <c r="Q84">
        <f t="shared" si="35"/>
        <v>60</v>
      </c>
      <c r="R84">
        <f>Q84-25</f>
        <v>35</v>
      </c>
      <c r="U84">
        <f t="shared" si="27"/>
        <v>0</v>
      </c>
      <c r="V84">
        <f t="shared" si="28"/>
        <v>0</v>
      </c>
      <c r="W84">
        <f t="shared" si="29"/>
        <v>25</v>
      </c>
      <c r="X84">
        <f t="shared" si="30"/>
        <v>25</v>
      </c>
      <c r="Y84">
        <f t="shared" si="31"/>
        <v>0</v>
      </c>
      <c r="Z84">
        <f t="shared" si="33"/>
        <v>0</v>
      </c>
      <c r="AA84">
        <f t="shared" si="32"/>
        <v>60</v>
      </c>
      <c r="AB84">
        <f t="shared" si="34"/>
        <v>35</v>
      </c>
    </row>
    <row r="85" spans="1:28">
      <c r="A85" t="s">
        <v>70</v>
      </c>
      <c r="B85" t="s">
        <v>17</v>
      </c>
      <c r="C85">
        <v>0</v>
      </c>
      <c r="D85">
        <v>0</v>
      </c>
      <c r="E85">
        <v>0</v>
      </c>
      <c r="F85">
        <v>0</v>
      </c>
      <c r="G85">
        <v>0</v>
      </c>
      <c r="H85">
        <v>0</v>
      </c>
      <c r="K85">
        <f t="shared" si="1"/>
        <v>0</v>
      </c>
      <c r="L85">
        <f t="shared" si="19"/>
        <v>0</v>
      </c>
      <c r="M85">
        <f t="shared" si="3"/>
        <v>0</v>
      </c>
      <c r="N85">
        <f t="shared" si="20"/>
        <v>0</v>
      </c>
      <c r="O85">
        <f t="shared" si="4"/>
        <v>0</v>
      </c>
      <c r="P85">
        <f t="shared" si="21"/>
        <v>0</v>
      </c>
      <c r="Q85">
        <f t="shared" si="35"/>
        <v>0</v>
      </c>
      <c r="R85">
        <f>Q85</f>
        <v>0</v>
      </c>
      <c r="U85">
        <f t="shared" si="27"/>
        <v>0</v>
      </c>
      <c r="V85">
        <f t="shared" si="28"/>
        <v>0</v>
      </c>
      <c r="W85">
        <f t="shared" si="29"/>
        <v>0</v>
      </c>
      <c r="X85">
        <f t="shared" si="30"/>
        <v>0</v>
      </c>
      <c r="Y85">
        <f t="shared" si="31"/>
        <v>0</v>
      </c>
      <c r="Z85">
        <f t="shared" si="33"/>
        <v>0</v>
      </c>
      <c r="AA85">
        <f t="shared" si="32"/>
        <v>0</v>
      </c>
      <c r="AB85">
        <f t="shared" si="34"/>
        <v>0</v>
      </c>
    </row>
    <row r="86" spans="1:28">
      <c r="A86" t="s">
        <v>71</v>
      </c>
      <c r="B86" t="s">
        <v>17</v>
      </c>
      <c r="C86">
        <v>33</v>
      </c>
      <c r="D86">
        <v>75</v>
      </c>
      <c r="E86">
        <v>60</v>
      </c>
      <c r="F86">
        <v>25</v>
      </c>
      <c r="G86">
        <v>40</v>
      </c>
      <c r="H86">
        <v>32</v>
      </c>
      <c r="K86">
        <f t="shared" si="1"/>
        <v>33</v>
      </c>
      <c r="L86">
        <f t="shared" si="19"/>
        <v>33</v>
      </c>
      <c r="M86">
        <f t="shared" si="3"/>
        <v>75</v>
      </c>
      <c r="N86">
        <f>M86-20</f>
        <v>55</v>
      </c>
      <c r="O86">
        <f t="shared" si="4"/>
        <v>25</v>
      </c>
      <c r="P86">
        <f t="shared" si="21"/>
        <v>25</v>
      </c>
      <c r="Q86">
        <f t="shared" si="35"/>
        <v>40</v>
      </c>
      <c r="R86">
        <f>Q86-10</f>
        <v>30</v>
      </c>
      <c r="U86">
        <f t="shared" si="27"/>
        <v>33</v>
      </c>
      <c r="V86">
        <f t="shared" si="28"/>
        <v>33</v>
      </c>
      <c r="W86">
        <f t="shared" si="29"/>
        <v>75</v>
      </c>
      <c r="X86">
        <f t="shared" si="30"/>
        <v>55</v>
      </c>
      <c r="Y86">
        <f t="shared" si="31"/>
        <v>25</v>
      </c>
      <c r="Z86">
        <f t="shared" si="33"/>
        <v>25</v>
      </c>
      <c r="AA86">
        <f t="shared" si="32"/>
        <v>40</v>
      </c>
      <c r="AB86">
        <f t="shared" si="34"/>
        <v>30</v>
      </c>
    </row>
    <row r="87" spans="1:28">
      <c r="A87" t="s">
        <v>72</v>
      </c>
      <c r="B87" t="s">
        <v>17</v>
      </c>
      <c r="C87">
        <v>67</v>
      </c>
      <c r="D87">
        <v>0</v>
      </c>
      <c r="E87">
        <v>0</v>
      </c>
      <c r="F87">
        <v>75</v>
      </c>
      <c r="G87">
        <v>0</v>
      </c>
      <c r="H87">
        <v>0</v>
      </c>
      <c r="K87">
        <f t="shared" si="1"/>
        <v>67</v>
      </c>
      <c r="L87">
        <f>K87-20</f>
        <v>47</v>
      </c>
      <c r="M87">
        <f t="shared" si="3"/>
        <v>0</v>
      </c>
      <c r="N87">
        <f t="shared" si="20"/>
        <v>0</v>
      </c>
      <c r="O87">
        <f t="shared" si="4"/>
        <v>75</v>
      </c>
      <c r="P87">
        <f>O87-25-20</f>
        <v>30</v>
      </c>
      <c r="Q87">
        <f t="shared" si="35"/>
        <v>0</v>
      </c>
      <c r="R87">
        <f>Q87</f>
        <v>0</v>
      </c>
      <c r="U87">
        <f t="shared" si="27"/>
        <v>67</v>
      </c>
      <c r="V87">
        <f t="shared" si="28"/>
        <v>47</v>
      </c>
      <c r="W87">
        <f t="shared" si="29"/>
        <v>0</v>
      </c>
      <c r="X87">
        <f t="shared" si="30"/>
        <v>0</v>
      </c>
      <c r="Y87">
        <f t="shared" si="31"/>
        <v>75</v>
      </c>
      <c r="Z87">
        <f t="shared" si="33"/>
        <v>30</v>
      </c>
      <c r="AA87">
        <f t="shared" si="32"/>
        <v>0</v>
      </c>
      <c r="AB87">
        <f t="shared" si="34"/>
        <v>0</v>
      </c>
    </row>
    <row r="88" spans="1:28">
      <c r="A88" t="s">
        <v>73</v>
      </c>
      <c r="B88" t="s">
        <v>17</v>
      </c>
      <c r="C88">
        <v>0</v>
      </c>
      <c r="D88">
        <v>0</v>
      </c>
      <c r="E88">
        <v>0</v>
      </c>
      <c r="F88">
        <v>0</v>
      </c>
      <c r="G88">
        <v>0</v>
      </c>
      <c r="H88">
        <v>0</v>
      </c>
      <c r="K88">
        <f t="shared" si="1"/>
        <v>0</v>
      </c>
      <c r="L88">
        <f>K88</f>
        <v>0</v>
      </c>
      <c r="M88">
        <v>0</v>
      </c>
      <c r="N88">
        <v>0</v>
      </c>
      <c r="O88">
        <v>0</v>
      </c>
      <c r="P88">
        <v>0</v>
      </c>
      <c r="Q88">
        <v>0</v>
      </c>
      <c r="R88">
        <v>0</v>
      </c>
      <c r="U88">
        <f t="shared" si="27"/>
        <v>0</v>
      </c>
      <c r="V88">
        <f t="shared" si="28"/>
        <v>0</v>
      </c>
      <c r="W88">
        <f t="shared" si="29"/>
        <v>0</v>
      </c>
      <c r="X88">
        <f t="shared" si="30"/>
        <v>0</v>
      </c>
      <c r="Y88">
        <f t="shared" si="31"/>
        <v>0</v>
      </c>
      <c r="Z88">
        <f t="shared" si="33"/>
        <v>0</v>
      </c>
      <c r="AA88">
        <f t="shared" si="32"/>
        <v>0</v>
      </c>
      <c r="AB88">
        <f t="shared" si="34"/>
        <v>0</v>
      </c>
    </row>
  </sheetData>
  <mergeCells count="7">
    <mergeCell ref="Y2:AB2"/>
    <mergeCell ref="U1:AB1"/>
    <mergeCell ref="C2:E2"/>
    <mergeCell ref="F2:H2"/>
    <mergeCell ref="K2:N2"/>
    <mergeCell ref="O2:R2"/>
    <mergeCell ref="U2:X2"/>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673C7-F749-40E1-A5D6-6A4AFB31AF20}">
  <dimension ref="B3:L20"/>
  <sheetViews>
    <sheetView workbookViewId="0">
      <selection activeCell="D3" sqref="D3:F3"/>
    </sheetView>
  </sheetViews>
  <sheetFormatPr defaultColWidth="11.42578125" defaultRowHeight="14.45"/>
  <cols>
    <col min="2" max="2" width="14.42578125" style="93" customWidth="1"/>
    <col min="3" max="3" width="7.28515625" customWidth="1"/>
    <col min="4" max="4" width="8.42578125" customWidth="1"/>
    <col min="5" max="5" width="10.28515625" bestFit="1" customWidth="1"/>
    <col min="6" max="6" width="10.140625" customWidth="1"/>
    <col min="7" max="7" width="12.28515625" customWidth="1"/>
  </cols>
  <sheetData>
    <row r="3" spans="2:12">
      <c r="B3" s="107"/>
      <c r="C3" s="160"/>
      <c r="D3" s="260" t="s">
        <v>595</v>
      </c>
      <c r="E3" s="260"/>
      <c r="F3" s="260"/>
      <c r="G3" s="260" t="s">
        <v>596</v>
      </c>
      <c r="H3" s="260"/>
      <c r="I3" s="260"/>
      <c r="J3" s="260" t="s">
        <v>597</v>
      </c>
      <c r="K3" s="260"/>
      <c r="L3" s="260"/>
    </row>
    <row r="4" spans="2:12">
      <c r="B4" s="192" t="s">
        <v>3</v>
      </c>
      <c r="C4" s="160" t="s">
        <v>4</v>
      </c>
      <c r="D4" s="3" t="s">
        <v>556</v>
      </c>
      <c r="E4" s="3" t="s">
        <v>428</v>
      </c>
      <c r="F4" s="3" t="s">
        <v>429</v>
      </c>
      <c r="G4" s="3" t="s">
        <v>556</v>
      </c>
      <c r="H4" s="3" t="s">
        <v>428</v>
      </c>
      <c r="I4" s="3" t="s">
        <v>429</v>
      </c>
      <c r="J4" s="3" t="s">
        <v>556</v>
      </c>
      <c r="K4" s="3" t="s">
        <v>428</v>
      </c>
      <c r="L4" s="3" t="s">
        <v>429</v>
      </c>
    </row>
    <row r="5" spans="2:12" ht="28.9">
      <c r="B5" s="94" t="s">
        <v>14</v>
      </c>
      <c r="C5" s="3" t="s">
        <v>15</v>
      </c>
      <c r="D5" s="3">
        <f>12+18+9</f>
        <v>39</v>
      </c>
      <c r="E5" s="3">
        <f t="shared" ref="E5:F5" si="0">12+18+9</f>
        <v>39</v>
      </c>
      <c r="F5" s="3">
        <f t="shared" si="0"/>
        <v>39</v>
      </c>
      <c r="G5" s="3">
        <f>12+24+9</f>
        <v>45</v>
      </c>
      <c r="H5" s="3">
        <f t="shared" ref="H5" si="1">12+24+9</f>
        <v>45</v>
      </c>
      <c r="I5" s="3">
        <v>40</v>
      </c>
      <c r="J5" s="3">
        <f>12+24+9</f>
        <v>45</v>
      </c>
      <c r="K5" s="3">
        <f t="shared" ref="K5" si="2">12+24+9</f>
        <v>45</v>
      </c>
      <c r="L5" s="3">
        <v>38</v>
      </c>
    </row>
    <row r="6" spans="2:12" ht="28.9">
      <c r="B6" s="94" t="s">
        <v>16</v>
      </c>
      <c r="C6" s="3" t="s">
        <v>17</v>
      </c>
      <c r="D6" s="3">
        <v>4</v>
      </c>
      <c r="E6" s="3">
        <v>4</v>
      </c>
      <c r="F6" s="3">
        <v>3</v>
      </c>
      <c r="G6" s="3">
        <v>6</v>
      </c>
      <c r="H6" s="3">
        <v>6</v>
      </c>
      <c r="I6" s="3">
        <v>5</v>
      </c>
      <c r="J6" s="3">
        <v>6</v>
      </c>
      <c r="K6" s="3">
        <v>6</v>
      </c>
      <c r="L6" s="3">
        <v>5</v>
      </c>
    </row>
    <row r="7" spans="2:12" ht="28.9">
      <c r="B7" s="94" t="s">
        <v>18</v>
      </c>
      <c r="C7" s="3" t="s">
        <v>17</v>
      </c>
      <c r="D7" s="3">
        <v>4</v>
      </c>
      <c r="E7" s="3">
        <v>4</v>
      </c>
      <c r="F7" s="3">
        <v>3</v>
      </c>
      <c r="G7" s="3">
        <v>6</v>
      </c>
      <c r="H7" s="3">
        <v>6</v>
      </c>
      <c r="I7" s="3">
        <v>5</v>
      </c>
      <c r="J7" s="3">
        <v>6</v>
      </c>
      <c r="K7" s="3">
        <v>6</v>
      </c>
      <c r="L7" s="3">
        <v>5</v>
      </c>
    </row>
    <row r="8" spans="2:12" ht="28.9">
      <c r="B8" s="94" t="s">
        <v>19</v>
      </c>
      <c r="C8" s="3" t="s">
        <v>17</v>
      </c>
      <c r="D8" s="3">
        <v>4</v>
      </c>
      <c r="E8" s="3">
        <v>4</v>
      </c>
      <c r="F8" s="3">
        <v>3</v>
      </c>
      <c r="G8" s="3">
        <v>6</v>
      </c>
      <c r="H8" s="3">
        <v>6</v>
      </c>
      <c r="I8" s="3">
        <v>5</v>
      </c>
      <c r="J8" s="3">
        <v>6</v>
      </c>
      <c r="K8" s="3">
        <v>6</v>
      </c>
      <c r="L8" s="3">
        <v>5</v>
      </c>
    </row>
    <row r="9" spans="2:12" ht="28.9">
      <c r="B9" s="94" t="s">
        <v>20</v>
      </c>
      <c r="C9" s="3" t="s">
        <v>17</v>
      </c>
      <c r="D9" s="3">
        <v>65</v>
      </c>
      <c r="E9" s="3">
        <v>65</v>
      </c>
      <c r="F9" s="3">
        <v>68</v>
      </c>
      <c r="G9" s="3">
        <v>55</v>
      </c>
      <c r="H9" s="3">
        <v>55</v>
      </c>
      <c r="I9" s="3">
        <v>57</v>
      </c>
      <c r="J9" s="3">
        <v>55</v>
      </c>
      <c r="K9" s="3">
        <v>55</v>
      </c>
      <c r="L9" s="3">
        <v>65</v>
      </c>
    </row>
    <row r="10" spans="2:12" ht="28.9">
      <c r="B10" s="94" t="s">
        <v>21</v>
      </c>
      <c r="C10" s="3" t="s">
        <v>22</v>
      </c>
      <c r="D10" s="3">
        <v>250</v>
      </c>
      <c r="E10" s="3">
        <v>250</v>
      </c>
      <c r="F10" s="3">
        <v>276</v>
      </c>
      <c r="G10" s="3">
        <v>200</v>
      </c>
      <c r="H10" s="3">
        <v>200</v>
      </c>
      <c r="I10" s="3">
        <v>221</v>
      </c>
      <c r="J10" s="3">
        <v>200</v>
      </c>
      <c r="K10" s="3">
        <v>200</v>
      </c>
      <c r="L10" s="193">
        <v>252</v>
      </c>
    </row>
    <row r="11" spans="2:12" ht="28.9">
      <c r="B11" s="94" t="s">
        <v>23</v>
      </c>
      <c r="C11" s="3" t="s">
        <v>22</v>
      </c>
      <c r="D11" s="3">
        <v>350</v>
      </c>
      <c r="E11" s="3">
        <v>350</v>
      </c>
      <c r="F11" s="3">
        <v>386</v>
      </c>
      <c r="G11" s="3">
        <v>350</v>
      </c>
      <c r="H11" s="3">
        <v>350</v>
      </c>
      <c r="I11" s="3">
        <v>386</v>
      </c>
      <c r="J11" s="3">
        <v>350</v>
      </c>
      <c r="K11" s="3">
        <v>350</v>
      </c>
      <c r="L11" s="193">
        <v>386</v>
      </c>
    </row>
    <row r="12" spans="2:12" ht="57.6">
      <c r="B12" s="94" t="s">
        <v>24</v>
      </c>
      <c r="C12" s="3" t="s">
        <v>22</v>
      </c>
      <c r="D12" s="3">
        <v>146</v>
      </c>
      <c r="E12" s="3">
        <v>146</v>
      </c>
      <c r="F12" s="3">
        <v>161</v>
      </c>
      <c r="G12" s="3">
        <v>146</v>
      </c>
      <c r="H12" s="3">
        <v>146</v>
      </c>
      <c r="I12" s="3">
        <v>161</v>
      </c>
      <c r="J12" s="3">
        <v>146</v>
      </c>
      <c r="K12" s="3">
        <v>146</v>
      </c>
      <c r="L12" s="193">
        <v>184</v>
      </c>
    </row>
    <row r="13" spans="2:12" ht="57.6">
      <c r="B13" s="94" t="s">
        <v>25</v>
      </c>
      <c r="C13" s="3" t="s">
        <v>22</v>
      </c>
      <c r="D13" s="3">
        <v>263</v>
      </c>
      <c r="E13" s="3">
        <v>263</v>
      </c>
      <c r="F13" s="3">
        <v>290</v>
      </c>
      <c r="G13" s="3">
        <v>263</v>
      </c>
      <c r="H13" s="3">
        <v>263</v>
      </c>
      <c r="I13" s="3">
        <v>290</v>
      </c>
      <c r="J13" s="3">
        <v>263</v>
      </c>
      <c r="K13" s="3">
        <v>263</v>
      </c>
      <c r="L13" s="193">
        <v>290</v>
      </c>
    </row>
    <row r="14" spans="2:12">
      <c r="B14" s="94" t="s">
        <v>26</v>
      </c>
      <c r="C14" s="3" t="s">
        <v>17</v>
      </c>
      <c r="D14" s="3">
        <v>4</v>
      </c>
      <c r="E14" s="3">
        <v>4</v>
      </c>
      <c r="F14" s="3">
        <v>4</v>
      </c>
      <c r="G14" s="3">
        <v>4</v>
      </c>
      <c r="H14" s="3">
        <v>4</v>
      </c>
      <c r="I14" s="3">
        <v>4</v>
      </c>
      <c r="J14" s="3">
        <v>4</v>
      </c>
      <c r="K14" s="3">
        <v>4</v>
      </c>
      <c r="L14" s="3">
        <v>4</v>
      </c>
    </row>
    <row r="15" spans="2:12" ht="28.9">
      <c r="B15" s="94" t="s">
        <v>27</v>
      </c>
      <c r="C15" s="3" t="s">
        <v>17</v>
      </c>
      <c r="D15" s="3">
        <v>3.5</v>
      </c>
      <c r="E15" s="3">
        <v>3.5</v>
      </c>
      <c r="F15" s="3">
        <v>3.5</v>
      </c>
      <c r="G15" s="3">
        <v>3.5</v>
      </c>
      <c r="H15" s="3">
        <v>3.5</v>
      </c>
      <c r="I15" s="3">
        <v>3.5</v>
      </c>
      <c r="J15" s="3">
        <v>3.5</v>
      </c>
      <c r="K15" s="3">
        <v>3.5</v>
      </c>
      <c r="L15" s="3">
        <v>3.5</v>
      </c>
    </row>
    <row r="16" spans="2:12">
      <c r="B16" s="94" t="s">
        <v>28</v>
      </c>
      <c r="C16" s="3" t="s">
        <v>22</v>
      </c>
      <c r="D16" s="3">
        <f>7*275</f>
        <v>1925</v>
      </c>
      <c r="E16" s="3">
        <v>1925</v>
      </c>
      <c r="F16" s="3">
        <f>9.1*275</f>
        <v>2502.5</v>
      </c>
      <c r="G16" s="3">
        <f>3*105</f>
        <v>315</v>
      </c>
      <c r="H16" s="3">
        <v>315</v>
      </c>
      <c r="I16" s="3">
        <f>3.8*110</f>
        <v>418</v>
      </c>
      <c r="J16" s="3">
        <f>3.8*180</f>
        <v>684</v>
      </c>
      <c r="K16" s="3">
        <f>3.8*180</f>
        <v>684</v>
      </c>
      <c r="L16" s="194">
        <f>5.2*195</f>
        <v>1014</v>
      </c>
    </row>
    <row r="17" spans="2:12" ht="43.15">
      <c r="B17" s="94" t="s">
        <v>29</v>
      </c>
      <c r="C17" s="3" t="s">
        <v>30</v>
      </c>
      <c r="D17" s="193">
        <v>18451.409187846846</v>
      </c>
      <c r="E17" s="195">
        <v>25560.031549732659</v>
      </c>
      <c r="F17" s="195">
        <v>23319.548270799685</v>
      </c>
      <c r="G17" s="195">
        <v>246828.72803416461</v>
      </c>
      <c r="H17" s="195">
        <v>308456.92981516913</v>
      </c>
      <c r="I17" s="195">
        <v>299883.3902480118</v>
      </c>
      <c r="J17" s="195">
        <v>21463.13245905835</v>
      </c>
      <c r="K17" s="195">
        <v>26822.047803208203</v>
      </c>
      <c r="L17" s="195">
        <v>26671.347684653374</v>
      </c>
    </row>
    <row r="18" spans="2:12" ht="43.15">
      <c r="B18" s="94" t="s">
        <v>31</v>
      </c>
      <c r="C18" s="3" t="s">
        <v>30</v>
      </c>
      <c r="D18" s="193">
        <v>3469.482338867876</v>
      </c>
      <c r="E18" s="195">
        <v>4806.1412079632892</v>
      </c>
      <c r="F18" s="195">
        <v>4384.8553816261492</v>
      </c>
      <c r="G18" s="195">
        <v>83205.434723972125</v>
      </c>
      <c r="H18" s="195">
        <v>103980.16933969072</v>
      </c>
      <c r="I18" s="195">
        <v>101090.04754353674</v>
      </c>
      <c r="J18" s="195">
        <v>7235.1759092926968</v>
      </c>
      <c r="K18" s="195">
        <v>9041.6547758743673</v>
      </c>
      <c r="L18" s="195">
        <v>8990.8540891910361</v>
      </c>
    </row>
    <row r="19" spans="2:12" ht="43.15">
      <c r="B19" s="94" t="s">
        <v>32</v>
      </c>
      <c r="C19" s="3" t="s">
        <v>17</v>
      </c>
      <c r="D19" s="162">
        <f>1/(102/12)</f>
        <v>0.11764705882352941</v>
      </c>
      <c r="E19" s="162">
        <f t="shared" ref="E19:F19" si="3">1/(102/12)</f>
        <v>0.11764705882352941</v>
      </c>
      <c r="F19" s="162">
        <f t="shared" si="3"/>
        <v>0.11764705882352941</v>
      </c>
      <c r="G19" s="162">
        <f>1/(96/12)</f>
        <v>0.125</v>
      </c>
      <c r="H19" s="162">
        <f t="shared" ref="H19:K19" si="4">1/(96/12)</f>
        <v>0.125</v>
      </c>
      <c r="I19" s="162">
        <v>0.11</v>
      </c>
      <c r="J19" s="162">
        <f t="shared" si="4"/>
        <v>0.125</v>
      </c>
      <c r="K19" s="162">
        <f t="shared" si="4"/>
        <v>0.125</v>
      </c>
      <c r="L19" s="162">
        <v>0.1</v>
      </c>
    </row>
    <row r="20" spans="2:12">
      <c r="B20" s="94" t="s">
        <v>33</v>
      </c>
      <c r="C20" s="3" t="s">
        <v>22</v>
      </c>
      <c r="D20" s="3">
        <v>73</v>
      </c>
      <c r="E20" s="3">
        <v>73</v>
      </c>
      <c r="F20" s="3">
        <v>80</v>
      </c>
      <c r="G20" s="3">
        <v>73</v>
      </c>
      <c r="H20" s="3">
        <v>73</v>
      </c>
      <c r="I20" s="3">
        <v>80</v>
      </c>
      <c r="J20" s="3">
        <v>73</v>
      </c>
      <c r="K20" s="3">
        <v>73</v>
      </c>
      <c r="L20" s="3">
        <v>92</v>
      </c>
    </row>
  </sheetData>
  <mergeCells count="3">
    <mergeCell ref="D3:F3"/>
    <mergeCell ref="G3:I3"/>
    <mergeCell ref="J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2"/>
  <sheetViews>
    <sheetView topLeftCell="A22" zoomScale="80" zoomScaleNormal="80" workbookViewId="0">
      <selection activeCell="D50" sqref="D50"/>
    </sheetView>
  </sheetViews>
  <sheetFormatPr defaultColWidth="9.140625" defaultRowHeight="21"/>
  <cols>
    <col min="1" max="1" width="26" style="16" bestFit="1" customWidth="1"/>
    <col min="2" max="2" width="68.42578125" style="16" bestFit="1" customWidth="1"/>
    <col min="3" max="3" width="22.85546875" style="16" bestFit="1" customWidth="1"/>
    <col min="4" max="4" width="87" style="16" bestFit="1" customWidth="1"/>
    <col min="5" max="16384" width="9.140625" style="16"/>
  </cols>
  <sheetData>
    <row r="1" spans="1:5">
      <c r="A1" s="36" t="s">
        <v>85</v>
      </c>
      <c r="B1" s="36" t="s">
        <v>86</v>
      </c>
      <c r="C1" s="36" t="s">
        <v>87</v>
      </c>
      <c r="D1" s="36" t="s">
        <v>88</v>
      </c>
      <c r="E1" s="36" t="s">
        <v>89</v>
      </c>
    </row>
    <row r="2" spans="1:5">
      <c r="A2" s="16" t="s">
        <v>90</v>
      </c>
      <c r="B2" s="16" t="s">
        <v>91</v>
      </c>
      <c r="C2" s="16" t="s">
        <v>92</v>
      </c>
      <c r="D2" s="16" t="s">
        <v>93</v>
      </c>
    </row>
    <row r="3" spans="1:5">
      <c r="A3" s="16" t="s">
        <v>94</v>
      </c>
      <c r="B3" s="16" t="s">
        <v>95</v>
      </c>
      <c r="C3" s="16" t="s">
        <v>92</v>
      </c>
      <c r="D3" s="16" t="s">
        <v>96</v>
      </c>
    </row>
    <row r="4" spans="1:5">
      <c r="A4" s="16" t="s">
        <v>97</v>
      </c>
      <c r="B4" s="16" t="s">
        <v>98</v>
      </c>
      <c r="C4" s="16" t="s">
        <v>92</v>
      </c>
      <c r="D4" s="16" t="s">
        <v>99</v>
      </c>
    </row>
    <row r="5" spans="1:5">
      <c r="A5" s="16" t="s">
        <v>100</v>
      </c>
      <c r="B5" s="16" t="s">
        <v>101</v>
      </c>
      <c r="C5" s="16" t="s">
        <v>92</v>
      </c>
      <c r="D5" s="16" t="s">
        <v>102</v>
      </c>
    </row>
    <row r="6" spans="1:5">
      <c r="A6" s="16" t="s">
        <v>103</v>
      </c>
      <c r="B6" s="16" t="s">
        <v>104</v>
      </c>
      <c r="C6" s="16" t="s">
        <v>92</v>
      </c>
      <c r="D6" s="16" t="s">
        <v>105</v>
      </c>
    </row>
    <row r="7" spans="1:5">
      <c r="A7" s="16" t="s">
        <v>106</v>
      </c>
      <c r="B7" s="16" t="s">
        <v>107</v>
      </c>
      <c r="C7" s="16" t="s">
        <v>92</v>
      </c>
      <c r="D7" s="16" t="s">
        <v>108</v>
      </c>
    </row>
    <row r="8" spans="1:5">
      <c r="A8" s="16" t="s">
        <v>109</v>
      </c>
      <c r="B8" s="16" t="s">
        <v>110</v>
      </c>
      <c r="C8" s="16" t="s">
        <v>92</v>
      </c>
      <c r="D8" s="16" t="s">
        <v>111</v>
      </c>
    </row>
    <row r="9" spans="1:5">
      <c r="A9" s="16" t="s">
        <v>112</v>
      </c>
      <c r="B9" s="16" t="s">
        <v>113</v>
      </c>
      <c r="C9" s="16" t="s">
        <v>92</v>
      </c>
      <c r="D9" s="16" t="s">
        <v>114</v>
      </c>
    </row>
    <row r="10" spans="1:5">
      <c r="A10" s="16" t="s">
        <v>115</v>
      </c>
      <c r="B10" s="16" t="s">
        <v>116</v>
      </c>
      <c r="C10" s="16" t="s">
        <v>92</v>
      </c>
      <c r="D10" s="16" t="s">
        <v>117</v>
      </c>
    </row>
    <row r="11" spans="1:5">
      <c r="A11" s="16" t="s">
        <v>118</v>
      </c>
      <c r="B11" s="16" t="s">
        <v>119</v>
      </c>
      <c r="C11" s="16" t="s">
        <v>92</v>
      </c>
      <c r="D11" s="16" t="s">
        <v>120</v>
      </c>
    </row>
    <row r="12" spans="1:5">
      <c r="A12" s="16" t="s">
        <v>121</v>
      </c>
      <c r="B12" s="16" t="s">
        <v>122</v>
      </c>
      <c r="C12" s="16" t="s">
        <v>92</v>
      </c>
      <c r="D12" s="16" t="s">
        <v>123</v>
      </c>
    </row>
    <row r="13" spans="1:5">
      <c r="A13" s="16" t="s">
        <v>124</v>
      </c>
      <c r="B13" s="16" t="s">
        <v>125</v>
      </c>
      <c r="C13" s="16" t="s">
        <v>126</v>
      </c>
      <c r="D13" s="16" t="s">
        <v>127</v>
      </c>
      <c r="E13" s="16" t="s">
        <v>128</v>
      </c>
    </row>
    <row r="14" spans="1:5">
      <c r="A14" s="16" t="s">
        <v>129</v>
      </c>
      <c r="B14" s="16" t="s">
        <v>130</v>
      </c>
      <c r="C14" s="16" t="s">
        <v>126</v>
      </c>
      <c r="D14" s="16" t="s">
        <v>127</v>
      </c>
      <c r="E14" s="16" t="s">
        <v>128</v>
      </c>
    </row>
    <row r="15" spans="1:5">
      <c r="A15" s="16" t="s">
        <v>131</v>
      </c>
      <c r="B15" s="16" t="s">
        <v>132</v>
      </c>
      <c r="C15" s="16" t="s">
        <v>133</v>
      </c>
      <c r="D15" s="16" t="s">
        <v>134</v>
      </c>
    </row>
    <row r="16" spans="1:5">
      <c r="A16" s="16" t="s">
        <v>135</v>
      </c>
      <c r="B16" s="16" t="s">
        <v>136</v>
      </c>
      <c r="C16" s="16" t="s">
        <v>133</v>
      </c>
      <c r="D16" s="16" t="s">
        <v>134</v>
      </c>
    </row>
    <row r="17" spans="1:5">
      <c r="A17" s="16" t="s">
        <v>137</v>
      </c>
      <c r="B17" s="16" t="s">
        <v>138</v>
      </c>
      <c r="C17" s="16" t="s">
        <v>133</v>
      </c>
      <c r="D17" s="16" t="s">
        <v>134</v>
      </c>
    </row>
    <row r="18" spans="1:5">
      <c r="A18" s="16" t="s">
        <v>139</v>
      </c>
      <c r="B18" s="16" t="s">
        <v>140</v>
      </c>
      <c r="C18" s="16" t="s">
        <v>133</v>
      </c>
      <c r="D18" s="16" t="s">
        <v>134</v>
      </c>
    </row>
    <row r="19" spans="1:5">
      <c r="A19" s="16" t="s">
        <v>141</v>
      </c>
      <c r="B19" s="16" t="s">
        <v>142</v>
      </c>
      <c r="C19" s="16" t="s">
        <v>133</v>
      </c>
      <c r="D19" s="16" t="s">
        <v>134</v>
      </c>
    </row>
    <row r="20" spans="1:5">
      <c r="A20" s="16" t="s">
        <v>143</v>
      </c>
      <c r="B20" s="16" t="s">
        <v>144</v>
      </c>
      <c r="C20" s="16" t="s">
        <v>145</v>
      </c>
      <c r="D20" s="16" t="s">
        <v>134</v>
      </c>
    </row>
    <row r="21" spans="1:5">
      <c r="A21" s="16" t="s">
        <v>146</v>
      </c>
      <c r="B21" s="16" t="s">
        <v>147</v>
      </c>
      <c r="C21" s="16" t="s">
        <v>126</v>
      </c>
      <c r="D21" s="16" t="s">
        <v>148</v>
      </c>
      <c r="E21" s="16" t="s">
        <v>128</v>
      </c>
    </row>
    <row r="22" spans="1:5">
      <c r="A22" s="16" t="s">
        <v>149</v>
      </c>
      <c r="B22" s="16" t="s">
        <v>150</v>
      </c>
      <c r="C22" s="16" t="s">
        <v>126</v>
      </c>
      <c r="D22" s="16" t="s">
        <v>134</v>
      </c>
    </row>
    <row r="23" spans="1:5">
      <c r="A23" s="16" t="s">
        <v>151</v>
      </c>
      <c r="B23" s="16" t="s">
        <v>152</v>
      </c>
      <c r="C23" s="16" t="s">
        <v>126</v>
      </c>
      <c r="D23" s="16" t="s">
        <v>127</v>
      </c>
      <c r="E23" s="16" t="s">
        <v>128</v>
      </c>
    </row>
    <row r="24" spans="1:5">
      <c r="A24" s="16" t="s">
        <v>153</v>
      </c>
      <c r="B24" s="16" t="s">
        <v>154</v>
      </c>
      <c r="C24" s="16" t="s">
        <v>126</v>
      </c>
      <c r="D24" s="16" t="s">
        <v>127</v>
      </c>
      <c r="E24" s="16" t="s">
        <v>128</v>
      </c>
    </row>
    <row r="25" spans="1:5">
      <c r="A25" s="16" t="s">
        <v>155</v>
      </c>
      <c r="B25" s="16" t="s">
        <v>156</v>
      </c>
      <c r="C25" s="16" t="s">
        <v>126</v>
      </c>
      <c r="D25" s="16" t="s">
        <v>127</v>
      </c>
      <c r="E25" s="16" t="s">
        <v>128</v>
      </c>
    </row>
    <row r="26" spans="1:5">
      <c r="A26" s="16" t="s">
        <v>157</v>
      </c>
      <c r="B26" s="16" t="s">
        <v>158</v>
      </c>
      <c r="C26" s="16" t="s">
        <v>126</v>
      </c>
      <c r="D26" s="16" t="s">
        <v>159</v>
      </c>
    </row>
    <row r="27" spans="1:5">
      <c r="A27" s="16" t="s">
        <v>160</v>
      </c>
      <c r="B27" s="16" t="s">
        <v>161</v>
      </c>
      <c r="C27" s="16" t="s">
        <v>126</v>
      </c>
      <c r="D27" s="16" t="s">
        <v>162</v>
      </c>
    </row>
    <row r="28" spans="1:5">
      <c r="A28" s="16" t="s">
        <v>163</v>
      </c>
      <c r="B28" s="16" t="s">
        <v>164</v>
      </c>
      <c r="C28" s="16" t="s">
        <v>126</v>
      </c>
      <c r="D28" s="16" t="s">
        <v>159</v>
      </c>
    </row>
    <row r="29" spans="1:5">
      <c r="A29" s="16" t="s">
        <v>165</v>
      </c>
      <c r="B29" s="16" t="s">
        <v>166</v>
      </c>
      <c r="C29" s="16" t="s">
        <v>167</v>
      </c>
      <c r="D29" s="16" t="s">
        <v>162</v>
      </c>
    </row>
    <row r="30" spans="1:5">
      <c r="A30" s="16" t="s">
        <v>168</v>
      </c>
      <c r="B30" s="16" t="s">
        <v>169</v>
      </c>
      <c r="C30" s="16" t="s">
        <v>126</v>
      </c>
      <c r="D30" s="16" t="s">
        <v>170</v>
      </c>
    </row>
    <row r="31" spans="1:5">
      <c r="A31" s="16" t="s">
        <v>171</v>
      </c>
      <c r="B31" s="16" t="s">
        <v>172</v>
      </c>
      <c r="C31" s="16" t="s">
        <v>126</v>
      </c>
      <c r="D31" s="16" t="s">
        <v>162</v>
      </c>
    </row>
    <row r="32" spans="1:5">
      <c r="A32" s="16" t="s">
        <v>173</v>
      </c>
      <c r="B32" s="16" t="s">
        <v>174</v>
      </c>
      <c r="C32" s="16" t="s">
        <v>126</v>
      </c>
      <c r="D32" s="16" t="s">
        <v>175</v>
      </c>
    </row>
    <row r="33" spans="1:4">
      <c r="A33" s="16" t="s">
        <v>176</v>
      </c>
      <c r="B33" s="16" t="s">
        <v>177</v>
      </c>
      <c r="C33" s="16" t="s">
        <v>126</v>
      </c>
      <c r="D33" s="16" t="s">
        <v>175</v>
      </c>
    </row>
    <row r="34" spans="1:4">
      <c r="A34" s="16" t="s">
        <v>178</v>
      </c>
      <c r="B34" s="16" t="s">
        <v>179</v>
      </c>
      <c r="C34" s="16" t="s">
        <v>126</v>
      </c>
      <c r="D34" s="16" t="s">
        <v>175</v>
      </c>
    </row>
    <row r="35" spans="1:4">
      <c r="A35" s="16" t="s">
        <v>180</v>
      </c>
      <c r="B35" s="16" t="s">
        <v>181</v>
      </c>
      <c r="C35" s="16" t="s">
        <v>126</v>
      </c>
      <c r="D35" s="16" t="s">
        <v>134</v>
      </c>
    </row>
    <row r="36" spans="1:4">
      <c r="A36" s="16" t="s">
        <v>182</v>
      </c>
      <c r="B36" s="16" t="s">
        <v>181</v>
      </c>
      <c r="C36" s="16" t="s">
        <v>126</v>
      </c>
      <c r="D36" s="16" t="s">
        <v>134</v>
      </c>
    </row>
    <row r="37" spans="1:4">
      <c r="A37" s="16" t="s">
        <v>183</v>
      </c>
      <c r="B37" s="16" t="s">
        <v>181</v>
      </c>
      <c r="C37" s="16" t="s">
        <v>126</v>
      </c>
      <c r="D37" s="16" t="s">
        <v>134</v>
      </c>
    </row>
    <row r="38" spans="1:4">
      <c r="A38" s="16" t="s">
        <v>184</v>
      </c>
      <c r="B38" s="16" t="s">
        <v>181</v>
      </c>
      <c r="C38" s="16" t="s">
        <v>126</v>
      </c>
      <c r="D38" s="16" t="s">
        <v>134</v>
      </c>
    </row>
    <row r="39" spans="1:4">
      <c r="A39" s="16" t="s">
        <v>185</v>
      </c>
      <c r="B39" s="16" t="s">
        <v>186</v>
      </c>
      <c r="C39" s="16" t="s">
        <v>187</v>
      </c>
      <c r="D39" s="16" t="s">
        <v>188</v>
      </c>
    </row>
    <row r="40" spans="1:4">
      <c r="A40" s="16" t="s">
        <v>189</v>
      </c>
      <c r="B40" s="16" t="s">
        <v>190</v>
      </c>
      <c r="C40" s="16" t="s">
        <v>191</v>
      </c>
      <c r="D40" s="16" t="s">
        <v>188</v>
      </c>
    </row>
    <row r="41" spans="1:4">
      <c r="A41" s="16" t="s">
        <v>192</v>
      </c>
      <c r="B41" s="16" t="s">
        <v>193</v>
      </c>
      <c r="C41" s="16" t="s">
        <v>22</v>
      </c>
      <c r="D41" s="16" t="s">
        <v>134</v>
      </c>
    </row>
    <row r="42" spans="1:4">
      <c r="A42" s="16" t="s">
        <v>194</v>
      </c>
      <c r="B42" s="16" t="s">
        <v>195</v>
      </c>
      <c r="C42" s="16" t="s">
        <v>22</v>
      </c>
      <c r="D42" s="16" t="s">
        <v>134</v>
      </c>
    </row>
    <row r="43" spans="1:4">
      <c r="A43" s="16" t="s">
        <v>196</v>
      </c>
      <c r="B43" s="16" t="s">
        <v>197</v>
      </c>
      <c r="C43" s="16" t="s">
        <v>22</v>
      </c>
      <c r="D43" s="16" t="s">
        <v>198</v>
      </c>
    </row>
    <row r="44" spans="1:4">
      <c r="A44" s="16" t="s">
        <v>199</v>
      </c>
      <c r="B44" s="16" t="s">
        <v>200</v>
      </c>
      <c r="C44" s="16" t="s">
        <v>22</v>
      </c>
      <c r="D44" s="16" t="s">
        <v>198</v>
      </c>
    </row>
    <row r="45" spans="1:4">
      <c r="A45" s="16" t="s">
        <v>201</v>
      </c>
      <c r="B45" s="16" t="s">
        <v>202</v>
      </c>
      <c r="C45" s="16" t="s">
        <v>22</v>
      </c>
      <c r="D45" s="16" t="s">
        <v>198</v>
      </c>
    </row>
    <row r="46" spans="1:4">
      <c r="A46" s="16" t="s">
        <v>203</v>
      </c>
      <c r="B46" s="16" t="s">
        <v>204</v>
      </c>
      <c r="C46" s="16" t="s">
        <v>22</v>
      </c>
      <c r="D46" s="16" t="s">
        <v>198</v>
      </c>
    </row>
    <row r="47" spans="1:4">
      <c r="A47" s="16" t="s">
        <v>205</v>
      </c>
      <c r="B47" s="16" t="s">
        <v>206</v>
      </c>
      <c r="C47" s="16" t="s">
        <v>207</v>
      </c>
      <c r="D47" s="16" t="s">
        <v>208</v>
      </c>
    </row>
    <row r="48" spans="1:4">
      <c r="A48" s="16" t="s">
        <v>209</v>
      </c>
      <c r="B48" s="16" t="s">
        <v>210</v>
      </c>
      <c r="C48" s="16" t="s">
        <v>207</v>
      </c>
      <c r="D48" s="16" t="s">
        <v>211</v>
      </c>
    </row>
    <row r="49" spans="1:4">
      <c r="A49" s="16" t="s">
        <v>212</v>
      </c>
      <c r="B49" s="16" t="s">
        <v>213</v>
      </c>
      <c r="C49" s="16" t="s">
        <v>207</v>
      </c>
      <c r="D49" s="16" t="s">
        <v>208</v>
      </c>
    </row>
    <row r="50" spans="1:4">
      <c r="A50" s="16" t="s">
        <v>214</v>
      </c>
      <c r="B50" s="16" t="s">
        <v>215</v>
      </c>
      <c r="C50" s="16" t="s">
        <v>207</v>
      </c>
      <c r="D50" s="16" t="s">
        <v>211</v>
      </c>
    </row>
    <row r="51" spans="1:4">
      <c r="A51" s="16" t="s">
        <v>216</v>
      </c>
      <c r="B51" s="16" t="s">
        <v>217</v>
      </c>
      <c r="C51" s="16" t="s">
        <v>207</v>
      </c>
      <c r="D51" s="16" t="s">
        <v>208</v>
      </c>
    </row>
    <row r="52" spans="1:4">
      <c r="A52" s="16" t="s">
        <v>218</v>
      </c>
      <c r="B52" s="16" t="s">
        <v>219</v>
      </c>
      <c r="C52" s="16" t="s">
        <v>207</v>
      </c>
      <c r="D52" s="16" t="s">
        <v>211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J42"/>
  <sheetViews>
    <sheetView zoomScaleNormal="100" workbookViewId="0">
      <pane xSplit="3" ySplit="2" topLeftCell="BY3" activePane="bottomRight" state="frozen"/>
      <selection pane="bottomRight" activeCell="C5" sqref="C5:C35"/>
      <selection pane="bottomLeft" activeCell="A3" sqref="A3"/>
      <selection pane="topRight" activeCell="D1" sqref="D1"/>
    </sheetView>
  </sheetViews>
  <sheetFormatPr defaultColWidth="13.140625" defaultRowHeight="14.45"/>
  <cols>
    <col min="1" max="1" width="9" style="1" bestFit="1" customWidth="1"/>
    <col min="2" max="2" width="16" style="4" bestFit="1" customWidth="1"/>
    <col min="3" max="3" width="18.42578125" style="4" bestFit="1" customWidth="1"/>
    <col min="4" max="10" width="11.140625" style="1" customWidth="1"/>
    <col min="11" max="11" width="11.5703125" customWidth="1"/>
    <col min="12" max="31" width="11.140625" customWidth="1"/>
    <col min="32" max="32" width="8" bestFit="1" customWidth="1"/>
    <col min="33" max="33" width="11.140625" customWidth="1"/>
    <col min="34" max="35" width="10.140625" bestFit="1" customWidth="1"/>
    <col min="36" max="36" width="11.7109375" bestFit="1" customWidth="1"/>
    <col min="37" max="38" width="11.7109375" customWidth="1"/>
    <col min="39" max="39" width="12" customWidth="1"/>
    <col min="40" max="40" width="12.7109375" customWidth="1"/>
    <col min="41" max="41" width="10.85546875" bestFit="1" customWidth="1"/>
    <col min="42" max="43" width="12.85546875" style="10" bestFit="1" customWidth="1"/>
    <col min="44" max="44" width="11.28515625" customWidth="1"/>
    <col min="45" max="45" width="10.5703125" bestFit="1" customWidth="1"/>
    <col min="46" max="47" width="11.42578125" customWidth="1"/>
    <col min="48" max="49" width="12.85546875" style="1" bestFit="1" customWidth="1"/>
    <col min="50" max="50" width="11.7109375" style="1" bestFit="1" customWidth="1"/>
    <col min="51" max="52" width="12.7109375" bestFit="1" customWidth="1"/>
    <col min="53" max="53" width="9.42578125" style="1" bestFit="1" customWidth="1"/>
    <col min="54" max="54" width="14" style="1" customWidth="1"/>
    <col min="55" max="55" width="12.42578125" style="1" customWidth="1"/>
    <col min="56" max="56" width="11.85546875" bestFit="1" customWidth="1"/>
    <col min="57" max="57" width="10.28515625" bestFit="1" customWidth="1"/>
    <col min="58" max="58" width="9.140625" bestFit="1" customWidth="1"/>
    <col min="59" max="60" width="12.5703125" bestFit="1" customWidth="1"/>
    <col min="61" max="61" width="11.42578125" bestFit="1" customWidth="1"/>
    <col min="62" max="62" width="11.5703125" bestFit="1" customWidth="1"/>
    <col min="63" max="63" width="11.5703125" customWidth="1"/>
    <col min="64" max="64" width="13.28515625" customWidth="1"/>
    <col min="65" max="66" width="10.85546875" customWidth="1"/>
    <col min="67" max="68" width="10.85546875" bestFit="1" customWidth="1"/>
    <col min="69" max="69" width="14.5703125" style="29" customWidth="1"/>
    <col min="70" max="72" width="9.5703125" style="20" customWidth="1"/>
    <col min="73" max="73" width="10.85546875" style="20" customWidth="1"/>
    <col min="74" max="75" width="13.5703125" style="1" customWidth="1"/>
    <col min="76" max="76" width="14.28515625" style="1" bestFit="1" customWidth="1"/>
    <col min="77" max="77" width="12.85546875" style="1" bestFit="1" customWidth="1"/>
    <col min="78" max="78" width="11.28515625" style="1" bestFit="1" customWidth="1"/>
    <col min="79" max="80" width="13" style="1" customWidth="1"/>
    <col min="81" max="81" width="13" customWidth="1"/>
    <col min="82" max="82" width="13.5703125" bestFit="1" customWidth="1"/>
    <col min="83" max="83" width="12.42578125" bestFit="1" customWidth="1"/>
    <col min="84" max="84" width="11.42578125" bestFit="1" customWidth="1"/>
    <col min="85" max="86" width="14.28515625" customWidth="1"/>
    <col min="87" max="88" width="12.42578125" bestFit="1" customWidth="1"/>
  </cols>
  <sheetData>
    <row r="1" spans="1:88" s="5" customFormat="1" ht="60">
      <c r="B1" s="9"/>
      <c r="C1" s="9"/>
      <c r="D1" s="252" t="s">
        <v>170</v>
      </c>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32"/>
      <c r="AI1" s="32"/>
      <c r="AJ1" s="33" t="s">
        <v>220</v>
      </c>
      <c r="AK1" s="33" t="s">
        <v>96</v>
      </c>
      <c r="AL1" s="33"/>
      <c r="AM1" s="33" t="s">
        <v>99</v>
      </c>
      <c r="AN1" s="33" t="s">
        <v>102</v>
      </c>
      <c r="AO1" s="33" t="s">
        <v>105</v>
      </c>
      <c r="AP1" s="33" t="s">
        <v>108</v>
      </c>
      <c r="AQ1" s="33" t="s">
        <v>111</v>
      </c>
      <c r="AR1" s="33" t="s">
        <v>114</v>
      </c>
      <c r="AS1" s="33" t="s">
        <v>117</v>
      </c>
      <c r="AT1" s="33" t="s">
        <v>89</v>
      </c>
      <c r="AU1" s="33" t="s">
        <v>89</v>
      </c>
      <c r="AV1" s="33" t="s">
        <v>134</v>
      </c>
      <c r="AW1" s="33" t="s">
        <v>134</v>
      </c>
      <c r="AX1" s="33" t="s">
        <v>134</v>
      </c>
      <c r="AY1" s="33" t="s">
        <v>134</v>
      </c>
      <c r="AZ1" s="33" t="s">
        <v>134</v>
      </c>
      <c r="BA1" s="33" t="s">
        <v>134</v>
      </c>
      <c r="BB1" s="33" t="s">
        <v>148</v>
      </c>
      <c r="BC1" s="33" t="s">
        <v>134</v>
      </c>
      <c r="BD1" s="33" t="s">
        <v>127</v>
      </c>
      <c r="BE1" s="33" t="s">
        <v>127</v>
      </c>
      <c r="BF1" s="33" t="s">
        <v>127</v>
      </c>
      <c r="BG1" s="33" t="s">
        <v>159</v>
      </c>
      <c r="BH1" s="33" t="s">
        <v>162</v>
      </c>
      <c r="BI1" s="33" t="s">
        <v>159</v>
      </c>
      <c r="BJ1" s="33" t="s">
        <v>162</v>
      </c>
      <c r="BK1" s="33" t="s">
        <v>221</v>
      </c>
      <c r="BL1" s="33" t="s">
        <v>162</v>
      </c>
      <c r="BM1" s="33" t="s">
        <v>134</v>
      </c>
      <c r="BN1" s="33" t="s">
        <v>134</v>
      </c>
      <c r="BO1" s="33" t="s">
        <v>134</v>
      </c>
      <c r="BP1" s="33" t="s">
        <v>134</v>
      </c>
      <c r="BQ1" s="33" t="s">
        <v>134</v>
      </c>
      <c r="BR1" s="33" t="s">
        <v>134</v>
      </c>
      <c r="BS1" s="33" t="s">
        <v>134</v>
      </c>
      <c r="BT1" s="33" t="s">
        <v>134</v>
      </c>
      <c r="BU1" s="33" t="s">
        <v>134</v>
      </c>
      <c r="BV1" s="33" t="s">
        <v>170</v>
      </c>
      <c r="BW1" s="33" t="s">
        <v>222</v>
      </c>
      <c r="BX1" s="33" t="s">
        <v>223</v>
      </c>
      <c r="BY1" s="33" t="s">
        <v>134</v>
      </c>
      <c r="BZ1" s="33" t="s">
        <v>134</v>
      </c>
      <c r="CA1" s="33" t="s">
        <v>198</v>
      </c>
      <c r="CB1" s="33" t="s">
        <v>198</v>
      </c>
      <c r="CC1" s="33" t="s">
        <v>198</v>
      </c>
      <c r="CD1" s="33" t="s">
        <v>198</v>
      </c>
      <c r="CE1" s="33" t="s">
        <v>223</v>
      </c>
      <c r="CF1" s="33" t="s">
        <v>223</v>
      </c>
      <c r="CG1" s="33" t="s">
        <v>223</v>
      </c>
      <c r="CH1" s="33" t="s">
        <v>223</v>
      </c>
      <c r="CI1" s="33" t="s">
        <v>223</v>
      </c>
      <c r="CJ1" s="33" t="s">
        <v>223</v>
      </c>
    </row>
    <row r="2" spans="1:88" s="30" customFormat="1" ht="72">
      <c r="A2" s="38" t="s">
        <v>224</v>
      </c>
      <c r="B2" s="38" t="s">
        <v>225</v>
      </c>
      <c r="C2" s="34" t="s">
        <v>226</v>
      </c>
      <c r="D2" s="254" t="s">
        <v>227</v>
      </c>
      <c r="E2" s="254"/>
      <c r="F2" s="254"/>
      <c r="G2" s="254"/>
      <c r="H2" s="254"/>
      <c r="I2" s="254"/>
      <c r="J2" s="254"/>
      <c r="K2" s="254"/>
      <c r="L2" s="254" t="s">
        <v>228</v>
      </c>
      <c r="M2" s="254"/>
      <c r="N2" s="254"/>
      <c r="O2" s="254"/>
      <c r="P2" s="254"/>
      <c r="Q2" s="254"/>
      <c r="R2" s="254"/>
      <c r="S2" s="254"/>
      <c r="T2" s="254" t="s">
        <v>229</v>
      </c>
      <c r="U2" s="254"/>
      <c r="V2" s="254"/>
      <c r="W2" s="254"/>
      <c r="X2" s="254"/>
      <c r="Y2" s="254"/>
      <c r="Z2" s="254"/>
      <c r="AA2" s="254"/>
      <c r="AB2" s="254" t="s">
        <v>230</v>
      </c>
      <c r="AC2" s="254"/>
      <c r="AD2" s="254"/>
      <c r="AE2" s="253" t="s">
        <v>231</v>
      </c>
      <c r="AF2" s="253"/>
      <c r="AG2" s="253"/>
      <c r="AH2" s="62" t="s">
        <v>118</v>
      </c>
      <c r="AI2" s="62" t="s">
        <v>232</v>
      </c>
      <c r="AJ2" s="62" t="s">
        <v>91</v>
      </c>
      <c r="AK2" s="62" t="s">
        <v>95</v>
      </c>
      <c r="AL2" s="39" t="s">
        <v>233</v>
      </c>
      <c r="AM2" s="39" t="s">
        <v>98</v>
      </c>
      <c r="AN2" s="39" t="s">
        <v>101</v>
      </c>
      <c r="AO2" s="39" t="s">
        <v>104</v>
      </c>
      <c r="AP2" s="39" t="s">
        <v>107</v>
      </c>
      <c r="AQ2" s="39" t="s">
        <v>110</v>
      </c>
      <c r="AR2" s="39" t="s">
        <v>113</v>
      </c>
      <c r="AS2" s="39" t="s">
        <v>116</v>
      </c>
      <c r="AT2" s="39" t="s">
        <v>125</v>
      </c>
      <c r="AU2" s="39" t="s">
        <v>234</v>
      </c>
      <c r="AV2" s="39" t="s">
        <v>132</v>
      </c>
      <c r="AW2" s="39" t="s">
        <v>136</v>
      </c>
      <c r="AX2" s="39" t="s">
        <v>138</v>
      </c>
      <c r="AY2" s="39" t="s">
        <v>140</v>
      </c>
      <c r="AZ2" s="39" t="s">
        <v>142</v>
      </c>
      <c r="BA2" s="39" t="s">
        <v>144</v>
      </c>
      <c r="BB2" s="39" t="s">
        <v>147</v>
      </c>
      <c r="BC2" s="39" t="s">
        <v>150</v>
      </c>
      <c r="BD2" s="39" t="s">
        <v>152</v>
      </c>
      <c r="BE2" s="39" t="s">
        <v>154</v>
      </c>
      <c r="BF2" s="39" t="s">
        <v>156</v>
      </c>
      <c r="BG2" s="39" t="s">
        <v>158</v>
      </c>
      <c r="BH2" s="39" t="s">
        <v>161</v>
      </c>
      <c r="BI2" s="39" t="s">
        <v>164</v>
      </c>
      <c r="BJ2" s="39" t="s">
        <v>166</v>
      </c>
      <c r="BK2" s="39" t="s">
        <v>169</v>
      </c>
      <c r="BL2" s="39" t="s">
        <v>172</v>
      </c>
      <c r="BM2" s="251" t="s">
        <v>235</v>
      </c>
      <c r="BN2" s="251"/>
      <c r="BO2" s="255" t="s">
        <v>236</v>
      </c>
      <c r="BP2" s="256"/>
      <c r="BQ2" s="83" t="s">
        <v>237</v>
      </c>
      <c r="BR2" s="251" t="s">
        <v>181</v>
      </c>
      <c r="BS2" s="251"/>
      <c r="BT2" s="251"/>
      <c r="BU2" s="251"/>
      <c r="BV2" s="39" t="s">
        <v>186</v>
      </c>
      <c r="BW2" s="39" t="s">
        <v>238</v>
      </c>
      <c r="BX2" s="39" t="s">
        <v>239</v>
      </c>
      <c r="BY2" s="39" t="s">
        <v>193</v>
      </c>
      <c r="BZ2" s="39" t="s">
        <v>195</v>
      </c>
      <c r="CA2" s="39" t="s">
        <v>197</v>
      </c>
      <c r="CB2" s="39" t="s">
        <v>200</v>
      </c>
      <c r="CC2" s="39" t="s">
        <v>202</v>
      </c>
      <c r="CD2" s="39" t="s">
        <v>204</v>
      </c>
      <c r="CE2" s="39" t="s">
        <v>206</v>
      </c>
      <c r="CF2" s="39" t="s">
        <v>210</v>
      </c>
      <c r="CG2" s="39" t="s">
        <v>213</v>
      </c>
      <c r="CH2" s="39" t="s">
        <v>215</v>
      </c>
      <c r="CI2" s="39" t="s">
        <v>217</v>
      </c>
      <c r="CJ2" s="39" t="s">
        <v>219</v>
      </c>
    </row>
    <row r="3" spans="1:88" s="78" customFormat="1" ht="24">
      <c r="A3" s="75" t="s">
        <v>224</v>
      </c>
      <c r="B3" s="76" t="s">
        <v>225</v>
      </c>
      <c r="C3" s="77" t="s">
        <v>240</v>
      </c>
      <c r="D3" s="63" t="s">
        <v>241</v>
      </c>
      <c r="E3" s="63" t="s">
        <v>242</v>
      </c>
      <c r="F3" s="63" t="s">
        <v>243</v>
      </c>
      <c r="G3" s="63" t="s">
        <v>244</v>
      </c>
      <c r="H3" s="63" t="s">
        <v>245</v>
      </c>
      <c r="I3" s="63" t="s">
        <v>246</v>
      </c>
      <c r="J3" s="63" t="s">
        <v>247</v>
      </c>
      <c r="K3" s="73" t="s">
        <v>248</v>
      </c>
      <c r="L3" s="63" t="s">
        <v>241</v>
      </c>
      <c r="M3" s="63" t="s">
        <v>242</v>
      </c>
      <c r="N3" s="63" t="s">
        <v>243</v>
      </c>
      <c r="O3" s="63" t="s">
        <v>244</v>
      </c>
      <c r="P3" s="63" t="s">
        <v>245</v>
      </c>
      <c r="Q3" s="63" t="s">
        <v>246</v>
      </c>
      <c r="R3" s="63" t="s">
        <v>247</v>
      </c>
      <c r="S3" s="73" t="s">
        <v>248</v>
      </c>
      <c r="T3" s="63" t="s">
        <v>241</v>
      </c>
      <c r="U3" s="63" t="s">
        <v>242</v>
      </c>
      <c r="V3" s="63" t="s">
        <v>243</v>
      </c>
      <c r="W3" s="63" t="s">
        <v>244</v>
      </c>
      <c r="X3" s="63" t="s">
        <v>245</v>
      </c>
      <c r="Y3" s="63" t="s">
        <v>246</v>
      </c>
      <c r="Z3" s="63" t="s">
        <v>247</v>
      </c>
      <c r="AA3" s="73" t="s">
        <v>248</v>
      </c>
      <c r="AB3" s="63" t="s">
        <v>246</v>
      </c>
      <c r="AC3" s="63" t="s">
        <v>247</v>
      </c>
      <c r="AD3" s="73" t="s">
        <v>248</v>
      </c>
      <c r="AE3" s="63" t="s">
        <v>249</v>
      </c>
      <c r="AF3" s="63" t="s">
        <v>250</v>
      </c>
      <c r="AG3" s="63" t="s">
        <v>190</v>
      </c>
      <c r="AH3" s="64" t="s">
        <v>118</v>
      </c>
      <c r="AI3" s="63" t="s">
        <v>121</v>
      </c>
      <c r="AJ3" s="64" t="s">
        <v>90</v>
      </c>
      <c r="AK3" s="64" t="s">
        <v>94</v>
      </c>
      <c r="AL3" s="64" t="s">
        <v>251</v>
      </c>
      <c r="AM3" s="64" t="s">
        <v>97</v>
      </c>
      <c r="AN3" s="64" t="s">
        <v>100</v>
      </c>
      <c r="AO3" s="64" t="s">
        <v>103</v>
      </c>
      <c r="AP3" s="64" t="s">
        <v>106</v>
      </c>
      <c r="AQ3" s="64" t="s">
        <v>109</v>
      </c>
      <c r="AR3" s="64" t="s">
        <v>112</v>
      </c>
      <c r="AS3" s="64" t="s">
        <v>115</v>
      </c>
      <c r="AT3" s="64" t="s">
        <v>124</v>
      </c>
      <c r="AU3" s="64" t="s">
        <v>129</v>
      </c>
      <c r="AV3" s="64" t="s">
        <v>131</v>
      </c>
      <c r="AW3" s="64" t="s">
        <v>135</v>
      </c>
      <c r="AX3" s="64" t="s">
        <v>137</v>
      </c>
      <c r="AY3" s="64" t="s">
        <v>139</v>
      </c>
      <c r="AZ3" s="64" t="s">
        <v>141</v>
      </c>
      <c r="BA3" s="64" t="s">
        <v>143</v>
      </c>
      <c r="BB3" s="64" t="s">
        <v>146</v>
      </c>
      <c r="BC3" s="64" t="s">
        <v>149</v>
      </c>
      <c r="BD3" s="64" t="s">
        <v>151</v>
      </c>
      <c r="BE3" s="64" t="s">
        <v>153</v>
      </c>
      <c r="BF3" s="64" t="s">
        <v>155</v>
      </c>
      <c r="BG3" s="64" t="s">
        <v>157</v>
      </c>
      <c r="BH3" s="64" t="s">
        <v>160</v>
      </c>
      <c r="BI3" s="64" t="s">
        <v>163</v>
      </c>
      <c r="BJ3" s="64" t="s">
        <v>165</v>
      </c>
      <c r="BK3" s="64" t="s">
        <v>168</v>
      </c>
      <c r="BL3" s="64" t="s">
        <v>171</v>
      </c>
      <c r="BM3" s="64" t="s">
        <v>252</v>
      </c>
      <c r="BN3" s="64" t="s">
        <v>253</v>
      </c>
      <c r="BO3" s="64" t="s">
        <v>254</v>
      </c>
      <c r="BP3" s="64" t="s">
        <v>255</v>
      </c>
      <c r="BQ3" s="64" t="s">
        <v>178</v>
      </c>
      <c r="BR3" s="64" t="s">
        <v>180</v>
      </c>
      <c r="BS3" s="64" t="s">
        <v>182</v>
      </c>
      <c r="BT3" s="64" t="s">
        <v>183</v>
      </c>
      <c r="BU3" s="64" t="s">
        <v>184</v>
      </c>
      <c r="BV3" s="64" t="s">
        <v>185</v>
      </c>
      <c r="BW3" s="64" t="s">
        <v>256</v>
      </c>
      <c r="BX3" s="64"/>
      <c r="BY3" s="64" t="s">
        <v>192</v>
      </c>
      <c r="BZ3" s="64" t="s">
        <v>194</v>
      </c>
      <c r="CA3" s="64" t="s">
        <v>196</v>
      </c>
      <c r="CB3" s="64" t="s">
        <v>199</v>
      </c>
      <c r="CC3" s="64" t="s">
        <v>201</v>
      </c>
      <c r="CD3" s="64" t="s">
        <v>203</v>
      </c>
      <c r="CE3" s="64" t="s">
        <v>205</v>
      </c>
      <c r="CF3" s="64" t="s">
        <v>209</v>
      </c>
      <c r="CG3" s="64" t="s">
        <v>212</v>
      </c>
      <c r="CH3" s="64" t="s">
        <v>214</v>
      </c>
      <c r="CI3" s="64" t="s">
        <v>216</v>
      </c>
      <c r="CJ3" s="64" t="s">
        <v>218</v>
      </c>
    </row>
    <row r="4" spans="1:88" s="7" customFormat="1">
      <c r="A4" s="11" t="s">
        <v>257</v>
      </c>
      <c r="B4" s="76" t="s">
        <v>225</v>
      </c>
      <c r="C4" s="77" t="s">
        <v>240</v>
      </c>
      <c r="D4" s="41">
        <f>SUM(D5:D35)</f>
        <v>3691704.3826082614</v>
      </c>
      <c r="E4" s="41">
        <f t="shared" ref="E4:J4" si="0">SUM(E5:E35)</f>
        <v>3697881.9614729993</v>
      </c>
      <c r="F4" s="41">
        <f t="shared" si="0"/>
        <v>9979385.1338110007</v>
      </c>
      <c r="G4" s="41">
        <f t="shared" si="0"/>
        <v>1696822.2167635001</v>
      </c>
      <c r="H4" s="41">
        <f t="shared" si="0"/>
        <v>5235951.4684180003</v>
      </c>
      <c r="I4" s="41">
        <f t="shared" si="0"/>
        <v>3575827.6991269989</v>
      </c>
      <c r="J4" s="41">
        <f t="shared" si="0"/>
        <v>3892812.646941999</v>
      </c>
      <c r="K4" s="40">
        <f t="shared" ref="K4:K35" si="1">SUM(D4:J4)</f>
        <v>31770385.509142764</v>
      </c>
      <c r="L4" s="42">
        <v>612934.67000000004</v>
      </c>
      <c r="M4" s="42">
        <v>763499.03</v>
      </c>
      <c r="N4" s="42">
        <v>993330.76</v>
      </c>
      <c r="O4" s="42">
        <v>185082.63</v>
      </c>
      <c r="P4" s="42">
        <v>315595.69</v>
      </c>
      <c r="Q4" s="42">
        <v>123797.25</v>
      </c>
      <c r="R4" s="42">
        <v>85772.08</v>
      </c>
      <c r="S4" s="42">
        <f t="shared" ref="S4:S35" si="2">SUM(L4:R4)</f>
        <v>3080012.11</v>
      </c>
      <c r="T4" s="43">
        <v>192866</v>
      </c>
      <c r="U4" s="43">
        <v>223944</v>
      </c>
      <c r="V4" s="43">
        <v>657298</v>
      </c>
      <c r="W4" s="43">
        <v>79820.899999999994</v>
      </c>
      <c r="X4" s="43">
        <v>190948</v>
      </c>
      <c r="Y4" s="43">
        <v>62813.2</v>
      </c>
      <c r="Z4" s="43">
        <v>54073.3</v>
      </c>
      <c r="AA4" s="42">
        <f t="shared" ref="AA4:AA35" si="3">SUM(T4:Z4)</f>
        <v>1461763.4</v>
      </c>
      <c r="AB4" s="42">
        <v>3660003</v>
      </c>
      <c r="AC4" s="42">
        <v>3966539</v>
      </c>
      <c r="AD4" s="42">
        <f t="shared" ref="AD4:AD35" si="4">SUM(AB4:AC4)</f>
        <v>7626542</v>
      </c>
      <c r="AE4" s="43">
        <v>3406923</v>
      </c>
      <c r="AF4" s="43">
        <v>3.05924</v>
      </c>
      <c r="AG4" s="43">
        <v>104.96420000000001</v>
      </c>
      <c r="AH4" s="44">
        <f>SUM(AL4:AQ4)</f>
        <v>28726634.173073761</v>
      </c>
      <c r="AI4" s="55">
        <f>SUM(AL4:AS4)</f>
        <v>36312161.019142762</v>
      </c>
      <c r="AJ4" s="45">
        <f t="shared" ref="AJ4:AJ35" si="5">AE4</f>
        <v>3406923</v>
      </c>
      <c r="AK4" s="45">
        <f t="shared" ref="AK4:AK35" si="6">(F4+V4)-AJ4</f>
        <v>7229760.1338110007</v>
      </c>
      <c r="AL4" s="45">
        <f>AJ4+AK4</f>
        <v>10636683.133811001</v>
      </c>
      <c r="AM4" s="45">
        <f t="shared" ref="AM4:AM35" si="7">D4+E4+T4+U4</f>
        <v>7806396.3440812603</v>
      </c>
      <c r="AN4" s="41">
        <f t="shared" ref="AN4:AN35" si="8">H4+X4</f>
        <v>5426899.4684180003</v>
      </c>
      <c r="AO4" s="41">
        <f t="shared" ref="AO4:AO35" si="9">G4+W4</f>
        <v>1776643.1167635</v>
      </c>
      <c r="AP4" s="41">
        <f t="shared" ref="AP4:AP35" si="10">N4+P4+R4</f>
        <v>1394698.53</v>
      </c>
      <c r="AQ4" s="41">
        <f t="shared" ref="AQ4:AQ35" si="11">L4+M4+O4+Q4</f>
        <v>1685313.58</v>
      </c>
      <c r="AR4" s="41">
        <f t="shared" ref="AR4:AR35" si="12">J4+Z4</f>
        <v>3946885.9469419988</v>
      </c>
      <c r="AS4" s="41">
        <f t="shared" ref="AS4:AS35" si="13">I4+Y4</f>
        <v>3638640.8991269991</v>
      </c>
      <c r="AT4" s="46">
        <f>AM4/AL4</f>
        <v>0.73391265358530222</v>
      </c>
      <c r="AU4" s="46">
        <f>AJ4/SUM(AL4:AS4)</f>
        <v>9.3823195986709934E-2</v>
      </c>
      <c r="AV4" s="47">
        <v>200</v>
      </c>
      <c r="AW4" s="47">
        <v>350</v>
      </c>
      <c r="AX4" s="47">
        <v>17</v>
      </c>
      <c r="AY4" s="47">
        <v>200</v>
      </c>
      <c r="AZ4" s="47">
        <v>300</v>
      </c>
      <c r="BA4" s="47">
        <v>2.5</v>
      </c>
      <c r="BB4" s="46">
        <f t="shared" ref="BB4:BB35" si="14">IF(((N4+V4)/(AJ4+AK4))&gt;0.049,((N4+V4)/(AJ4+AK4)),0.05)</f>
        <v>0.1551826579051809</v>
      </c>
      <c r="BC4" s="46">
        <v>0.55000000000000004</v>
      </c>
      <c r="BD4" s="48">
        <f t="shared" ref="BD4:BD35" si="15">Z4/AC4</f>
        <v>1.3632363125636733E-2</v>
      </c>
      <c r="BE4" s="49">
        <f t="shared" ref="BE4:BE35" si="16">Y4/AB4</f>
        <v>1.7162062435467949E-2</v>
      </c>
      <c r="BF4" s="49">
        <f t="shared" ref="BF4:BF35" si="17">(T4+U4+V4)/(D4+E4+F4)</f>
        <v>6.1840622017668483E-2</v>
      </c>
      <c r="BG4" s="27">
        <v>3.5000000000000003E-2</v>
      </c>
      <c r="BH4" s="27">
        <v>0.21129999999999999</v>
      </c>
      <c r="BI4" s="27">
        <v>0.04</v>
      </c>
      <c r="BJ4" s="49">
        <v>1.1000000000000001</v>
      </c>
      <c r="BK4" s="49">
        <f t="shared" ref="BK4:BK35" si="18">(D4+T4)/(AM4)</f>
        <v>0.49761377867439538</v>
      </c>
      <c r="BL4" s="49">
        <v>0.95</v>
      </c>
      <c r="BM4" s="49"/>
      <c r="BN4" s="49"/>
      <c r="BO4" s="49"/>
      <c r="BP4" s="49"/>
      <c r="BQ4" s="49"/>
      <c r="BR4" s="47"/>
      <c r="BS4" s="47"/>
      <c r="BT4" s="50"/>
      <c r="BU4" s="50"/>
      <c r="BV4" s="50">
        <v>3.05924</v>
      </c>
      <c r="BW4" s="50">
        <v>104.96420000000001</v>
      </c>
      <c r="BX4" s="69">
        <f>BW4*BV4*AJ4</f>
        <v>1093999358.5393569</v>
      </c>
      <c r="BY4" s="47">
        <f t="shared" ref="BY4" si="19">AV4</f>
        <v>200</v>
      </c>
      <c r="BZ4" s="47">
        <f t="shared" ref="BZ4" si="20">AW4</f>
        <v>350</v>
      </c>
      <c r="CA4" s="47">
        <f t="shared" ref="CA4:CA35" si="21">BY4*0.8</f>
        <v>160</v>
      </c>
      <c r="CB4" s="47">
        <f t="shared" ref="CB4:CB35" si="22">BZ4*0.8</f>
        <v>280</v>
      </c>
      <c r="CC4" s="51">
        <f t="shared" ref="CC4:CC35" si="23">((N4*BY4)+(CA4*P4))/(N4+P4)</f>
        <v>190.35558674820882</v>
      </c>
      <c r="CD4" s="52">
        <f t="shared" ref="CD4:CD35" si="24">(((L4+M4)*BZ4)+(CB4*O4))/(L4+M4+O4)</f>
        <v>341.70307485673237</v>
      </c>
      <c r="CE4" s="46">
        <f t="shared" ref="CE4" si="25">(BY4-AX4)/(BA4*365)</f>
        <v>0.20054794520547944</v>
      </c>
      <c r="CF4" s="46">
        <f t="shared" ref="CF4" si="26">(BZ4-AX4)/(BA4*365)</f>
        <v>0.36493150684931508</v>
      </c>
      <c r="CG4" s="46">
        <f t="shared" ref="CG4:CG35" si="27">CE4</f>
        <v>0.20054794520547944</v>
      </c>
      <c r="CH4" s="46">
        <f t="shared" ref="CH4:CH35" si="28">CF4</f>
        <v>0.36493150684931508</v>
      </c>
      <c r="CI4" s="46">
        <f t="shared" ref="CI4:CI35" si="29">CG4</f>
        <v>0.20054794520547944</v>
      </c>
      <c r="CJ4" s="46">
        <f t="shared" ref="CJ4:CJ35" si="30">CH4</f>
        <v>0.36493150684931508</v>
      </c>
    </row>
    <row r="5" spans="1:88">
      <c r="A5" s="19">
        <v>1</v>
      </c>
      <c r="B5" s="3" t="s">
        <v>258</v>
      </c>
      <c r="C5" s="3" t="s">
        <v>78</v>
      </c>
      <c r="D5" s="8">
        <v>174353.3799</v>
      </c>
      <c r="E5" s="8">
        <v>204013.53950000001</v>
      </c>
      <c r="F5" s="8">
        <v>941849.33200000005</v>
      </c>
      <c r="G5" s="8">
        <v>208668.7015</v>
      </c>
      <c r="H5" s="8">
        <v>372416.16700000002</v>
      </c>
      <c r="I5" s="8">
        <v>247707.38279999999</v>
      </c>
      <c r="J5" s="8">
        <v>309566.47960000002</v>
      </c>
      <c r="K5" s="8">
        <f t="shared" si="1"/>
        <v>2458574.9822999998</v>
      </c>
      <c r="L5" s="18">
        <v>106798.69289999999</v>
      </c>
      <c r="M5" s="18">
        <v>74485.596000000005</v>
      </c>
      <c r="N5" s="18">
        <v>169993.74540000001</v>
      </c>
      <c r="O5" s="18">
        <v>26489.659500000002</v>
      </c>
      <c r="P5" s="18">
        <v>23454.616699999999</v>
      </c>
      <c r="Q5" s="18">
        <v>9136.9547000000002</v>
      </c>
      <c r="R5" s="18">
        <v>4685.5104999999994</v>
      </c>
      <c r="S5" s="18">
        <f t="shared" si="2"/>
        <v>415044.7757</v>
      </c>
      <c r="T5" s="18">
        <v>10279.5</v>
      </c>
      <c r="U5" s="18">
        <v>22051.200000000001</v>
      </c>
      <c r="V5" s="18">
        <v>92543.3</v>
      </c>
      <c r="W5" s="18">
        <v>24040.799999999999</v>
      </c>
      <c r="X5" s="18">
        <v>28981.599999999999</v>
      </c>
      <c r="Y5" s="18">
        <v>4310.76</v>
      </c>
      <c r="Z5" s="18">
        <v>4808.16</v>
      </c>
      <c r="AA5" s="53">
        <f t="shared" si="3"/>
        <v>187015.32</v>
      </c>
      <c r="AB5" s="18">
        <v>254194</v>
      </c>
      <c r="AC5" s="18">
        <v>315625</v>
      </c>
      <c r="AD5" s="53">
        <f t="shared" si="4"/>
        <v>569819</v>
      </c>
      <c r="AE5" s="18">
        <v>262791</v>
      </c>
      <c r="AF5" s="18">
        <v>3.096816</v>
      </c>
      <c r="AG5" s="18">
        <v>103.9353</v>
      </c>
      <c r="AH5" s="31">
        <f>SUM(AL5:AQ5)</f>
        <v>2494242.2955999998</v>
      </c>
      <c r="AI5" s="54">
        <f>SUM(AL5:AS5)</f>
        <v>3060635.0779999997</v>
      </c>
      <c r="AJ5" s="8">
        <f t="shared" si="5"/>
        <v>262791</v>
      </c>
      <c r="AK5" s="8">
        <f t="shared" si="6"/>
        <v>771601.6320000001</v>
      </c>
      <c r="AL5" s="8">
        <f>AJ5+AK5</f>
        <v>1034392.6320000001</v>
      </c>
      <c r="AM5" s="8">
        <f t="shared" si="7"/>
        <v>410697.61940000003</v>
      </c>
      <c r="AN5" s="17">
        <f t="shared" si="8"/>
        <v>401397.76699999999</v>
      </c>
      <c r="AO5" s="17">
        <f t="shared" si="9"/>
        <v>232709.50149999998</v>
      </c>
      <c r="AP5" s="17">
        <f t="shared" si="10"/>
        <v>198133.87260000003</v>
      </c>
      <c r="AQ5" s="17">
        <f t="shared" si="11"/>
        <v>216910.9031</v>
      </c>
      <c r="AR5" s="17">
        <f t="shared" si="12"/>
        <v>314374.63959999999</v>
      </c>
      <c r="AS5" s="17">
        <f t="shared" si="13"/>
        <v>252018.1428</v>
      </c>
      <c r="AT5" s="26">
        <f>AM5/AL5</f>
        <v>0.39704229003054226</v>
      </c>
      <c r="AU5" s="26">
        <f>AJ5/SUM(AL5:AS5)</f>
        <v>8.5861591892792133E-2</v>
      </c>
      <c r="AV5" s="24">
        <v>200</v>
      </c>
      <c r="AW5" s="24">
        <v>350</v>
      </c>
      <c r="AX5" s="24">
        <v>17</v>
      </c>
      <c r="AY5" s="24">
        <v>200</v>
      </c>
      <c r="AZ5" s="24">
        <v>300</v>
      </c>
      <c r="BA5" s="24">
        <v>2.5</v>
      </c>
      <c r="BB5" s="26">
        <f t="shared" si="14"/>
        <v>0.25380792290871612</v>
      </c>
      <c r="BC5" s="26">
        <v>0.55000000000000004</v>
      </c>
      <c r="BD5" s="21">
        <f t="shared" si="15"/>
        <v>1.5233774257425742E-2</v>
      </c>
      <c r="BE5" s="22">
        <f t="shared" si="16"/>
        <v>1.6958543474668953E-2</v>
      </c>
      <c r="BF5" s="22">
        <f t="shared" si="17"/>
        <v>9.4586019424908283E-2</v>
      </c>
      <c r="BG5" s="28">
        <v>3.5000000000000003E-2</v>
      </c>
      <c r="BH5" s="28">
        <v>0.21129999999999999</v>
      </c>
      <c r="BI5" s="28">
        <v>0.04</v>
      </c>
      <c r="BJ5" s="22">
        <v>1.1000000000000001</v>
      </c>
      <c r="BK5" s="22">
        <f t="shared" si="18"/>
        <v>0.44955916756891723</v>
      </c>
      <c r="BL5" s="22">
        <v>0.95</v>
      </c>
      <c r="BM5" s="22">
        <v>0.56786000000000003</v>
      </c>
      <c r="BN5" s="22">
        <v>0.53549999999999998</v>
      </c>
      <c r="BO5" s="22">
        <v>0.13916800000000001</v>
      </c>
      <c r="BP5" s="22">
        <v>0.14448000000000003</v>
      </c>
      <c r="BQ5" s="35">
        <v>18.46</v>
      </c>
      <c r="BR5" s="24">
        <v>0</v>
      </c>
      <c r="BS5" s="24">
        <v>0.67</v>
      </c>
      <c r="BT5" s="24">
        <v>0</v>
      </c>
      <c r="BU5" s="24">
        <v>0.33</v>
      </c>
      <c r="BV5" s="24">
        <v>3.096816</v>
      </c>
      <c r="BW5" s="24">
        <v>103.9353</v>
      </c>
      <c r="BX5" s="70">
        <f>BW5*BV5*AJ5</f>
        <v>84584144.984761402</v>
      </c>
      <c r="BY5" s="24">
        <f t="shared" ref="BY5:BY35" si="31">AV5</f>
        <v>200</v>
      </c>
      <c r="BZ5" s="24">
        <f t="shared" ref="BZ5:BZ35" si="32">AW5</f>
        <v>350</v>
      </c>
      <c r="CA5" s="23">
        <f t="shared" si="21"/>
        <v>160</v>
      </c>
      <c r="CB5" s="23">
        <f t="shared" si="22"/>
        <v>280</v>
      </c>
      <c r="CC5" s="24">
        <f t="shared" si="23"/>
        <v>195.1502061955168</v>
      </c>
      <c r="CD5" s="25">
        <f t="shared" si="24"/>
        <v>341.07551173147937</v>
      </c>
      <c r="CE5" s="24">
        <f>(BY5-AX5)/(BA5*365)</f>
        <v>0.20054794520547944</v>
      </c>
      <c r="CF5" s="26">
        <f t="shared" ref="CF5:CF35" si="33">(BZ5-AX5)/(BA5*365)</f>
        <v>0.36493150684931508</v>
      </c>
      <c r="CG5" s="26">
        <f t="shared" si="27"/>
        <v>0.20054794520547944</v>
      </c>
      <c r="CH5" s="26">
        <f t="shared" si="28"/>
        <v>0.36493150684931508</v>
      </c>
      <c r="CI5" s="26">
        <f t="shared" si="29"/>
        <v>0.20054794520547944</v>
      </c>
      <c r="CJ5" s="26">
        <f t="shared" si="30"/>
        <v>0.36493150684931508</v>
      </c>
    </row>
    <row r="6" spans="1:88">
      <c r="A6" s="19">
        <v>2</v>
      </c>
      <c r="B6" s="3" t="s">
        <v>259</v>
      </c>
      <c r="C6" s="3" t="s">
        <v>79</v>
      </c>
      <c r="D6" s="8">
        <v>2755.991211</v>
      </c>
      <c r="E6" s="8">
        <v>2856.991211</v>
      </c>
      <c r="F6" s="8">
        <v>9555.5849610000005</v>
      </c>
      <c r="G6" s="8">
        <v>3390.296875</v>
      </c>
      <c r="H6" s="8">
        <v>4691.908203</v>
      </c>
      <c r="I6" s="8">
        <v>3609.0654300000001</v>
      </c>
      <c r="J6" s="8">
        <v>11886.039059999999</v>
      </c>
      <c r="K6" s="8">
        <f t="shared" si="1"/>
        <v>38745.876950999998</v>
      </c>
      <c r="L6" s="18">
        <v>0.16128999999999999</v>
      </c>
      <c r="M6" s="18">
        <v>530.44304</v>
      </c>
      <c r="N6" s="18">
        <v>1058.9318635</v>
      </c>
      <c r="O6" s="18">
        <v>847.09964099999991</v>
      </c>
      <c r="P6" s="18">
        <v>0.60975599999999996</v>
      </c>
      <c r="Q6" s="18">
        <v>1</v>
      </c>
      <c r="R6" s="18">
        <v>1.5662700000000001</v>
      </c>
      <c r="S6" s="18">
        <f t="shared" si="2"/>
        <v>2439.8118604999995</v>
      </c>
      <c r="T6" s="18">
        <v>211.76900000000001</v>
      </c>
      <c r="U6" s="18">
        <v>211.76900000000001</v>
      </c>
      <c r="V6" s="18">
        <v>741.19</v>
      </c>
      <c r="W6" s="18">
        <v>0</v>
      </c>
      <c r="X6" s="18">
        <v>0</v>
      </c>
      <c r="Y6" s="18">
        <v>0</v>
      </c>
      <c r="Z6" s="18">
        <v>0</v>
      </c>
      <c r="AA6" s="53">
        <f t="shared" si="3"/>
        <v>1164.7280000000001</v>
      </c>
      <c r="AB6" s="18">
        <v>3600.07</v>
      </c>
      <c r="AC6" s="18">
        <v>5929.52</v>
      </c>
      <c r="AD6" s="53">
        <f t="shared" si="4"/>
        <v>9529.59</v>
      </c>
      <c r="AE6" s="18">
        <v>2752.99</v>
      </c>
      <c r="AF6" s="18">
        <v>2.1666669999999999</v>
      </c>
      <c r="AG6" s="18">
        <v>106.2</v>
      </c>
      <c r="AH6" s="31">
        <f t="shared" ref="AH6:AH35" si="34">SUM(AL6:AQ6)</f>
        <v>26855.312321499998</v>
      </c>
      <c r="AI6" s="54">
        <f t="shared" ref="AI6:AI35" si="35">SUM(AL6:AS6)</f>
        <v>42350.416811499999</v>
      </c>
      <c r="AJ6" s="8">
        <f t="shared" si="5"/>
        <v>2752.99</v>
      </c>
      <c r="AK6" s="8">
        <f t="shared" si="6"/>
        <v>7543.7849610000012</v>
      </c>
      <c r="AL6" s="8">
        <f t="shared" ref="AL6:AL35" si="36">AJ6+AK6</f>
        <v>10296.774961000001</v>
      </c>
      <c r="AM6" s="8">
        <f t="shared" si="7"/>
        <v>6036.5204220000005</v>
      </c>
      <c r="AN6" s="17">
        <f t="shared" si="8"/>
        <v>4691.908203</v>
      </c>
      <c r="AO6" s="17">
        <f t="shared" si="9"/>
        <v>3390.296875</v>
      </c>
      <c r="AP6" s="17">
        <f t="shared" si="10"/>
        <v>1061.1078895000001</v>
      </c>
      <c r="AQ6" s="17">
        <f t="shared" si="11"/>
        <v>1378.7039709999999</v>
      </c>
      <c r="AR6" s="17">
        <f t="shared" si="12"/>
        <v>11886.039059999999</v>
      </c>
      <c r="AS6" s="17">
        <f t="shared" si="13"/>
        <v>3609.0654300000001</v>
      </c>
      <c r="AT6" s="26">
        <f t="shared" ref="AT6:AT35" si="37">AM6/AL6</f>
        <v>0.58625350606028459</v>
      </c>
      <c r="AU6" s="26">
        <f t="shared" ref="AU6:AU35" si="38">AJ6/SUM(AL6:AS6)</f>
        <v>6.50050272764362E-2</v>
      </c>
      <c r="AV6" s="24">
        <v>200</v>
      </c>
      <c r="AW6" s="24">
        <v>350</v>
      </c>
      <c r="AX6" s="24">
        <v>17</v>
      </c>
      <c r="AY6" s="24">
        <v>200</v>
      </c>
      <c r="AZ6" s="24">
        <v>300</v>
      </c>
      <c r="BA6" s="24">
        <v>2.5</v>
      </c>
      <c r="BB6" s="26">
        <f t="shared" si="14"/>
        <v>0.17482385215935378</v>
      </c>
      <c r="BC6" s="26">
        <v>0.55000000000000004</v>
      </c>
      <c r="BD6" s="21">
        <f t="shared" si="15"/>
        <v>0</v>
      </c>
      <c r="BE6" s="22">
        <f t="shared" si="16"/>
        <v>0</v>
      </c>
      <c r="BF6" s="22">
        <f t="shared" si="17"/>
        <v>7.6785629821927395E-2</v>
      </c>
      <c r="BG6" s="28">
        <v>3.5000000000000003E-2</v>
      </c>
      <c r="BH6" s="28">
        <v>0.21129999999999999</v>
      </c>
      <c r="BI6" s="28">
        <v>0.04</v>
      </c>
      <c r="BJ6" s="22">
        <v>1.1000000000000001</v>
      </c>
      <c r="BK6" s="22">
        <f t="shared" si="18"/>
        <v>0.49163425343249828</v>
      </c>
      <c r="BL6" s="22">
        <v>0.95</v>
      </c>
      <c r="BM6" s="22">
        <v>0.52244999999999997</v>
      </c>
      <c r="BN6" s="22">
        <v>0.50700000000000001</v>
      </c>
      <c r="BO6" s="22">
        <v>0.11982480000000002</v>
      </c>
      <c r="BP6" s="22">
        <v>0.12960000000000002</v>
      </c>
      <c r="BQ6" s="35">
        <v>18.46</v>
      </c>
      <c r="BR6" s="24">
        <v>0</v>
      </c>
      <c r="BS6" s="24">
        <v>0</v>
      </c>
      <c r="BT6" s="24">
        <v>0.25</v>
      </c>
      <c r="BU6" s="24">
        <v>0.75</v>
      </c>
      <c r="BV6" s="24">
        <v>2.1666669999999999</v>
      </c>
      <c r="BW6" s="24">
        <v>106.2</v>
      </c>
      <c r="BX6" s="70">
        <f t="shared" ref="BX6:BX35" si="39">BW6*BV6*AJ6</f>
        <v>633463.09645584598</v>
      </c>
      <c r="BY6" s="24">
        <f t="shared" si="31"/>
        <v>200</v>
      </c>
      <c r="BZ6" s="24">
        <f t="shared" si="32"/>
        <v>350</v>
      </c>
      <c r="CA6" s="23">
        <f t="shared" si="21"/>
        <v>160</v>
      </c>
      <c r="CB6" s="23">
        <f t="shared" si="22"/>
        <v>280</v>
      </c>
      <c r="CC6" s="24">
        <f t="shared" si="23"/>
        <v>199.97698038514852</v>
      </c>
      <c r="CD6" s="25">
        <f t="shared" si="24"/>
        <v>306.95956742654988</v>
      </c>
      <c r="CE6" s="24">
        <f t="shared" ref="CE6:CE35" si="40">(BY6-AX6)/(BA6*365)</f>
        <v>0.20054794520547944</v>
      </c>
      <c r="CF6" s="26">
        <f t="shared" si="33"/>
        <v>0.36493150684931508</v>
      </c>
      <c r="CG6" s="26">
        <f t="shared" si="27"/>
        <v>0.20054794520547944</v>
      </c>
      <c r="CH6" s="26">
        <f t="shared" si="28"/>
        <v>0.36493150684931508</v>
      </c>
      <c r="CI6" s="26">
        <f t="shared" si="29"/>
        <v>0.20054794520547944</v>
      </c>
      <c r="CJ6" s="26">
        <f t="shared" si="30"/>
        <v>0.36493150684931508</v>
      </c>
    </row>
    <row r="7" spans="1:88">
      <c r="A7" s="19">
        <v>3</v>
      </c>
      <c r="B7" s="3" t="s">
        <v>260</v>
      </c>
      <c r="C7" s="3" t="s">
        <v>80</v>
      </c>
      <c r="D7" s="8">
        <v>262689.02500000002</v>
      </c>
      <c r="E7" s="8">
        <v>298543.51890000002</v>
      </c>
      <c r="F7" s="8">
        <v>670361.63150000002</v>
      </c>
      <c r="G7" s="8">
        <v>89262.538020000007</v>
      </c>
      <c r="H7" s="8">
        <v>275947.18859999999</v>
      </c>
      <c r="I7" s="8">
        <v>244989.27770000001</v>
      </c>
      <c r="J7" s="8">
        <v>281977.36979999999</v>
      </c>
      <c r="K7" s="8">
        <f t="shared" si="1"/>
        <v>2123770.5495199999</v>
      </c>
      <c r="L7" s="18">
        <v>61356.250260000001</v>
      </c>
      <c r="M7" s="18">
        <v>57613.880700000002</v>
      </c>
      <c r="N7" s="18">
        <v>80793.431899999996</v>
      </c>
      <c r="O7" s="18">
        <v>6986.6187</v>
      </c>
      <c r="P7" s="18">
        <v>27827.091699999997</v>
      </c>
      <c r="Q7" s="18">
        <v>1844.9607000000001</v>
      </c>
      <c r="R7" s="18">
        <v>3354.9222</v>
      </c>
      <c r="S7" s="18">
        <f t="shared" si="2"/>
        <v>239777.15615999998</v>
      </c>
      <c r="T7" s="18">
        <v>7303.98</v>
      </c>
      <c r="U7" s="18">
        <v>13512.4</v>
      </c>
      <c r="V7" s="18">
        <v>36154.699999999997</v>
      </c>
      <c r="W7" s="18">
        <v>0</v>
      </c>
      <c r="X7" s="18">
        <v>15338.4</v>
      </c>
      <c r="Y7" s="18">
        <v>5477.98</v>
      </c>
      <c r="Z7" s="18">
        <v>3286.79</v>
      </c>
      <c r="AA7" s="53">
        <f t="shared" si="3"/>
        <v>81074.249999999985</v>
      </c>
      <c r="AB7" s="18">
        <v>249796</v>
      </c>
      <c r="AC7" s="18">
        <v>292890</v>
      </c>
      <c r="AD7" s="53">
        <f t="shared" si="4"/>
        <v>542686</v>
      </c>
      <c r="AE7" s="18">
        <v>289603</v>
      </c>
      <c r="AF7" s="18">
        <v>3.1460080000000001</v>
      </c>
      <c r="AG7" s="18">
        <v>106.7679</v>
      </c>
      <c r="AH7" s="31">
        <f t="shared" si="34"/>
        <v>1908890.5381800001</v>
      </c>
      <c r="AI7" s="54">
        <f t="shared" si="35"/>
        <v>2444621.9556800001</v>
      </c>
      <c r="AJ7" s="8">
        <f t="shared" si="5"/>
        <v>289603</v>
      </c>
      <c r="AK7" s="8">
        <f t="shared" si="6"/>
        <v>416913.33149999997</v>
      </c>
      <c r="AL7" s="8">
        <f t="shared" si="36"/>
        <v>706516.33149999997</v>
      </c>
      <c r="AM7" s="8">
        <f t="shared" si="7"/>
        <v>582048.92390000005</v>
      </c>
      <c r="AN7" s="17">
        <f t="shared" si="8"/>
        <v>291285.58860000002</v>
      </c>
      <c r="AO7" s="17">
        <f t="shared" si="9"/>
        <v>89262.538020000007</v>
      </c>
      <c r="AP7" s="17">
        <f t="shared" si="10"/>
        <v>111975.44579999999</v>
      </c>
      <c r="AQ7" s="17">
        <f t="shared" si="11"/>
        <v>127801.71036000001</v>
      </c>
      <c r="AR7" s="17">
        <f t="shared" si="12"/>
        <v>285264.15979999996</v>
      </c>
      <c r="AS7" s="17">
        <f t="shared" si="13"/>
        <v>250467.25770000002</v>
      </c>
      <c r="AT7" s="26">
        <f>AM7/AL7</f>
        <v>0.82382939777804709</v>
      </c>
      <c r="AU7" s="26">
        <f t="shared" si="38"/>
        <v>0.11846535180096734</v>
      </c>
      <c r="AV7" s="24">
        <v>200</v>
      </c>
      <c r="AW7" s="24">
        <v>350</v>
      </c>
      <c r="AX7" s="24">
        <v>17</v>
      </c>
      <c r="AY7" s="24">
        <v>200</v>
      </c>
      <c r="AZ7" s="24">
        <v>300</v>
      </c>
      <c r="BA7" s="24">
        <v>2.5</v>
      </c>
      <c r="BB7" s="26">
        <f t="shared" si="14"/>
        <v>0.1655278536190497</v>
      </c>
      <c r="BC7" s="26">
        <v>0.55000000000000004</v>
      </c>
      <c r="BD7" s="21">
        <f t="shared" si="15"/>
        <v>1.1221926320461607E-2</v>
      </c>
      <c r="BE7" s="22">
        <f t="shared" si="16"/>
        <v>2.1929814728818716E-2</v>
      </c>
      <c r="BF7" s="22">
        <f t="shared" si="17"/>
        <v>4.6257997267238449E-2</v>
      </c>
      <c r="BG7" s="28">
        <v>3.5000000000000003E-2</v>
      </c>
      <c r="BH7" s="28">
        <v>0.21129999999999999</v>
      </c>
      <c r="BI7" s="28">
        <v>0.04</v>
      </c>
      <c r="BJ7" s="22">
        <v>1.1000000000000001</v>
      </c>
      <c r="BK7" s="22">
        <f t="shared" si="18"/>
        <v>0.46386651347264862</v>
      </c>
      <c r="BL7" s="22">
        <v>0.95</v>
      </c>
      <c r="BM7" s="22">
        <v>0.51885000000000003</v>
      </c>
      <c r="BN7" s="22">
        <v>0.50700000000000001</v>
      </c>
      <c r="BO7" s="22">
        <v>0.12104000000000001</v>
      </c>
      <c r="BP7" s="22">
        <v>0.12960000000000002</v>
      </c>
      <c r="BQ7" s="35">
        <v>18.46</v>
      </c>
      <c r="BR7" s="24">
        <v>0.2</v>
      </c>
      <c r="BS7" s="24">
        <v>0</v>
      </c>
      <c r="BT7" s="24">
        <v>0.2</v>
      </c>
      <c r="BU7" s="24">
        <v>0.6</v>
      </c>
      <c r="BV7" s="24">
        <v>3.1460080000000001</v>
      </c>
      <c r="BW7" s="24">
        <v>106.7679</v>
      </c>
      <c r="BX7" s="70">
        <f t="shared" si="39"/>
        <v>97275524.198513344</v>
      </c>
      <c r="BY7" s="24">
        <f t="shared" si="31"/>
        <v>200</v>
      </c>
      <c r="BZ7" s="24">
        <f t="shared" si="32"/>
        <v>350</v>
      </c>
      <c r="CA7" s="23">
        <f t="shared" si="21"/>
        <v>160</v>
      </c>
      <c r="CB7" s="23">
        <f t="shared" si="22"/>
        <v>280</v>
      </c>
      <c r="CC7" s="24">
        <f t="shared" si="23"/>
        <v>189.75254739059275</v>
      </c>
      <c r="CD7" s="25">
        <f t="shared" si="24"/>
        <v>346.11721237392874</v>
      </c>
      <c r="CE7" s="24">
        <f t="shared" si="40"/>
        <v>0.20054794520547944</v>
      </c>
      <c r="CF7" s="26">
        <f t="shared" si="33"/>
        <v>0.36493150684931508</v>
      </c>
      <c r="CG7" s="26">
        <f t="shared" si="27"/>
        <v>0.20054794520547944</v>
      </c>
      <c r="CH7" s="26">
        <f t="shared" si="28"/>
        <v>0.36493150684931508</v>
      </c>
      <c r="CI7" s="26">
        <f t="shared" si="29"/>
        <v>0.20054794520547944</v>
      </c>
      <c r="CJ7" s="26">
        <f t="shared" si="30"/>
        <v>0.36493150684931508</v>
      </c>
    </row>
    <row r="8" spans="1:88">
      <c r="A8" s="19">
        <v>4</v>
      </c>
      <c r="B8" s="3" t="s">
        <v>261</v>
      </c>
      <c r="C8" s="3" t="s">
        <v>79</v>
      </c>
      <c r="D8" s="8">
        <v>293626.79889999999</v>
      </c>
      <c r="E8" s="8">
        <v>133710.75279999999</v>
      </c>
      <c r="F8" s="8">
        <v>391372.5282</v>
      </c>
      <c r="G8" s="8">
        <v>91212.905639999997</v>
      </c>
      <c r="H8" s="8">
        <v>242885.67110000001</v>
      </c>
      <c r="I8" s="8">
        <v>164789.41200000001</v>
      </c>
      <c r="J8" s="8">
        <v>186876.56419999999</v>
      </c>
      <c r="K8" s="8">
        <f t="shared" si="1"/>
        <v>1504474.6328399999</v>
      </c>
      <c r="L8" s="18">
        <v>27812.192800000001</v>
      </c>
      <c r="M8" s="18">
        <v>71521.743699999992</v>
      </c>
      <c r="N8" s="18">
        <v>88767.943400000004</v>
      </c>
      <c r="O8" s="18">
        <v>18024.490699999998</v>
      </c>
      <c r="P8" s="18">
        <v>9451.7138000000014</v>
      </c>
      <c r="Q8" s="18">
        <v>12295.259599999999</v>
      </c>
      <c r="R8" s="18">
        <v>858.25329999999997</v>
      </c>
      <c r="S8" s="18">
        <f t="shared" si="2"/>
        <v>228731.59729999999</v>
      </c>
      <c r="T8" s="18">
        <v>5720.59</v>
      </c>
      <c r="U8" s="18">
        <v>12667</v>
      </c>
      <c r="V8" s="18">
        <v>22882.400000000001</v>
      </c>
      <c r="W8" s="18">
        <v>1634.46</v>
      </c>
      <c r="X8" s="18">
        <v>5311.98</v>
      </c>
      <c r="Y8" s="18">
        <v>5311.98</v>
      </c>
      <c r="Z8" s="18">
        <v>4494.75</v>
      </c>
      <c r="AA8" s="53">
        <f t="shared" si="3"/>
        <v>58023.16</v>
      </c>
      <c r="AB8" s="18">
        <v>165897</v>
      </c>
      <c r="AC8" s="18">
        <v>188371</v>
      </c>
      <c r="AD8" s="53">
        <f t="shared" si="4"/>
        <v>354268</v>
      </c>
      <c r="AE8" s="18">
        <v>199404</v>
      </c>
      <c r="AF8" s="18">
        <v>3.2052939999999999</v>
      </c>
      <c r="AG8" s="18">
        <v>107.3441</v>
      </c>
      <c r="AH8" s="31">
        <f t="shared" si="34"/>
        <v>1429756.6839399999</v>
      </c>
      <c r="AI8" s="54">
        <f t="shared" si="35"/>
        <v>1791229.3901399998</v>
      </c>
      <c r="AJ8" s="8">
        <f t="shared" si="5"/>
        <v>199404</v>
      </c>
      <c r="AK8" s="8">
        <f t="shared" si="6"/>
        <v>214850.92820000002</v>
      </c>
      <c r="AL8" s="8">
        <f t="shared" si="36"/>
        <v>414254.92820000002</v>
      </c>
      <c r="AM8" s="8">
        <f t="shared" si="7"/>
        <v>445725.14169999998</v>
      </c>
      <c r="AN8" s="17">
        <f t="shared" si="8"/>
        <v>248197.65110000002</v>
      </c>
      <c r="AO8" s="17">
        <f t="shared" si="9"/>
        <v>92847.365640000004</v>
      </c>
      <c r="AP8" s="17">
        <f t="shared" si="10"/>
        <v>99077.910499999998</v>
      </c>
      <c r="AQ8" s="17">
        <f t="shared" si="11"/>
        <v>129653.6868</v>
      </c>
      <c r="AR8" s="17">
        <f t="shared" si="12"/>
        <v>191371.31419999999</v>
      </c>
      <c r="AS8" s="17">
        <f t="shared" si="13"/>
        <v>170101.39200000002</v>
      </c>
      <c r="AT8" s="26">
        <f>AM8/AL8</f>
        <v>1.075968229603792</v>
      </c>
      <c r="AU8" s="26">
        <f t="shared" si="38"/>
        <v>0.11132242531171001</v>
      </c>
      <c r="AV8" s="24">
        <v>200</v>
      </c>
      <c r="AW8" s="24">
        <v>350</v>
      </c>
      <c r="AX8" s="24">
        <v>17</v>
      </c>
      <c r="AY8" s="24">
        <v>200</v>
      </c>
      <c r="AZ8" s="24">
        <v>300</v>
      </c>
      <c r="BA8" s="24">
        <v>2.5</v>
      </c>
      <c r="BB8" s="26">
        <f t="shared" si="14"/>
        <v>0.26952085732603726</v>
      </c>
      <c r="BC8" s="26">
        <v>0.55000000000000004</v>
      </c>
      <c r="BD8" s="21">
        <f t="shared" si="15"/>
        <v>2.3861156972145393E-2</v>
      </c>
      <c r="BE8" s="22">
        <f t="shared" si="16"/>
        <v>3.2019747192535128E-2</v>
      </c>
      <c r="BF8" s="22">
        <f t="shared" si="17"/>
        <v>5.040855244513523E-2</v>
      </c>
      <c r="BG8" s="28">
        <v>3.5000000000000003E-2</v>
      </c>
      <c r="BH8" s="28">
        <v>0.21129999999999999</v>
      </c>
      <c r="BI8" s="28">
        <v>0.04</v>
      </c>
      <c r="BJ8" s="22">
        <v>1.1000000000000001</v>
      </c>
      <c r="BK8" s="22">
        <f t="shared" si="18"/>
        <v>0.67159637385112758</v>
      </c>
      <c r="BL8" s="22">
        <v>0.95</v>
      </c>
      <c r="BM8" s="22">
        <v>0.52244999999999997</v>
      </c>
      <c r="BN8" s="22">
        <v>0.50700000000000001</v>
      </c>
      <c r="BO8" s="22">
        <v>0.11982480000000002</v>
      </c>
      <c r="BP8" s="22">
        <v>0.12960000000000002</v>
      </c>
      <c r="BQ8" s="35">
        <v>18.46</v>
      </c>
      <c r="BR8" s="24">
        <v>0</v>
      </c>
      <c r="BS8" s="24">
        <v>0</v>
      </c>
      <c r="BT8" s="24">
        <v>0.25</v>
      </c>
      <c r="BU8" s="24">
        <v>0.75</v>
      </c>
      <c r="BV8" s="24">
        <v>3.2052939999999999</v>
      </c>
      <c r="BW8" s="24">
        <v>107.3441</v>
      </c>
      <c r="BX8" s="70">
        <f t="shared" si="39"/>
        <v>68608814.570879415</v>
      </c>
      <c r="BY8" s="24">
        <f t="shared" si="31"/>
        <v>200</v>
      </c>
      <c r="BZ8" s="24">
        <f t="shared" si="32"/>
        <v>350</v>
      </c>
      <c r="CA8" s="23">
        <f t="shared" si="21"/>
        <v>160</v>
      </c>
      <c r="CB8" s="23">
        <f t="shared" si="22"/>
        <v>280</v>
      </c>
      <c r="CC8" s="24">
        <f t="shared" si="23"/>
        <v>196.15078526256553</v>
      </c>
      <c r="CD8" s="25">
        <f t="shared" si="24"/>
        <v>339.24905199308944</v>
      </c>
      <c r="CE8" s="24">
        <f t="shared" si="40"/>
        <v>0.20054794520547944</v>
      </c>
      <c r="CF8" s="26">
        <f t="shared" si="33"/>
        <v>0.36493150684931508</v>
      </c>
      <c r="CG8" s="26">
        <f t="shared" si="27"/>
        <v>0.20054794520547944</v>
      </c>
      <c r="CH8" s="26">
        <f t="shared" si="28"/>
        <v>0.36493150684931508</v>
      </c>
      <c r="CI8" s="26">
        <f t="shared" si="29"/>
        <v>0.20054794520547944</v>
      </c>
      <c r="CJ8" s="26">
        <f t="shared" si="30"/>
        <v>0.36493150684931508</v>
      </c>
    </row>
    <row r="9" spans="1:88">
      <c r="A9" s="19">
        <v>5</v>
      </c>
      <c r="B9" s="3" t="s">
        <v>262</v>
      </c>
      <c r="C9" s="3" t="s">
        <v>78</v>
      </c>
      <c r="D9" s="8">
        <v>113846.20209999999</v>
      </c>
      <c r="E9" s="8">
        <v>55468.626949999998</v>
      </c>
      <c r="F9" s="8">
        <v>159254.20509999999</v>
      </c>
      <c r="G9" s="8">
        <v>54231.847659999999</v>
      </c>
      <c r="H9" s="8">
        <v>105021.35739999999</v>
      </c>
      <c r="I9" s="8">
        <v>48972.340819999998</v>
      </c>
      <c r="J9" s="8">
        <v>63732.082029999998</v>
      </c>
      <c r="K9" s="8">
        <f t="shared" si="1"/>
        <v>600526.66206</v>
      </c>
      <c r="L9" s="18">
        <v>7092.4018999999998</v>
      </c>
      <c r="M9" s="18">
        <v>7669.7904799999997</v>
      </c>
      <c r="N9" s="18">
        <v>13619.873</v>
      </c>
      <c r="O9" s="18">
        <v>2947.8276179999998</v>
      </c>
      <c r="P9" s="18">
        <v>1782.7784000000001</v>
      </c>
      <c r="Q9" s="18">
        <v>24.210100000000001</v>
      </c>
      <c r="R9" s="18">
        <v>20.984200000000001</v>
      </c>
      <c r="S9" s="18">
        <f t="shared" si="2"/>
        <v>33157.865697999994</v>
      </c>
      <c r="T9" s="18">
        <v>1178.78</v>
      </c>
      <c r="U9" s="18">
        <v>4125.7299999999996</v>
      </c>
      <c r="V9" s="18">
        <v>4007.85</v>
      </c>
      <c r="W9" s="18">
        <v>0</v>
      </c>
      <c r="X9" s="18">
        <v>0</v>
      </c>
      <c r="Y9" s="18">
        <v>1178.78</v>
      </c>
      <c r="Z9" s="18">
        <v>1178.78</v>
      </c>
      <c r="AA9" s="53">
        <f t="shared" si="3"/>
        <v>11669.92</v>
      </c>
      <c r="AB9" s="18">
        <v>51866.3</v>
      </c>
      <c r="AC9" s="18">
        <v>67190.399999999994</v>
      </c>
      <c r="AD9" s="53">
        <f t="shared" si="4"/>
        <v>119056.7</v>
      </c>
      <c r="AE9" s="18">
        <v>42141.4</v>
      </c>
      <c r="AF9" s="18">
        <v>2.6033330000000001</v>
      </c>
      <c r="AG9" s="18">
        <v>101.92310000000001</v>
      </c>
      <c r="AH9" s="31">
        <f t="shared" si="34"/>
        <v>530292.46490799997</v>
      </c>
      <c r="AI9" s="54">
        <f t="shared" si="35"/>
        <v>645354.44775799988</v>
      </c>
      <c r="AJ9" s="8">
        <f t="shared" si="5"/>
        <v>42141.4</v>
      </c>
      <c r="AK9" s="8">
        <f t="shared" si="6"/>
        <v>121120.6551</v>
      </c>
      <c r="AL9" s="8">
        <f t="shared" si="36"/>
        <v>163262.0551</v>
      </c>
      <c r="AM9" s="8">
        <f t="shared" si="7"/>
        <v>174619.33905000001</v>
      </c>
      <c r="AN9" s="17">
        <f t="shared" si="8"/>
        <v>105021.35739999999</v>
      </c>
      <c r="AO9" s="17">
        <f t="shared" si="9"/>
        <v>54231.847659999999</v>
      </c>
      <c r="AP9" s="17">
        <f t="shared" si="10"/>
        <v>15423.6356</v>
      </c>
      <c r="AQ9" s="17">
        <f t="shared" si="11"/>
        <v>17734.230098</v>
      </c>
      <c r="AR9" s="17">
        <f t="shared" si="12"/>
        <v>64910.862029999997</v>
      </c>
      <c r="AS9" s="17">
        <f t="shared" si="13"/>
        <v>50151.120819999996</v>
      </c>
      <c r="AT9" s="26">
        <f t="shared" si="37"/>
        <v>1.0695647494026921</v>
      </c>
      <c r="AU9" s="26">
        <f t="shared" si="38"/>
        <v>6.5299619684038371E-2</v>
      </c>
      <c r="AV9" s="24">
        <v>200</v>
      </c>
      <c r="AW9" s="24">
        <v>350</v>
      </c>
      <c r="AX9" s="24">
        <v>17</v>
      </c>
      <c r="AY9" s="24">
        <v>200</v>
      </c>
      <c r="AZ9" s="24">
        <v>300</v>
      </c>
      <c r="BA9" s="24">
        <v>2.5</v>
      </c>
      <c r="BB9" s="26">
        <f t="shared" si="14"/>
        <v>0.10797195336787108</v>
      </c>
      <c r="BC9" s="26">
        <v>0.55000000000000004</v>
      </c>
      <c r="BD9" s="21">
        <f t="shared" si="15"/>
        <v>1.7543875315521266E-2</v>
      </c>
      <c r="BE9" s="22">
        <f t="shared" si="16"/>
        <v>2.2727281491064524E-2</v>
      </c>
      <c r="BF9" s="22">
        <f t="shared" si="17"/>
        <v>2.8342171757271179E-2</v>
      </c>
      <c r="BG9" s="28">
        <v>3.5000000000000003E-2</v>
      </c>
      <c r="BH9" s="28">
        <v>0.21129999999999999</v>
      </c>
      <c r="BI9" s="28">
        <v>0.04</v>
      </c>
      <c r="BJ9" s="22">
        <v>1.1000000000000001</v>
      </c>
      <c r="BK9" s="22">
        <f t="shared" si="18"/>
        <v>0.65871845997002698</v>
      </c>
      <c r="BL9" s="22">
        <v>0.95</v>
      </c>
      <c r="BM9" s="22">
        <v>0.56786000000000003</v>
      </c>
      <c r="BN9" s="22">
        <v>0.53549999999999998</v>
      </c>
      <c r="BO9" s="22">
        <v>0.13916800000000001</v>
      </c>
      <c r="BP9" s="22">
        <v>0.14448000000000003</v>
      </c>
      <c r="BQ9" s="35">
        <v>18.46</v>
      </c>
      <c r="BR9" s="24">
        <v>0</v>
      </c>
      <c r="BS9" s="24">
        <v>0.67</v>
      </c>
      <c r="BT9" s="24">
        <v>0</v>
      </c>
      <c r="BU9" s="24">
        <v>0.33</v>
      </c>
      <c r="BV9" s="24">
        <v>2.6033330000000001</v>
      </c>
      <c r="BW9" s="24">
        <v>101.92310000000001</v>
      </c>
      <c r="BX9" s="70">
        <f t="shared" si="39"/>
        <v>11181789.370511092</v>
      </c>
      <c r="BY9" s="24">
        <f t="shared" si="31"/>
        <v>200</v>
      </c>
      <c r="BZ9" s="24">
        <f t="shared" si="32"/>
        <v>350</v>
      </c>
      <c r="CA9" s="23">
        <f t="shared" si="21"/>
        <v>160</v>
      </c>
      <c r="CB9" s="23">
        <f t="shared" si="22"/>
        <v>280</v>
      </c>
      <c r="CC9" s="24">
        <f t="shared" si="23"/>
        <v>195.37020385983678</v>
      </c>
      <c r="CD9" s="25">
        <f t="shared" si="24"/>
        <v>338.34852059549894</v>
      </c>
      <c r="CE9" s="24">
        <f t="shared" si="40"/>
        <v>0.20054794520547944</v>
      </c>
      <c r="CF9" s="26">
        <f t="shared" si="33"/>
        <v>0.36493150684931508</v>
      </c>
      <c r="CG9" s="26">
        <f t="shared" si="27"/>
        <v>0.20054794520547944</v>
      </c>
      <c r="CH9" s="26">
        <f t="shared" si="28"/>
        <v>0.36493150684931508</v>
      </c>
      <c r="CI9" s="26">
        <f t="shared" si="29"/>
        <v>0.20054794520547944</v>
      </c>
      <c r="CJ9" s="26">
        <f t="shared" si="30"/>
        <v>0.36493150684931508</v>
      </c>
    </row>
    <row r="10" spans="1:88">
      <c r="A10" s="19">
        <v>6</v>
      </c>
      <c r="B10" s="3" t="s">
        <v>263</v>
      </c>
      <c r="C10" s="3" t="s">
        <v>79</v>
      </c>
      <c r="D10" s="8">
        <v>73146.620120000007</v>
      </c>
      <c r="E10" s="8">
        <v>96455.604250000004</v>
      </c>
      <c r="F10" s="8">
        <v>531013.66159999999</v>
      </c>
      <c r="G10" s="8">
        <v>47814.636229999996</v>
      </c>
      <c r="H10" s="8">
        <v>244168.8414</v>
      </c>
      <c r="I10" s="8">
        <v>115958.2583</v>
      </c>
      <c r="J10" s="8">
        <v>173439.889</v>
      </c>
      <c r="K10" s="8">
        <f t="shared" si="1"/>
        <v>1281997.5108999999</v>
      </c>
      <c r="L10" s="18">
        <v>32410.574000000001</v>
      </c>
      <c r="M10" s="18">
        <v>17372.5</v>
      </c>
      <c r="N10" s="18">
        <v>43044.63</v>
      </c>
      <c r="O10" s="18">
        <v>2799.2979999999998</v>
      </c>
      <c r="P10" s="18">
        <v>23711.739999999998</v>
      </c>
      <c r="Q10" s="18">
        <v>9704.11</v>
      </c>
      <c r="R10" s="18">
        <v>9288</v>
      </c>
      <c r="S10" s="18">
        <f t="shared" si="2"/>
        <v>138330.85200000001</v>
      </c>
      <c r="T10" s="18">
        <v>0</v>
      </c>
      <c r="U10" s="18">
        <v>1164.67</v>
      </c>
      <c r="V10" s="18">
        <v>22128.7</v>
      </c>
      <c r="W10" s="18">
        <v>0</v>
      </c>
      <c r="X10" s="18">
        <v>9317.33</v>
      </c>
      <c r="Y10" s="18">
        <v>1164.67</v>
      </c>
      <c r="Z10" s="18">
        <v>3494</v>
      </c>
      <c r="AA10" s="53">
        <f t="shared" si="3"/>
        <v>37269.370000000003</v>
      </c>
      <c r="AB10" s="18">
        <v>131607</v>
      </c>
      <c r="AC10" s="18">
        <v>174700</v>
      </c>
      <c r="AD10" s="53">
        <f t="shared" si="4"/>
        <v>306307</v>
      </c>
      <c r="AE10" s="18">
        <v>118796</v>
      </c>
      <c r="AF10" s="18">
        <v>3.1363639999999999</v>
      </c>
      <c r="AG10" s="18">
        <v>104.04689999999999</v>
      </c>
      <c r="AH10" s="31">
        <f t="shared" si="34"/>
        <v>1163540.9155999999</v>
      </c>
      <c r="AI10" s="54">
        <f t="shared" si="35"/>
        <v>1457597.7328999999</v>
      </c>
      <c r="AJ10" s="8">
        <f t="shared" si="5"/>
        <v>118796</v>
      </c>
      <c r="AK10" s="8">
        <f t="shared" si="6"/>
        <v>434346.36159999995</v>
      </c>
      <c r="AL10" s="8">
        <f t="shared" si="36"/>
        <v>553142.36159999995</v>
      </c>
      <c r="AM10" s="8">
        <f t="shared" si="7"/>
        <v>170766.89437000002</v>
      </c>
      <c r="AN10" s="17">
        <f t="shared" si="8"/>
        <v>253486.17139999999</v>
      </c>
      <c r="AO10" s="17">
        <f t="shared" si="9"/>
        <v>47814.636229999996</v>
      </c>
      <c r="AP10" s="17">
        <f t="shared" si="10"/>
        <v>76044.37</v>
      </c>
      <c r="AQ10" s="17">
        <f t="shared" si="11"/>
        <v>62286.482000000004</v>
      </c>
      <c r="AR10" s="17">
        <f t="shared" si="12"/>
        <v>176933.889</v>
      </c>
      <c r="AS10" s="17">
        <f t="shared" si="13"/>
        <v>117122.9283</v>
      </c>
      <c r="AT10" s="26">
        <f t="shared" si="37"/>
        <v>0.30872141825486982</v>
      </c>
      <c r="AU10" s="26">
        <f t="shared" si="38"/>
        <v>8.1501224458991481E-2</v>
      </c>
      <c r="AV10" s="24">
        <v>200</v>
      </c>
      <c r="AW10" s="24">
        <v>350</v>
      </c>
      <c r="AX10" s="24">
        <v>17</v>
      </c>
      <c r="AY10" s="24">
        <v>200</v>
      </c>
      <c r="AZ10" s="24">
        <v>300</v>
      </c>
      <c r="BA10" s="24">
        <v>2.5</v>
      </c>
      <c r="BB10" s="26">
        <f t="shared" si="14"/>
        <v>0.11782379098842104</v>
      </c>
      <c r="BC10" s="26">
        <v>0.55000000000000004</v>
      </c>
      <c r="BD10" s="21">
        <f t="shared" si="15"/>
        <v>0.02</v>
      </c>
      <c r="BE10" s="22">
        <f t="shared" si="16"/>
        <v>8.8496052641576818E-3</v>
      </c>
      <c r="BF10" s="22">
        <f t="shared" si="17"/>
        <v>3.3246990921067143E-2</v>
      </c>
      <c r="BG10" s="28">
        <v>3.5000000000000003E-2</v>
      </c>
      <c r="BH10" s="28">
        <v>0.21129999999999999</v>
      </c>
      <c r="BI10" s="28">
        <v>0.04</v>
      </c>
      <c r="BJ10" s="22">
        <v>1.1000000000000001</v>
      </c>
      <c r="BK10" s="22">
        <f t="shared" si="18"/>
        <v>0.42834192417596756</v>
      </c>
      <c r="BL10" s="22">
        <v>0.95</v>
      </c>
      <c r="BM10" s="22">
        <v>0.52244999999999997</v>
      </c>
      <c r="BN10" s="22">
        <v>0.50700000000000001</v>
      </c>
      <c r="BO10" s="22">
        <v>0.11982480000000002</v>
      </c>
      <c r="BP10" s="22">
        <v>0.12960000000000002</v>
      </c>
      <c r="BQ10" s="35">
        <v>18.46</v>
      </c>
      <c r="BR10" s="24">
        <v>0</v>
      </c>
      <c r="BS10" s="24">
        <v>0</v>
      </c>
      <c r="BT10" s="24">
        <v>0.25</v>
      </c>
      <c r="BU10" s="24">
        <v>0.75</v>
      </c>
      <c r="BV10" s="24">
        <v>3.1363639999999999</v>
      </c>
      <c r="BW10" s="24">
        <v>104.04689999999999</v>
      </c>
      <c r="BX10" s="70">
        <f t="shared" si="39"/>
        <v>38766574.119020186</v>
      </c>
      <c r="BY10" s="24">
        <f t="shared" si="31"/>
        <v>200</v>
      </c>
      <c r="BZ10" s="24">
        <f t="shared" si="32"/>
        <v>350</v>
      </c>
      <c r="CA10" s="23">
        <f t="shared" si="21"/>
        <v>160</v>
      </c>
      <c r="CB10" s="23">
        <f t="shared" si="22"/>
        <v>280</v>
      </c>
      <c r="CC10" s="24">
        <f t="shared" si="23"/>
        <v>185.79207347553498</v>
      </c>
      <c r="CD10" s="25">
        <f t="shared" si="24"/>
        <v>346.27344958877092</v>
      </c>
      <c r="CE10" s="24">
        <f t="shared" si="40"/>
        <v>0.20054794520547944</v>
      </c>
      <c r="CF10" s="26">
        <f t="shared" si="33"/>
        <v>0.36493150684931508</v>
      </c>
      <c r="CG10" s="26">
        <f t="shared" si="27"/>
        <v>0.20054794520547944</v>
      </c>
      <c r="CH10" s="26">
        <f t="shared" si="28"/>
        <v>0.36493150684931508</v>
      </c>
      <c r="CI10" s="26">
        <f t="shared" si="29"/>
        <v>0.20054794520547944</v>
      </c>
      <c r="CJ10" s="26">
        <f t="shared" si="30"/>
        <v>0.36493150684931508</v>
      </c>
    </row>
    <row r="11" spans="1:88">
      <c r="A11" s="19">
        <v>7</v>
      </c>
      <c r="B11" s="3" t="s">
        <v>264</v>
      </c>
      <c r="C11" s="3" t="s">
        <v>79</v>
      </c>
      <c r="D11" s="8">
        <v>0</v>
      </c>
      <c r="E11" s="8">
        <v>10416.046200000001</v>
      </c>
      <c r="F11" s="8">
        <v>28558.012269999999</v>
      </c>
      <c r="G11" s="8">
        <v>0</v>
      </c>
      <c r="H11" s="8">
        <v>9820.1293029999997</v>
      </c>
      <c r="I11" s="8">
        <v>8330.8370209999994</v>
      </c>
      <c r="J11" s="8">
        <v>7143.0031280000003</v>
      </c>
      <c r="K11" s="8">
        <f t="shared" si="1"/>
        <v>64268.027922000008</v>
      </c>
      <c r="L11" s="18">
        <v>0</v>
      </c>
      <c r="M11" s="18">
        <v>892.55681800000002</v>
      </c>
      <c r="N11" s="18">
        <v>793.22299999999996</v>
      </c>
      <c r="O11" s="18">
        <v>0.5</v>
      </c>
      <c r="P11" s="18">
        <v>446.18799999999999</v>
      </c>
      <c r="Q11" s="18">
        <v>446.18799999999999</v>
      </c>
      <c r="R11" s="18">
        <v>148.72900000000001</v>
      </c>
      <c r="S11" s="18">
        <f t="shared" si="2"/>
        <v>2727.384818</v>
      </c>
      <c r="T11" s="18">
        <v>0</v>
      </c>
      <c r="U11" s="18">
        <v>148.72900000000001</v>
      </c>
      <c r="V11" s="18">
        <v>1784.75</v>
      </c>
      <c r="W11" s="18">
        <v>0</v>
      </c>
      <c r="X11" s="18">
        <v>148.72900000000001</v>
      </c>
      <c r="Y11" s="18">
        <v>743.64599999999996</v>
      </c>
      <c r="Z11" s="18">
        <v>0</v>
      </c>
      <c r="AA11" s="53">
        <f t="shared" si="3"/>
        <v>2825.8540000000003</v>
      </c>
      <c r="AB11" s="18">
        <v>8923.75</v>
      </c>
      <c r="AC11" s="18">
        <v>7287.73</v>
      </c>
      <c r="AD11" s="53">
        <f t="shared" si="4"/>
        <v>16211.48</v>
      </c>
      <c r="AE11" s="18">
        <v>13831.8</v>
      </c>
      <c r="AF11" s="18">
        <v>2.883721</v>
      </c>
      <c r="AG11" s="18">
        <v>104.3214</v>
      </c>
      <c r="AH11" s="31">
        <f t="shared" si="34"/>
        <v>53603.780590999995</v>
      </c>
      <c r="AI11" s="54">
        <f t="shared" si="35"/>
        <v>69821.266739999992</v>
      </c>
      <c r="AJ11" s="8">
        <f t="shared" si="5"/>
        <v>13831.8</v>
      </c>
      <c r="AK11" s="8">
        <f t="shared" si="6"/>
        <v>16510.96227</v>
      </c>
      <c r="AL11" s="8">
        <f t="shared" si="36"/>
        <v>30342.762269999999</v>
      </c>
      <c r="AM11" s="8">
        <f t="shared" si="7"/>
        <v>10564.7752</v>
      </c>
      <c r="AN11" s="17">
        <f t="shared" si="8"/>
        <v>9968.8583029999991</v>
      </c>
      <c r="AO11" s="17">
        <f t="shared" si="9"/>
        <v>0</v>
      </c>
      <c r="AP11" s="17">
        <f t="shared" si="10"/>
        <v>1388.14</v>
      </c>
      <c r="AQ11" s="17">
        <f t="shared" si="11"/>
        <v>1339.2448180000001</v>
      </c>
      <c r="AR11" s="17">
        <f t="shared" si="12"/>
        <v>7143.0031280000003</v>
      </c>
      <c r="AS11" s="17">
        <f t="shared" si="13"/>
        <v>9074.483021</v>
      </c>
      <c r="AT11" s="26">
        <f t="shared" si="37"/>
        <v>0.34818106229060869</v>
      </c>
      <c r="AU11" s="26">
        <f t="shared" si="38"/>
        <v>0.19810296555499018</v>
      </c>
      <c r="AV11" s="24">
        <v>200</v>
      </c>
      <c r="AW11" s="24">
        <v>350</v>
      </c>
      <c r="AX11" s="24">
        <v>17</v>
      </c>
      <c r="AY11" s="24">
        <v>200</v>
      </c>
      <c r="AZ11" s="24">
        <v>300</v>
      </c>
      <c r="BA11" s="24">
        <v>2.5</v>
      </c>
      <c r="BB11" s="26">
        <f t="shared" si="14"/>
        <v>8.4961711035413917E-2</v>
      </c>
      <c r="BC11" s="26">
        <v>0.55000000000000004</v>
      </c>
      <c r="BD11" s="21">
        <f t="shared" si="15"/>
        <v>0</v>
      </c>
      <c r="BE11" s="22">
        <f t="shared" si="16"/>
        <v>8.3333352010085446E-2</v>
      </c>
      <c r="BF11" s="22">
        <f t="shared" si="17"/>
        <v>4.9609383161578653E-2</v>
      </c>
      <c r="BG11" s="28">
        <v>3.5000000000000003E-2</v>
      </c>
      <c r="BH11" s="28">
        <v>0.21129999999999999</v>
      </c>
      <c r="BI11" s="28">
        <v>0.04</v>
      </c>
      <c r="BJ11" s="22">
        <v>1.1000000000000001</v>
      </c>
      <c r="BK11" s="22">
        <f t="shared" si="18"/>
        <v>0</v>
      </c>
      <c r="BL11" s="22">
        <v>0.95</v>
      </c>
      <c r="BM11" s="22">
        <v>0.52244999999999997</v>
      </c>
      <c r="BN11" s="22">
        <v>0.50700000000000001</v>
      </c>
      <c r="BO11" s="22">
        <v>0.11982480000000002</v>
      </c>
      <c r="BP11" s="22">
        <v>0.12960000000000002</v>
      </c>
      <c r="BQ11" s="35">
        <v>18.46</v>
      </c>
      <c r="BR11" s="24">
        <v>0</v>
      </c>
      <c r="BS11" s="24">
        <v>0</v>
      </c>
      <c r="BT11" s="24">
        <v>0.25</v>
      </c>
      <c r="BU11" s="24">
        <v>0.75</v>
      </c>
      <c r="BV11" s="24">
        <v>2.883721</v>
      </c>
      <c r="BW11" s="24">
        <v>104.3214</v>
      </c>
      <c r="BX11" s="70">
        <f t="shared" si="39"/>
        <v>4161073.1198450746</v>
      </c>
      <c r="BY11" s="24">
        <f t="shared" si="31"/>
        <v>200</v>
      </c>
      <c r="BZ11" s="24">
        <f t="shared" si="32"/>
        <v>350</v>
      </c>
      <c r="CA11" s="23">
        <f t="shared" si="21"/>
        <v>160</v>
      </c>
      <c r="CB11" s="23">
        <f t="shared" si="22"/>
        <v>280</v>
      </c>
      <c r="CC11" s="24">
        <f t="shared" si="23"/>
        <v>185.59999870906421</v>
      </c>
      <c r="CD11" s="25">
        <f t="shared" si="24"/>
        <v>349.96080876457739</v>
      </c>
      <c r="CE11" s="24">
        <f t="shared" si="40"/>
        <v>0.20054794520547944</v>
      </c>
      <c r="CF11" s="26">
        <f t="shared" si="33"/>
        <v>0.36493150684931508</v>
      </c>
      <c r="CG11" s="26">
        <f t="shared" si="27"/>
        <v>0.20054794520547944</v>
      </c>
      <c r="CH11" s="26">
        <f t="shared" si="28"/>
        <v>0.36493150684931508</v>
      </c>
      <c r="CI11" s="26">
        <f t="shared" si="29"/>
        <v>0.20054794520547944</v>
      </c>
      <c r="CJ11" s="26">
        <f t="shared" si="30"/>
        <v>0.36493150684931508</v>
      </c>
    </row>
    <row r="12" spans="1:88">
      <c r="A12" s="19">
        <v>8</v>
      </c>
      <c r="B12" s="3" t="s">
        <v>265</v>
      </c>
      <c r="C12" s="3" t="s">
        <v>79</v>
      </c>
      <c r="D12" s="8">
        <v>87.008476259999995</v>
      </c>
      <c r="E12" s="8">
        <v>7397.7204359999996</v>
      </c>
      <c r="F12" s="8">
        <v>12182.186540000001</v>
      </c>
      <c r="G12" s="8">
        <v>1131.1101759999999</v>
      </c>
      <c r="H12" s="8">
        <v>8613.8389970000007</v>
      </c>
      <c r="I12" s="8">
        <v>4263.4153210000004</v>
      </c>
      <c r="J12" s="8">
        <v>6091.5932769999999</v>
      </c>
      <c r="K12" s="8">
        <f t="shared" si="1"/>
        <v>39766.873223260001</v>
      </c>
      <c r="L12" s="18">
        <v>1</v>
      </c>
      <c r="M12" s="18">
        <v>1548.75</v>
      </c>
      <c r="N12" s="18">
        <v>261.02499999999998</v>
      </c>
      <c r="O12" s="18">
        <v>0</v>
      </c>
      <c r="P12" s="18">
        <v>239.273</v>
      </c>
      <c r="Q12" s="18">
        <v>87.008499999999998</v>
      </c>
      <c r="R12" s="18">
        <v>261.02499999999998</v>
      </c>
      <c r="S12" s="18">
        <f t="shared" si="2"/>
        <v>2398.0815000000002</v>
      </c>
      <c r="T12" s="18">
        <v>0</v>
      </c>
      <c r="U12" s="18">
        <v>696.06799999999998</v>
      </c>
      <c r="V12" s="18">
        <v>261.02499999999998</v>
      </c>
      <c r="W12" s="18">
        <v>0</v>
      </c>
      <c r="X12" s="18">
        <v>0</v>
      </c>
      <c r="Y12" s="18">
        <v>87.008499999999998</v>
      </c>
      <c r="Z12" s="18">
        <v>348.03399999999999</v>
      </c>
      <c r="AA12" s="53">
        <f t="shared" si="3"/>
        <v>1392.1354999999999</v>
      </c>
      <c r="AB12" s="18">
        <v>4350.42</v>
      </c>
      <c r="AC12" s="18">
        <v>6090.59</v>
      </c>
      <c r="AD12" s="53">
        <f t="shared" si="4"/>
        <v>10441.01</v>
      </c>
      <c r="AE12" s="18">
        <v>3784.87</v>
      </c>
      <c r="AF12" s="18">
        <v>3.110465</v>
      </c>
      <c r="AG12" s="18">
        <v>103.9186</v>
      </c>
      <c r="AH12" s="31">
        <f t="shared" si="34"/>
        <v>32767.039125259998</v>
      </c>
      <c r="AI12" s="54">
        <f t="shared" si="35"/>
        <v>43557.090223260006</v>
      </c>
      <c r="AJ12" s="8">
        <f t="shared" si="5"/>
        <v>3784.87</v>
      </c>
      <c r="AK12" s="8">
        <f t="shared" si="6"/>
        <v>8658.3415400000013</v>
      </c>
      <c r="AL12" s="8">
        <f t="shared" si="36"/>
        <v>12443.21154</v>
      </c>
      <c r="AM12" s="8">
        <f t="shared" si="7"/>
        <v>8180.7969122599998</v>
      </c>
      <c r="AN12" s="17">
        <f t="shared" si="8"/>
        <v>8613.8389970000007</v>
      </c>
      <c r="AO12" s="17">
        <f t="shared" si="9"/>
        <v>1131.1101759999999</v>
      </c>
      <c r="AP12" s="17">
        <f t="shared" si="10"/>
        <v>761.32299999999998</v>
      </c>
      <c r="AQ12" s="17">
        <f t="shared" si="11"/>
        <v>1636.7584999999999</v>
      </c>
      <c r="AR12" s="17">
        <f t="shared" si="12"/>
        <v>6439.6272769999996</v>
      </c>
      <c r="AS12" s="17">
        <f t="shared" si="13"/>
        <v>4350.4238210000003</v>
      </c>
      <c r="AT12" s="26">
        <f t="shared" si="37"/>
        <v>0.65745060155587454</v>
      </c>
      <c r="AU12" s="26">
        <f t="shared" si="38"/>
        <v>8.6894463808301736E-2</v>
      </c>
      <c r="AV12" s="24">
        <v>200</v>
      </c>
      <c r="AW12" s="24">
        <v>350</v>
      </c>
      <c r="AX12" s="24">
        <v>17</v>
      </c>
      <c r="AY12" s="24">
        <v>200</v>
      </c>
      <c r="AZ12" s="24">
        <v>300</v>
      </c>
      <c r="BA12" s="24">
        <v>2.5</v>
      </c>
      <c r="BB12" s="26">
        <f t="shared" si="14"/>
        <v>0.05</v>
      </c>
      <c r="BC12" s="26">
        <v>0.55000000000000004</v>
      </c>
      <c r="BD12" s="21">
        <f t="shared" si="15"/>
        <v>5.7142904053630268E-2</v>
      </c>
      <c r="BE12" s="22">
        <f t="shared" si="16"/>
        <v>2.0000022986286382E-2</v>
      </c>
      <c r="BF12" s="22">
        <f t="shared" si="17"/>
        <v>4.8665130143223184E-2</v>
      </c>
      <c r="BG12" s="28">
        <v>3.5000000000000003E-2</v>
      </c>
      <c r="BH12" s="28">
        <v>0.21129999999999999</v>
      </c>
      <c r="BI12" s="28">
        <v>0.04</v>
      </c>
      <c r="BJ12" s="22">
        <v>1.1000000000000001</v>
      </c>
      <c r="BK12" s="22">
        <f t="shared" si="18"/>
        <v>1.0635696887867531E-2</v>
      </c>
      <c r="BL12" s="22">
        <v>0.95</v>
      </c>
      <c r="BM12" s="22">
        <v>0.52244999999999997</v>
      </c>
      <c r="BN12" s="22">
        <v>0.50700000000000001</v>
      </c>
      <c r="BO12" s="22">
        <v>0.11982480000000002</v>
      </c>
      <c r="BP12" s="22">
        <v>0.12960000000000002</v>
      </c>
      <c r="BQ12" s="35">
        <v>18.46</v>
      </c>
      <c r="BR12" s="24">
        <v>0</v>
      </c>
      <c r="BS12" s="24">
        <v>0</v>
      </c>
      <c r="BT12" s="24">
        <v>0.25</v>
      </c>
      <c r="BU12" s="24">
        <v>0.75</v>
      </c>
      <c r="BV12" s="24">
        <v>3.110465</v>
      </c>
      <c r="BW12" s="24">
        <v>103.9186</v>
      </c>
      <c r="BX12" s="70">
        <f t="shared" si="39"/>
        <v>1223403.0908721057</v>
      </c>
      <c r="BY12" s="24">
        <f t="shared" si="31"/>
        <v>200</v>
      </c>
      <c r="BZ12" s="24">
        <f t="shared" si="32"/>
        <v>350</v>
      </c>
      <c r="CA12" s="23">
        <f t="shared" si="21"/>
        <v>160</v>
      </c>
      <c r="CB12" s="23">
        <f t="shared" si="22"/>
        <v>280</v>
      </c>
      <c r="CC12" s="24">
        <f t="shared" si="23"/>
        <v>180.86956174120223</v>
      </c>
      <c r="CD12" s="25">
        <f t="shared" si="24"/>
        <v>350</v>
      </c>
      <c r="CE12" s="24">
        <f t="shared" si="40"/>
        <v>0.20054794520547944</v>
      </c>
      <c r="CF12" s="26">
        <f t="shared" si="33"/>
        <v>0.36493150684931508</v>
      </c>
      <c r="CG12" s="26">
        <f t="shared" si="27"/>
        <v>0.20054794520547944</v>
      </c>
      <c r="CH12" s="26">
        <f t="shared" si="28"/>
        <v>0.36493150684931508</v>
      </c>
      <c r="CI12" s="26">
        <f t="shared" si="29"/>
        <v>0.20054794520547944</v>
      </c>
      <c r="CJ12" s="26">
        <f t="shared" si="30"/>
        <v>0.36493150684931508</v>
      </c>
    </row>
    <row r="13" spans="1:88">
      <c r="A13" s="19">
        <v>9</v>
      </c>
      <c r="B13" s="3" t="s">
        <v>266</v>
      </c>
      <c r="C13" s="3" t="s">
        <v>79</v>
      </c>
      <c r="D13" s="8">
        <v>106027.1465</v>
      </c>
      <c r="E13" s="8">
        <v>37556.613819999999</v>
      </c>
      <c r="F13" s="8">
        <v>186366.3897</v>
      </c>
      <c r="G13" s="8">
        <v>65436.805659999998</v>
      </c>
      <c r="H13" s="8">
        <v>110318.5583</v>
      </c>
      <c r="I13" s="8">
        <v>62239.076399999998</v>
      </c>
      <c r="J13" s="8">
        <v>70452.897110000005</v>
      </c>
      <c r="K13" s="8">
        <f t="shared" si="1"/>
        <v>638397.48749000009</v>
      </c>
      <c r="L13" s="18">
        <v>9330.6789000000008</v>
      </c>
      <c r="M13" s="18">
        <v>1305.6549</v>
      </c>
      <c r="N13" s="18">
        <v>17641.793000000001</v>
      </c>
      <c r="O13" s="18">
        <v>8882.8017</v>
      </c>
      <c r="P13" s="18">
        <v>8081.4467999999997</v>
      </c>
      <c r="Q13" s="18">
        <v>2131.1368000000002</v>
      </c>
      <c r="R13" s="18">
        <v>242.107</v>
      </c>
      <c r="S13" s="18">
        <f t="shared" si="2"/>
        <v>47615.619100000004</v>
      </c>
      <c r="T13" s="18">
        <v>3500.65</v>
      </c>
      <c r="U13" s="18">
        <v>1441.44</v>
      </c>
      <c r="V13" s="18">
        <v>3500.65</v>
      </c>
      <c r="W13" s="18">
        <v>823.68200000000002</v>
      </c>
      <c r="X13" s="18">
        <v>1853.28</v>
      </c>
      <c r="Y13" s="18">
        <v>1235.52</v>
      </c>
      <c r="Z13" s="18">
        <v>617.76199999999994</v>
      </c>
      <c r="AA13" s="53">
        <f t="shared" si="3"/>
        <v>12972.984000000002</v>
      </c>
      <c r="AB13" s="18">
        <v>63011.7</v>
      </c>
      <c r="AC13" s="18">
        <v>70424.800000000003</v>
      </c>
      <c r="AD13" s="53">
        <f t="shared" si="4"/>
        <v>133436.5</v>
      </c>
      <c r="AE13" s="18">
        <v>51686.1</v>
      </c>
      <c r="AF13" s="18">
        <v>3.086957</v>
      </c>
      <c r="AG13" s="18">
        <v>104.9318</v>
      </c>
      <c r="AH13" s="31">
        <f t="shared" si="34"/>
        <v>564440.83507999999</v>
      </c>
      <c r="AI13" s="54">
        <f t="shared" si="35"/>
        <v>698986.09059000004</v>
      </c>
      <c r="AJ13" s="8">
        <f t="shared" si="5"/>
        <v>51686.1</v>
      </c>
      <c r="AK13" s="8">
        <f t="shared" si="6"/>
        <v>138180.93969999999</v>
      </c>
      <c r="AL13" s="8">
        <f t="shared" si="36"/>
        <v>189867.03969999999</v>
      </c>
      <c r="AM13" s="8">
        <f t="shared" si="7"/>
        <v>148525.85032</v>
      </c>
      <c r="AN13" s="17">
        <f t="shared" si="8"/>
        <v>112171.8383</v>
      </c>
      <c r="AO13" s="17">
        <f t="shared" si="9"/>
        <v>66260.487659999999</v>
      </c>
      <c r="AP13" s="17">
        <f t="shared" si="10"/>
        <v>25965.346800000003</v>
      </c>
      <c r="AQ13" s="17">
        <f t="shared" si="11"/>
        <v>21650.272300000001</v>
      </c>
      <c r="AR13" s="17">
        <f t="shared" si="12"/>
        <v>71070.659110000008</v>
      </c>
      <c r="AS13" s="17">
        <f t="shared" si="13"/>
        <v>63474.596399999995</v>
      </c>
      <c r="AT13" s="26">
        <f t="shared" si="37"/>
        <v>0.78226242192788553</v>
      </c>
      <c r="AU13" s="26">
        <f t="shared" si="38"/>
        <v>7.3944389875301816E-2</v>
      </c>
      <c r="AV13" s="24">
        <v>200</v>
      </c>
      <c r="AW13" s="24">
        <v>350</v>
      </c>
      <c r="AX13" s="24">
        <v>17</v>
      </c>
      <c r="AY13" s="24">
        <v>200</v>
      </c>
      <c r="AZ13" s="24">
        <v>300</v>
      </c>
      <c r="BA13" s="24">
        <v>2.5</v>
      </c>
      <c r="BB13" s="26">
        <f t="shared" si="14"/>
        <v>0.11135394028055731</v>
      </c>
      <c r="BC13" s="26">
        <v>0.55000000000000004</v>
      </c>
      <c r="BD13" s="21">
        <f t="shared" si="15"/>
        <v>8.7719382944644493E-3</v>
      </c>
      <c r="BE13" s="22">
        <f t="shared" si="16"/>
        <v>1.9607787125248168E-2</v>
      </c>
      <c r="BF13" s="22">
        <f t="shared" si="17"/>
        <v>2.558792593210896E-2</v>
      </c>
      <c r="BG13" s="28">
        <v>3.5000000000000003E-2</v>
      </c>
      <c r="BH13" s="28">
        <v>0.21129999999999999</v>
      </c>
      <c r="BI13" s="28">
        <v>0.04</v>
      </c>
      <c r="BJ13" s="22">
        <v>1.1000000000000001</v>
      </c>
      <c r="BK13" s="22">
        <f t="shared" si="18"/>
        <v>0.7374325497145553</v>
      </c>
      <c r="BL13" s="22">
        <v>0.95</v>
      </c>
      <c r="BM13" s="22">
        <v>0.52244999999999997</v>
      </c>
      <c r="BN13" s="22">
        <v>0.50700000000000001</v>
      </c>
      <c r="BO13" s="22">
        <v>0.11982480000000002</v>
      </c>
      <c r="BP13" s="22">
        <v>0.12960000000000002</v>
      </c>
      <c r="BQ13" s="35">
        <v>18.46</v>
      </c>
      <c r="BR13" s="24">
        <v>0</v>
      </c>
      <c r="BS13" s="24">
        <v>0</v>
      </c>
      <c r="BT13" s="24">
        <v>0.25</v>
      </c>
      <c r="BU13" s="24">
        <v>0.75</v>
      </c>
      <c r="BV13" s="24">
        <v>3.086957</v>
      </c>
      <c r="BW13" s="24">
        <v>104.9318</v>
      </c>
      <c r="BX13" s="70">
        <f t="shared" si="39"/>
        <v>16742159.161967417</v>
      </c>
      <c r="BY13" s="24">
        <f t="shared" si="31"/>
        <v>200</v>
      </c>
      <c r="BZ13" s="24">
        <f t="shared" si="32"/>
        <v>350</v>
      </c>
      <c r="CA13" s="23">
        <f t="shared" si="21"/>
        <v>160</v>
      </c>
      <c r="CB13" s="23">
        <f t="shared" si="22"/>
        <v>280</v>
      </c>
      <c r="CC13" s="24">
        <f t="shared" si="23"/>
        <v>187.43323646191718</v>
      </c>
      <c r="CD13" s="25">
        <f t="shared" si="24"/>
        <v>318.1442798017361</v>
      </c>
      <c r="CE13" s="24">
        <f t="shared" si="40"/>
        <v>0.20054794520547944</v>
      </c>
      <c r="CF13" s="26">
        <f t="shared" si="33"/>
        <v>0.36493150684931508</v>
      </c>
      <c r="CG13" s="26">
        <f t="shared" si="27"/>
        <v>0.20054794520547944</v>
      </c>
      <c r="CH13" s="26">
        <f t="shared" si="28"/>
        <v>0.36493150684931508</v>
      </c>
      <c r="CI13" s="26">
        <f t="shared" si="29"/>
        <v>0.20054794520547944</v>
      </c>
      <c r="CJ13" s="26">
        <f t="shared" si="30"/>
        <v>0.36493150684931508</v>
      </c>
    </row>
    <row r="14" spans="1:88">
      <c r="A14" s="19">
        <v>10</v>
      </c>
      <c r="B14" s="3" t="s">
        <v>267</v>
      </c>
      <c r="C14" s="3" t="s">
        <v>79</v>
      </c>
      <c r="D14" s="8">
        <v>38158.964050000002</v>
      </c>
      <c r="E14" s="8">
        <v>65555.144100000005</v>
      </c>
      <c r="F14" s="8">
        <v>194708.5606</v>
      </c>
      <c r="G14" s="8">
        <v>32288.354429999999</v>
      </c>
      <c r="H14" s="8">
        <v>101757.2386</v>
      </c>
      <c r="I14" s="8">
        <v>63598.273990000002</v>
      </c>
      <c r="J14" s="8">
        <v>84145.40857</v>
      </c>
      <c r="K14" s="8">
        <f t="shared" si="1"/>
        <v>580211.94434000005</v>
      </c>
      <c r="L14" s="18">
        <v>31309.9</v>
      </c>
      <c r="M14" s="18">
        <v>16633.400000000001</v>
      </c>
      <c r="N14" s="18">
        <v>45008</v>
      </c>
      <c r="O14" s="18">
        <v>3913.74</v>
      </c>
      <c r="P14" s="18">
        <v>978.43499999999995</v>
      </c>
      <c r="Q14" s="18">
        <v>1956.87</v>
      </c>
      <c r="R14" s="18">
        <v>2935.3</v>
      </c>
      <c r="S14" s="18">
        <f t="shared" si="2"/>
        <v>102735.645</v>
      </c>
      <c r="T14" s="18">
        <v>0</v>
      </c>
      <c r="U14" s="18">
        <v>1956.87</v>
      </c>
      <c r="V14" s="18">
        <v>4892.17</v>
      </c>
      <c r="W14" s="18">
        <v>0</v>
      </c>
      <c r="X14" s="18">
        <v>0</v>
      </c>
      <c r="Y14" s="18">
        <v>1956.87</v>
      </c>
      <c r="Z14" s="18">
        <v>978.43499999999995</v>
      </c>
      <c r="AA14" s="53">
        <f t="shared" si="3"/>
        <v>9784.3449999999993</v>
      </c>
      <c r="AB14" s="18">
        <v>65555.100000000006</v>
      </c>
      <c r="AC14" s="18">
        <v>86102.3</v>
      </c>
      <c r="AD14" s="53">
        <f t="shared" si="4"/>
        <v>151657.40000000002</v>
      </c>
      <c r="AE14" s="18">
        <v>90016</v>
      </c>
      <c r="AF14" s="18">
        <v>2.8250000000000002</v>
      </c>
      <c r="AG14" s="18">
        <v>112.35</v>
      </c>
      <c r="AH14" s="31">
        <f t="shared" si="34"/>
        <v>542052.94678</v>
      </c>
      <c r="AI14" s="54">
        <f t="shared" si="35"/>
        <v>692731.93434000004</v>
      </c>
      <c r="AJ14" s="8">
        <f t="shared" si="5"/>
        <v>90016</v>
      </c>
      <c r="AK14" s="8">
        <f t="shared" si="6"/>
        <v>109584.73060000001</v>
      </c>
      <c r="AL14" s="8">
        <f t="shared" si="36"/>
        <v>199600.73060000001</v>
      </c>
      <c r="AM14" s="8">
        <f t="shared" si="7"/>
        <v>105670.97815000001</v>
      </c>
      <c r="AN14" s="17">
        <f t="shared" si="8"/>
        <v>101757.2386</v>
      </c>
      <c r="AO14" s="17">
        <f t="shared" si="9"/>
        <v>32288.354429999999</v>
      </c>
      <c r="AP14" s="17">
        <f t="shared" si="10"/>
        <v>48921.735000000001</v>
      </c>
      <c r="AQ14" s="17">
        <f t="shared" si="11"/>
        <v>53813.91</v>
      </c>
      <c r="AR14" s="17">
        <f t="shared" si="12"/>
        <v>85123.843569999997</v>
      </c>
      <c r="AS14" s="17">
        <f t="shared" si="13"/>
        <v>65555.143989999997</v>
      </c>
      <c r="AT14" s="26">
        <f t="shared" si="37"/>
        <v>0.52941178036950531</v>
      </c>
      <c r="AU14" s="26">
        <f t="shared" si="38"/>
        <v>0.12994348251862056</v>
      </c>
      <c r="AV14" s="24">
        <v>200</v>
      </c>
      <c r="AW14" s="24">
        <v>350</v>
      </c>
      <c r="AX14" s="24">
        <v>17</v>
      </c>
      <c r="AY14" s="24">
        <v>200</v>
      </c>
      <c r="AZ14" s="24">
        <v>300</v>
      </c>
      <c r="BA14" s="24">
        <v>2.5</v>
      </c>
      <c r="BB14" s="26">
        <f t="shared" si="14"/>
        <v>0.24999993662347844</v>
      </c>
      <c r="BC14" s="26">
        <v>0.55000000000000004</v>
      </c>
      <c r="BD14" s="21">
        <f t="shared" si="15"/>
        <v>1.1363633724070088E-2</v>
      </c>
      <c r="BE14" s="22">
        <f t="shared" si="16"/>
        <v>2.9850766759565613E-2</v>
      </c>
      <c r="BF14" s="22">
        <f t="shared" si="17"/>
        <v>2.295080339804112E-2</v>
      </c>
      <c r="BG14" s="28">
        <v>3.5000000000000003E-2</v>
      </c>
      <c r="BH14" s="28">
        <v>0.21129999999999999</v>
      </c>
      <c r="BI14" s="28">
        <v>0.04</v>
      </c>
      <c r="BJ14" s="22">
        <v>1.1000000000000001</v>
      </c>
      <c r="BK14" s="22">
        <f t="shared" si="18"/>
        <v>0.361111108442976</v>
      </c>
      <c r="BL14" s="22">
        <v>0.95</v>
      </c>
      <c r="BM14" s="22">
        <v>0.52244999999999997</v>
      </c>
      <c r="BN14" s="22">
        <v>0.50700000000000001</v>
      </c>
      <c r="BO14" s="22">
        <v>0.11982480000000002</v>
      </c>
      <c r="BP14" s="22">
        <v>0.12960000000000002</v>
      </c>
      <c r="BQ14" s="35">
        <v>18.46</v>
      </c>
      <c r="BR14" s="24">
        <v>0</v>
      </c>
      <c r="BS14" s="24">
        <v>0</v>
      </c>
      <c r="BT14" s="24">
        <v>0.25</v>
      </c>
      <c r="BU14" s="24">
        <v>0.75</v>
      </c>
      <c r="BV14" s="24">
        <v>2.8250000000000002</v>
      </c>
      <c r="BW14" s="24">
        <v>112.35</v>
      </c>
      <c r="BX14" s="70">
        <f t="shared" si="39"/>
        <v>28570065.720000003</v>
      </c>
      <c r="BY14" s="24">
        <f t="shared" si="31"/>
        <v>200</v>
      </c>
      <c r="BZ14" s="24">
        <f t="shared" si="32"/>
        <v>350</v>
      </c>
      <c r="CA14" s="23">
        <f t="shared" si="21"/>
        <v>160</v>
      </c>
      <c r="CB14" s="23">
        <f t="shared" si="22"/>
        <v>280</v>
      </c>
      <c r="CC14" s="24">
        <f t="shared" si="23"/>
        <v>199.14893598514431</v>
      </c>
      <c r="CD14" s="25">
        <f t="shared" si="24"/>
        <v>344.71697960392646</v>
      </c>
      <c r="CE14" s="24">
        <f t="shared" si="40"/>
        <v>0.20054794520547944</v>
      </c>
      <c r="CF14" s="26">
        <f t="shared" si="33"/>
        <v>0.36493150684931508</v>
      </c>
      <c r="CG14" s="26">
        <f t="shared" si="27"/>
        <v>0.20054794520547944</v>
      </c>
      <c r="CH14" s="26">
        <f t="shared" si="28"/>
        <v>0.36493150684931508</v>
      </c>
      <c r="CI14" s="26">
        <f t="shared" si="29"/>
        <v>0.20054794520547944</v>
      </c>
      <c r="CJ14" s="26">
        <f t="shared" si="30"/>
        <v>0.36493150684931508</v>
      </c>
    </row>
    <row r="15" spans="1:88">
      <c r="A15" s="19">
        <v>11</v>
      </c>
      <c r="B15" s="3" t="s">
        <v>268</v>
      </c>
      <c r="C15" s="3" t="s">
        <v>79</v>
      </c>
      <c r="D15" s="8">
        <v>41126.884660000003</v>
      </c>
      <c r="E15" s="8">
        <v>76005.060960000003</v>
      </c>
      <c r="F15" s="8">
        <v>286371.6103</v>
      </c>
      <c r="G15" s="8">
        <v>23098.05402</v>
      </c>
      <c r="H15" s="8">
        <v>135095.77540000001</v>
      </c>
      <c r="I15" s="8">
        <v>106411.3043</v>
      </c>
      <c r="J15" s="8">
        <v>103526.0494</v>
      </c>
      <c r="K15" s="8">
        <f t="shared" si="1"/>
        <v>771634.73904000001</v>
      </c>
      <c r="L15" s="18">
        <v>23764.3</v>
      </c>
      <c r="M15" s="18">
        <v>22442.2</v>
      </c>
      <c r="N15" s="18">
        <v>58415.865120000002</v>
      </c>
      <c r="O15" s="18">
        <v>37312.199999999997</v>
      </c>
      <c r="P15" s="18">
        <v>60858.047919999997</v>
      </c>
      <c r="Q15" s="18">
        <v>29750.442859999999</v>
      </c>
      <c r="R15" s="18">
        <v>25098.677780000002</v>
      </c>
      <c r="S15" s="18">
        <f t="shared" si="2"/>
        <v>257641.73367999998</v>
      </c>
      <c r="T15" s="18">
        <v>46862.400000000001</v>
      </c>
      <c r="U15" s="18">
        <v>3997.74</v>
      </c>
      <c r="V15" s="18">
        <v>17250.2</v>
      </c>
      <c r="W15" s="18">
        <v>222.09700000000001</v>
      </c>
      <c r="X15" s="18">
        <v>5552.42</v>
      </c>
      <c r="Y15" s="18">
        <v>2443.06</v>
      </c>
      <c r="Z15" s="18">
        <v>2591.13</v>
      </c>
      <c r="AA15" s="53">
        <f t="shared" si="3"/>
        <v>78919.046999999991</v>
      </c>
      <c r="AB15" s="18">
        <v>108383</v>
      </c>
      <c r="AC15" s="18">
        <v>105496</v>
      </c>
      <c r="AD15" s="53">
        <f t="shared" si="4"/>
        <v>213879</v>
      </c>
      <c r="AE15" s="18">
        <v>112825</v>
      </c>
      <c r="AF15" s="18">
        <v>2.9189189999999998</v>
      </c>
      <c r="AG15" s="18">
        <v>102.86060000000001</v>
      </c>
      <c r="AH15" s="31">
        <f t="shared" si="34"/>
        <v>893223.97602000018</v>
      </c>
      <c r="AI15" s="54">
        <f t="shared" si="35"/>
        <v>1108195.5197200002</v>
      </c>
      <c r="AJ15" s="8">
        <f t="shared" si="5"/>
        <v>112825</v>
      </c>
      <c r="AK15" s="8">
        <f t="shared" si="6"/>
        <v>190796.81030000001</v>
      </c>
      <c r="AL15" s="8">
        <f t="shared" si="36"/>
        <v>303621.81030000001</v>
      </c>
      <c r="AM15" s="8">
        <f t="shared" si="7"/>
        <v>167992.08562</v>
      </c>
      <c r="AN15" s="17">
        <f t="shared" si="8"/>
        <v>140648.19540000003</v>
      </c>
      <c r="AO15" s="17">
        <f t="shared" si="9"/>
        <v>23320.151020000001</v>
      </c>
      <c r="AP15" s="17">
        <f t="shared" si="10"/>
        <v>144372.59082000001</v>
      </c>
      <c r="AQ15" s="17">
        <f t="shared" si="11"/>
        <v>113269.14285999999</v>
      </c>
      <c r="AR15" s="17">
        <f t="shared" si="12"/>
        <v>106117.17940000001</v>
      </c>
      <c r="AS15" s="17">
        <f t="shared" si="13"/>
        <v>108854.3643</v>
      </c>
      <c r="AT15" s="26">
        <f t="shared" si="37"/>
        <v>0.55329386730818786</v>
      </c>
      <c r="AU15" s="26">
        <f t="shared" si="38"/>
        <v>0.10180965180991408</v>
      </c>
      <c r="AV15" s="24">
        <v>200</v>
      </c>
      <c r="AW15" s="24">
        <v>350</v>
      </c>
      <c r="AX15" s="24">
        <v>17</v>
      </c>
      <c r="AY15" s="24">
        <v>200</v>
      </c>
      <c r="AZ15" s="24">
        <v>300</v>
      </c>
      <c r="BA15" s="24">
        <v>2.5</v>
      </c>
      <c r="BB15" s="26">
        <f t="shared" si="14"/>
        <v>0.24921156041206832</v>
      </c>
      <c r="BC15" s="26">
        <v>0.55000000000000004</v>
      </c>
      <c r="BD15" s="21">
        <f t="shared" si="15"/>
        <v>2.4561405171760069E-2</v>
      </c>
      <c r="BE15" s="22">
        <f t="shared" si="16"/>
        <v>2.2540988900473322E-2</v>
      </c>
      <c r="BF15" s="22">
        <f t="shared" si="17"/>
        <v>0.16879737241647452</v>
      </c>
      <c r="BG15" s="28">
        <v>3.5000000000000003E-2</v>
      </c>
      <c r="BH15" s="28">
        <v>0.21129999999999999</v>
      </c>
      <c r="BI15" s="28">
        <v>0.04</v>
      </c>
      <c r="BJ15" s="22">
        <v>1.1000000000000001</v>
      </c>
      <c r="BK15" s="22">
        <f t="shared" si="18"/>
        <v>0.52377041653636447</v>
      </c>
      <c r="BL15" s="22">
        <v>0.95</v>
      </c>
      <c r="BM15" s="22">
        <v>0.52244999999999997</v>
      </c>
      <c r="BN15" s="22">
        <v>0.50700000000000001</v>
      </c>
      <c r="BO15" s="22">
        <v>0.11982480000000002</v>
      </c>
      <c r="BP15" s="22">
        <v>0.12960000000000002</v>
      </c>
      <c r="BQ15" s="35">
        <v>18.46</v>
      </c>
      <c r="BR15" s="24">
        <v>0</v>
      </c>
      <c r="BS15" s="24">
        <v>0</v>
      </c>
      <c r="BT15" s="24">
        <v>0.25</v>
      </c>
      <c r="BU15" s="24">
        <v>0.75</v>
      </c>
      <c r="BV15" s="24">
        <v>2.9189189999999998</v>
      </c>
      <c r="BW15" s="24">
        <v>102.86060000000001</v>
      </c>
      <c r="BX15" s="70">
        <f t="shared" si="39"/>
        <v>33874776.537182204</v>
      </c>
      <c r="BY15" s="24">
        <f t="shared" si="31"/>
        <v>200</v>
      </c>
      <c r="BZ15" s="24">
        <f t="shared" si="32"/>
        <v>350</v>
      </c>
      <c r="CA15" s="23">
        <f t="shared" si="21"/>
        <v>160</v>
      </c>
      <c r="CB15" s="23">
        <f t="shared" si="22"/>
        <v>280</v>
      </c>
      <c r="CC15" s="24">
        <f t="shared" si="23"/>
        <v>179.59049171143047</v>
      </c>
      <c r="CD15" s="25">
        <f t="shared" si="24"/>
        <v>318.72731496060163</v>
      </c>
      <c r="CE15" s="24">
        <f t="shared" si="40"/>
        <v>0.20054794520547944</v>
      </c>
      <c r="CF15" s="26">
        <f t="shared" si="33"/>
        <v>0.36493150684931508</v>
      </c>
      <c r="CG15" s="26">
        <f t="shared" si="27"/>
        <v>0.20054794520547944</v>
      </c>
      <c r="CH15" s="26">
        <f t="shared" si="28"/>
        <v>0.36493150684931508</v>
      </c>
      <c r="CI15" s="26">
        <f t="shared" si="29"/>
        <v>0.20054794520547944</v>
      </c>
      <c r="CJ15" s="26">
        <f t="shared" si="30"/>
        <v>0.36493150684931508</v>
      </c>
    </row>
    <row r="16" spans="1:88">
      <c r="A16" s="19">
        <v>12</v>
      </c>
      <c r="B16" s="3" t="s">
        <v>269</v>
      </c>
      <c r="C16" s="3" t="s">
        <v>79</v>
      </c>
      <c r="D16" s="8">
        <v>146.70834350000001</v>
      </c>
      <c r="E16" s="8">
        <v>8362.3755799999999</v>
      </c>
      <c r="F16" s="8">
        <v>23033.20996</v>
      </c>
      <c r="G16" s="8">
        <v>146.70834350000001</v>
      </c>
      <c r="H16" s="8">
        <v>12763.62592</v>
      </c>
      <c r="I16" s="8">
        <v>7188.7088320000003</v>
      </c>
      <c r="J16" s="8">
        <v>6308.4587709999996</v>
      </c>
      <c r="K16" s="8">
        <f t="shared" si="1"/>
        <v>57949.795749999997</v>
      </c>
      <c r="L16" s="18">
        <v>0</v>
      </c>
      <c r="M16" s="18">
        <v>880.25</v>
      </c>
      <c r="N16" s="18">
        <v>880.25</v>
      </c>
      <c r="O16" s="18">
        <v>0</v>
      </c>
      <c r="P16" s="18">
        <v>293.41699999999997</v>
      </c>
      <c r="Q16" s="18">
        <v>0</v>
      </c>
      <c r="R16" s="18">
        <v>0</v>
      </c>
      <c r="S16" s="18">
        <f t="shared" si="2"/>
        <v>2053.9169999999999</v>
      </c>
      <c r="T16" s="18">
        <v>0</v>
      </c>
      <c r="U16" s="18">
        <v>586.83299999999997</v>
      </c>
      <c r="V16" s="18">
        <v>489.02800000000002</v>
      </c>
      <c r="W16" s="18">
        <v>0</v>
      </c>
      <c r="X16" s="18">
        <v>293.41699999999997</v>
      </c>
      <c r="Y16" s="18">
        <v>978.05600000000004</v>
      </c>
      <c r="Z16" s="18">
        <v>293.41699999999997</v>
      </c>
      <c r="AA16" s="53">
        <f t="shared" si="3"/>
        <v>2640.7509999999997</v>
      </c>
      <c r="AB16" s="18">
        <v>7188.71</v>
      </c>
      <c r="AC16" s="18">
        <v>6308.46</v>
      </c>
      <c r="AD16" s="53">
        <f t="shared" si="4"/>
        <v>13497.17</v>
      </c>
      <c r="AE16" s="18">
        <v>5868.33</v>
      </c>
      <c r="AF16" s="18">
        <v>2.9404759999999999</v>
      </c>
      <c r="AG16" s="18">
        <v>107.9756</v>
      </c>
      <c r="AH16" s="31">
        <f t="shared" si="34"/>
        <v>47875.823147000003</v>
      </c>
      <c r="AI16" s="54">
        <f t="shared" si="35"/>
        <v>62644.463750000003</v>
      </c>
      <c r="AJ16" s="8">
        <f t="shared" si="5"/>
        <v>5868.33</v>
      </c>
      <c r="AK16" s="8">
        <f t="shared" si="6"/>
        <v>17653.907959999997</v>
      </c>
      <c r="AL16" s="8">
        <f t="shared" si="36"/>
        <v>23522.237959999999</v>
      </c>
      <c r="AM16" s="8">
        <f t="shared" si="7"/>
        <v>9095.9169235000008</v>
      </c>
      <c r="AN16" s="17">
        <f t="shared" si="8"/>
        <v>13057.04292</v>
      </c>
      <c r="AO16" s="17">
        <f t="shared" si="9"/>
        <v>146.70834350000001</v>
      </c>
      <c r="AP16" s="17">
        <f t="shared" si="10"/>
        <v>1173.6669999999999</v>
      </c>
      <c r="AQ16" s="17">
        <f t="shared" si="11"/>
        <v>880.25</v>
      </c>
      <c r="AR16" s="17">
        <f t="shared" si="12"/>
        <v>6601.875771</v>
      </c>
      <c r="AS16" s="17">
        <f t="shared" si="13"/>
        <v>8166.7648320000008</v>
      </c>
      <c r="AT16" s="26">
        <f t="shared" si="37"/>
        <v>0.38669436721827982</v>
      </c>
      <c r="AU16" s="26">
        <f t="shared" si="38"/>
        <v>9.3676753678013563E-2</v>
      </c>
      <c r="AV16" s="24">
        <v>200</v>
      </c>
      <c r="AW16" s="24">
        <v>350</v>
      </c>
      <c r="AX16" s="24">
        <v>17</v>
      </c>
      <c r="AY16" s="24">
        <v>200</v>
      </c>
      <c r="AZ16" s="24">
        <v>300</v>
      </c>
      <c r="BA16" s="24">
        <v>2.5</v>
      </c>
      <c r="BB16" s="26">
        <f t="shared" si="14"/>
        <v>5.8212063083813818E-2</v>
      </c>
      <c r="BC16" s="26">
        <v>0.55000000000000004</v>
      </c>
      <c r="BD16" s="21">
        <f t="shared" si="15"/>
        <v>4.6511668457912068E-2</v>
      </c>
      <c r="BE16" s="22">
        <f t="shared" si="16"/>
        <v>0.13605445205050698</v>
      </c>
      <c r="BF16" s="22">
        <f t="shared" si="17"/>
        <v>3.4108521211984218E-2</v>
      </c>
      <c r="BG16" s="28">
        <v>3.5000000000000003E-2</v>
      </c>
      <c r="BH16" s="28">
        <v>0.21129999999999999</v>
      </c>
      <c r="BI16" s="28">
        <v>0.04</v>
      </c>
      <c r="BJ16" s="22">
        <v>1.1000000000000001</v>
      </c>
      <c r="BK16" s="22">
        <f t="shared" si="18"/>
        <v>1.6129032920360973E-2</v>
      </c>
      <c r="BL16" s="22">
        <v>0.95</v>
      </c>
      <c r="BM16" s="22">
        <v>0.52244999999999997</v>
      </c>
      <c r="BN16" s="22">
        <v>0.50700000000000001</v>
      </c>
      <c r="BO16" s="22">
        <v>0.11982480000000002</v>
      </c>
      <c r="BP16" s="22">
        <v>0.12960000000000002</v>
      </c>
      <c r="BQ16" s="35">
        <v>18.46</v>
      </c>
      <c r="BR16" s="24">
        <v>0</v>
      </c>
      <c r="BS16" s="24">
        <v>0</v>
      </c>
      <c r="BT16" s="24">
        <v>0.25</v>
      </c>
      <c r="BU16" s="24">
        <v>0.75</v>
      </c>
      <c r="BV16" s="24">
        <v>2.9404759999999999</v>
      </c>
      <c r="BW16" s="24">
        <v>107.9756</v>
      </c>
      <c r="BX16" s="70">
        <f t="shared" si="39"/>
        <v>1863192.7820306281</v>
      </c>
      <c r="BY16" s="24">
        <f t="shared" si="31"/>
        <v>200</v>
      </c>
      <c r="BZ16" s="24">
        <f t="shared" si="32"/>
        <v>350</v>
      </c>
      <c r="CA16" s="23">
        <f t="shared" si="21"/>
        <v>160</v>
      </c>
      <c r="CB16" s="23">
        <f t="shared" si="22"/>
        <v>280</v>
      </c>
      <c r="CC16" s="24">
        <f t="shared" si="23"/>
        <v>189.99999147969569</v>
      </c>
      <c r="CD16" s="25">
        <f t="shared" si="24"/>
        <v>350</v>
      </c>
      <c r="CE16" s="24">
        <f t="shared" si="40"/>
        <v>0.20054794520547944</v>
      </c>
      <c r="CF16" s="26">
        <f t="shared" si="33"/>
        <v>0.36493150684931508</v>
      </c>
      <c r="CG16" s="26">
        <f t="shared" si="27"/>
        <v>0.20054794520547944</v>
      </c>
      <c r="CH16" s="26">
        <f t="shared" si="28"/>
        <v>0.36493150684931508</v>
      </c>
      <c r="CI16" s="26">
        <f t="shared" si="29"/>
        <v>0.20054794520547944</v>
      </c>
      <c r="CJ16" s="26">
        <f t="shared" si="30"/>
        <v>0.36493150684931508</v>
      </c>
    </row>
    <row r="17" spans="1:88">
      <c r="A17" s="19">
        <v>13</v>
      </c>
      <c r="B17" s="3" t="s">
        <v>270</v>
      </c>
      <c r="C17" s="3" t="s">
        <v>79</v>
      </c>
      <c r="D17" s="8">
        <v>156.97880549999999</v>
      </c>
      <c r="E17" s="8">
        <v>4165.9383239999997</v>
      </c>
      <c r="F17" s="8">
        <v>12184.857319999999</v>
      </c>
      <c r="G17" s="8">
        <v>1883.745651</v>
      </c>
      <c r="H17" s="8">
        <v>4418.4065019999998</v>
      </c>
      <c r="I17" s="8">
        <v>3927.470116</v>
      </c>
      <c r="J17" s="8">
        <v>4557.3853300000001</v>
      </c>
      <c r="K17" s="8">
        <f t="shared" si="1"/>
        <v>31294.782048500005</v>
      </c>
      <c r="L17" s="18">
        <v>0</v>
      </c>
      <c r="M17" s="18">
        <v>1653.25143</v>
      </c>
      <c r="N17" s="18">
        <v>1316.42191</v>
      </c>
      <c r="O17" s="18">
        <v>313.95800000000003</v>
      </c>
      <c r="P17" s="18">
        <v>396.28032999999999</v>
      </c>
      <c r="Q17" s="18">
        <v>9.3333300000000001</v>
      </c>
      <c r="R17" s="18">
        <v>0.5</v>
      </c>
      <c r="S17" s="18">
        <f t="shared" si="2"/>
        <v>3689.7450000000003</v>
      </c>
      <c r="T17" s="18">
        <v>0</v>
      </c>
      <c r="U17" s="18">
        <v>313.95800000000003</v>
      </c>
      <c r="V17" s="18">
        <v>523.26300000000003</v>
      </c>
      <c r="W17" s="18">
        <v>78.489400000000003</v>
      </c>
      <c r="X17" s="18">
        <v>78.489400000000003</v>
      </c>
      <c r="Y17" s="18">
        <v>235.46799999999999</v>
      </c>
      <c r="Z17" s="18">
        <v>78.489400000000003</v>
      </c>
      <c r="AA17" s="53">
        <f t="shared" si="3"/>
        <v>1308.1572000000001</v>
      </c>
      <c r="AB17" s="18">
        <v>4065.75</v>
      </c>
      <c r="AC17" s="18">
        <v>4630.87</v>
      </c>
      <c r="AD17" s="53">
        <f t="shared" si="4"/>
        <v>8696.619999999999</v>
      </c>
      <c r="AE17" s="18">
        <v>3532.02</v>
      </c>
      <c r="AF17" s="18">
        <v>3.1184210000000001</v>
      </c>
      <c r="AG17" s="18">
        <v>106.6571</v>
      </c>
      <c r="AH17" s="31">
        <f t="shared" si="34"/>
        <v>27493.871402499997</v>
      </c>
      <c r="AI17" s="54">
        <f t="shared" si="35"/>
        <v>36292.684248499994</v>
      </c>
      <c r="AJ17" s="8">
        <f t="shared" si="5"/>
        <v>3532.02</v>
      </c>
      <c r="AK17" s="8">
        <f t="shared" si="6"/>
        <v>9176.1003199999996</v>
      </c>
      <c r="AL17" s="8">
        <f t="shared" si="36"/>
        <v>12708.12032</v>
      </c>
      <c r="AM17" s="8">
        <f t="shared" si="7"/>
        <v>4636.8751294999993</v>
      </c>
      <c r="AN17" s="17">
        <f t="shared" si="8"/>
        <v>4496.8959020000002</v>
      </c>
      <c r="AO17" s="17">
        <f t="shared" si="9"/>
        <v>1962.2350509999999</v>
      </c>
      <c r="AP17" s="17">
        <f t="shared" si="10"/>
        <v>1713.2022400000001</v>
      </c>
      <c r="AQ17" s="17">
        <f t="shared" si="11"/>
        <v>1976.54276</v>
      </c>
      <c r="AR17" s="17">
        <f t="shared" si="12"/>
        <v>4635.8747300000005</v>
      </c>
      <c r="AS17" s="17">
        <f t="shared" si="13"/>
        <v>4162.9381160000003</v>
      </c>
      <c r="AT17" s="26">
        <f t="shared" si="37"/>
        <v>0.36487497857590312</v>
      </c>
      <c r="AU17" s="26">
        <f t="shared" si="38"/>
        <v>9.7320440004268385E-2</v>
      </c>
      <c r="AV17" s="24">
        <v>200</v>
      </c>
      <c r="AW17" s="24">
        <v>350</v>
      </c>
      <c r="AX17" s="24">
        <v>17</v>
      </c>
      <c r="AY17" s="24">
        <v>200</v>
      </c>
      <c r="AZ17" s="24">
        <v>300</v>
      </c>
      <c r="BA17" s="24">
        <v>2.5</v>
      </c>
      <c r="BB17" s="26">
        <f t="shared" si="14"/>
        <v>0.14476451777881813</v>
      </c>
      <c r="BC17" s="26">
        <v>0.55000000000000004</v>
      </c>
      <c r="BD17" s="21">
        <f t="shared" si="15"/>
        <v>1.6949169378540102E-2</v>
      </c>
      <c r="BE17" s="22">
        <f t="shared" si="16"/>
        <v>5.7915021828690891E-2</v>
      </c>
      <c r="BF17" s="22">
        <f t="shared" si="17"/>
        <v>5.0716770001988876E-2</v>
      </c>
      <c r="BG17" s="28">
        <v>3.5000000000000003E-2</v>
      </c>
      <c r="BH17" s="28">
        <v>0.21129999999999999</v>
      </c>
      <c r="BI17" s="28">
        <v>0.04</v>
      </c>
      <c r="BJ17" s="22">
        <v>1.1000000000000001</v>
      </c>
      <c r="BK17" s="22">
        <f t="shared" si="18"/>
        <v>3.3854438844232414E-2</v>
      </c>
      <c r="BL17" s="22">
        <v>0.95</v>
      </c>
      <c r="BM17" s="22">
        <v>0.52244999999999997</v>
      </c>
      <c r="BN17" s="22">
        <v>0.50700000000000001</v>
      </c>
      <c r="BO17" s="22">
        <v>0.11982480000000002</v>
      </c>
      <c r="BP17" s="22">
        <v>0.12960000000000002</v>
      </c>
      <c r="BQ17" s="35">
        <v>18.46</v>
      </c>
      <c r="BR17" s="24">
        <v>0</v>
      </c>
      <c r="BS17" s="24">
        <v>0</v>
      </c>
      <c r="BT17" s="24">
        <v>0.25</v>
      </c>
      <c r="BU17" s="24">
        <v>0.75</v>
      </c>
      <c r="BV17" s="24">
        <v>3.1184210000000001</v>
      </c>
      <c r="BW17" s="24">
        <v>106.6571</v>
      </c>
      <c r="BX17" s="70">
        <f t="shared" si="39"/>
        <v>1174755.9992657101</v>
      </c>
      <c r="BY17" s="24">
        <f t="shared" si="31"/>
        <v>200</v>
      </c>
      <c r="BZ17" s="24">
        <f t="shared" si="32"/>
        <v>350</v>
      </c>
      <c r="CA17" s="23">
        <f t="shared" si="21"/>
        <v>160</v>
      </c>
      <c r="CB17" s="23">
        <f t="shared" si="22"/>
        <v>280</v>
      </c>
      <c r="CC17" s="24">
        <f t="shared" si="23"/>
        <v>190.74491010182831</v>
      </c>
      <c r="CD17" s="25">
        <f t="shared" si="24"/>
        <v>338.82830690782117</v>
      </c>
      <c r="CE17" s="24">
        <f t="shared" si="40"/>
        <v>0.20054794520547944</v>
      </c>
      <c r="CF17" s="26">
        <f t="shared" si="33"/>
        <v>0.36493150684931508</v>
      </c>
      <c r="CG17" s="26">
        <f t="shared" si="27"/>
        <v>0.20054794520547944</v>
      </c>
      <c r="CH17" s="26">
        <f t="shared" si="28"/>
        <v>0.36493150684931508</v>
      </c>
      <c r="CI17" s="26">
        <f t="shared" si="29"/>
        <v>0.20054794520547944</v>
      </c>
      <c r="CJ17" s="26">
        <f t="shared" si="30"/>
        <v>0.36493150684931508</v>
      </c>
    </row>
    <row r="18" spans="1:88">
      <c r="A18" s="19">
        <v>14</v>
      </c>
      <c r="B18" s="3" t="s">
        <v>271</v>
      </c>
      <c r="C18" s="3" t="s">
        <v>79</v>
      </c>
      <c r="D18" s="8">
        <v>7580.7773440000001</v>
      </c>
      <c r="E18" s="8">
        <v>17578.51813</v>
      </c>
      <c r="F18" s="8">
        <v>109539.9567</v>
      </c>
      <c r="G18" s="8">
        <v>7037.9257200000002</v>
      </c>
      <c r="H18" s="8">
        <v>19184.369839999999</v>
      </c>
      <c r="I18" s="8">
        <v>24726.443630000002</v>
      </c>
      <c r="J18" s="8">
        <v>24982.443630000002</v>
      </c>
      <c r="K18" s="8">
        <f t="shared" si="1"/>
        <v>210630.43499399998</v>
      </c>
      <c r="L18" s="18">
        <v>21356.375</v>
      </c>
      <c r="M18" s="18">
        <v>4744.8165000000008</v>
      </c>
      <c r="N18" s="18">
        <v>2477.87</v>
      </c>
      <c r="O18" s="18">
        <v>248.49700000000001</v>
      </c>
      <c r="P18" s="18">
        <v>241.70699999999999</v>
      </c>
      <c r="Q18" s="18">
        <v>256.572</v>
      </c>
      <c r="R18" s="18">
        <v>238.404</v>
      </c>
      <c r="S18" s="18">
        <f t="shared" si="2"/>
        <v>29564.241499999996</v>
      </c>
      <c r="T18" s="18">
        <v>0</v>
      </c>
      <c r="U18" s="18">
        <v>0</v>
      </c>
      <c r="V18" s="18">
        <v>2349.2600000000002</v>
      </c>
      <c r="W18" s="18">
        <v>0</v>
      </c>
      <c r="X18" s="18">
        <v>0</v>
      </c>
      <c r="Y18" s="18">
        <v>0</v>
      </c>
      <c r="Z18" s="18">
        <v>0</v>
      </c>
      <c r="AA18" s="53">
        <f t="shared" si="3"/>
        <v>2349.2600000000002</v>
      </c>
      <c r="AB18" s="18">
        <v>23962.400000000001</v>
      </c>
      <c r="AC18" s="18">
        <v>23962.400000000001</v>
      </c>
      <c r="AD18" s="53">
        <f t="shared" si="4"/>
        <v>47924.800000000003</v>
      </c>
      <c r="AE18" s="18">
        <v>12451.1</v>
      </c>
      <c r="AF18" s="18">
        <v>2.8333330000000001</v>
      </c>
      <c r="AG18" s="18">
        <v>88.333330000000004</v>
      </c>
      <c r="AH18" s="31">
        <f t="shared" si="34"/>
        <v>192835.04923399998</v>
      </c>
      <c r="AI18" s="54">
        <f t="shared" si="35"/>
        <v>242543.93649399997</v>
      </c>
      <c r="AJ18" s="8">
        <f t="shared" si="5"/>
        <v>12451.1</v>
      </c>
      <c r="AK18" s="8">
        <f t="shared" si="6"/>
        <v>99438.116699999984</v>
      </c>
      <c r="AL18" s="8">
        <f t="shared" si="36"/>
        <v>111889.21669999999</v>
      </c>
      <c r="AM18" s="8">
        <f t="shared" si="7"/>
        <v>25159.295473999999</v>
      </c>
      <c r="AN18" s="17">
        <f t="shared" si="8"/>
        <v>19184.369839999999</v>
      </c>
      <c r="AO18" s="17">
        <f t="shared" si="9"/>
        <v>7037.9257200000002</v>
      </c>
      <c r="AP18" s="17">
        <f t="shared" si="10"/>
        <v>2957.9809999999998</v>
      </c>
      <c r="AQ18" s="17">
        <f t="shared" si="11"/>
        <v>26606.2605</v>
      </c>
      <c r="AR18" s="17">
        <f t="shared" si="12"/>
        <v>24982.443630000002</v>
      </c>
      <c r="AS18" s="17">
        <f t="shared" si="13"/>
        <v>24726.443630000002</v>
      </c>
      <c r="AT18" s="26">
        <f t="shared" si="37"/>
        <v>0.22485898298365692</v>
      </c>
      <c r="AU18" s="26">
        <f t="shared" si="38"/>
        <v>5.1335441239975153E-2</v>
      </c>
      <c r="AV18" s="24">
        <v>200</v>
      </c>
      <c r="AW18" s="24">
        <v>350</v>
      </c>
      <c r="AX18" s="24">
        <v>17</v>
      </c>
      <c r="AY18" s="24">
        <v>200</v>
      </c>
      <c r="AZ18" s="24">
        <v>300</v>
      </c>
      <c r="BA18" s="24">
        <v>2.5</v>
      </c>
      <c r="BB18" s="26">
        <f t="shared" si="14"/>
        <v>0.05</v>
      </c>
      <c r="BC18" s="26">
        <v>0.55000000000000004</v>
      </c>
      <c r="BD18" s="21">
        <f t="shared" si="15"/>
        <v>0</v>
      </c>
      <c r="BE18" s="22">
        <f t="shared" si="16"/>
        <v>0</v>
      </c>
      <c r="BF18" s="22">
        <f t="shared" si="17"/>
        <v>1.7440779826790015E-2</v>
      </c>
      <c r="BG18" s="28">
        <v>3.5000000000000003E-2</v>
      </c>
      <c r="BH18" s="28">
        <v>0.21129999999999999</v>
      </c>
      <c r="BI18" s="28">
        <v>0.04</v>
      </c>
      <c r="BJ18" s="22">
        <v>1.1000000000000001</v>
      </c>
      <c r="BK18" s="22">
        <f t="shared" si="18"/>
        <v>0.30131119338512841</v>
      </c>
      <c r="BL18" s="22">
        <v>0.95</v>
      </c>
      <c r="BM18" s="22">
        <v>0.52244999999999997</v>
      </c>
      <c r="BN18" s="22">
        <v>0.50700000000000001</v>
      </c>
      <c r="BO18" s="22">
        <v>0.11982480000000002</v>
      </c>
      <c r="BP18" s="22">
        <v>0.12960000000000002</v>
      </c>
      <c r="BQ18" s="35">
        <v>18.46</v>
      </c>
      <c r="BR18" s="24">
        <v>0</v>
      </c>
      <c r="BS18" s="24">
        <v>0</v>
      </c>
      <c r="BT18" s="24">
        <v>0.25</v>
      </c>
      <c r="BU18" s="24">
        <v>0.75</v>
      </c>
      <c r="BV18" s="24">
        <v>2.8333330000000001</v>
      </c>
      <c r="BW18" s="24">
        <v>88.333330000000004</v>
      </c>
      <c r="BX18" s="70">
        <f t="shared" si="39"/>
        <v>3116233.1546794586</v>
      </c>
      <c r="BY18" s="24">
        <f t="shared" si="31"/>
        <v>200</v>
      </c>
      <c r="BZ18" s="24">
        <f t="shared" si="32"/>
        <v>350</v>
      </c>
      <c r="CA18" s="23">
        <f t="shared" si="21"/>
        <v>160</v>
      </c>
      <c r="CB18" s="23">
        <f t="shared" si="22"/>
        <v>280</v>
      </c>
      <c r="CC18" s="24">
        <f t="shared" si="23"/>
        <v>196.44493242882993</v>
      </c>
      <c r="CD18" s="25">
        <f t="shared" si="24"/>
        <v>349.3398483629133</v>
      </c>
      <c r="CE18" s="24">
        <f t="shared" si="40"/>
        <v>0.20054794520547944</v>
      </c>
      <c r="CF18" s="26">
        <f t="shared" si="33"/>
        <v>0.36493150684931508</v>
      </c>
      <c r="CG18" s="26">
        <f t="shared" si="27"/>
        <v>0.20054794520547944</v>
      </c>
      <c r="CH18" s="26">
        <f t="shared" si="28"/>
        <v>0.36493150684931508</v>
      </c>
      <c r="CI18" s="26">
        <f t="shared" si="29"/>
        <v>0.20054794520547944</v>
      </c>
      <c r="CJ18" s="26">
        <f t="shared" si="30"/>
        <v>0.36493150684931508</v>
      </c>
    </row>
    <row r="19" spans="1:88">
      <c r="A19" s="19">
        <v>15</v>
      </c>
      <c r="B19" s="3" t="s">
        <v>272</v>
      </c>
      <c r="C19" s="3" t="s">
        <v>80</v>
      </c>
      <c r="D19" s="8">
        <v>108040.44010000001</v>
      </c>
      <c r="E19" s="8">
        <v>382175.52370000002</v>
      </c>
      <c r="F19" s="8">
        <v>769196.31389999995</v>
      </c>
      <c r="G19" s="8">
        <v>13468.740809999999</v>
      </c>
      <c r="H19" s="8">
        <v>367023.19150000002</v>
      </c>
      <c r="I19" s="8">
        <v>277552.26659999997</v>
      </c>
      <c r="J19" s="8">
        <v>310264.06589999999</v>
      </c>
      <c r="K19" s="8">
        <f t="shared" si="1"/>
        <v>2227720.5425100001</v>
      </c>
      <c r="L19" s="18">
        <v>6801.37</v>
      </c>
      <c r="M19" s="18">
        <v>43292.4</v>
      </c>
      <c r="N19" s="18">
        <v>22674.4463</v>
      </c>
      <c r="O19" s="18">
        <v>0</v>
      </c>
      <c r="P19" s="18">
        <v>5772.32</v>
      </c>
      <c r="Q19" s="18">
        <v>5050.78</v>
      </c>
      <c r="R19" s="18">
        <v>962.053</v>
      </c>
      <c r="S19" s="18">
        <f t="shared" si="2"/>
        <v>84553.369300000006</v>
      </c>
      <c r="T19" s="18">
        <v>240.51300000000001</v>
      </c>
      <c r="U19" s="18">
        <v>24291.8</v>
      </c>
      <c r="V19" s="18">
        <v>35355.4</v>
      </c>
      <c r="W19" s="18">
        <v>0</v>
      </c>
      <c r="X19" s="18">
        <v>3367.19</v>
      </c>
      <c r="Y19" s="18">
        <v>2164.62</v>
      </c>
      <c r="Z19" s="18">
        <v>1683.59</v>
      </c>
      <c r="AA19" s="53">
        <f t="shared" si="3"/>
        <v>67103.113000000012</v>
      </c>
      <c r="AB19" s="18">
        <v>278995</v>
      </c>
      <c r="AC19" s="18">
        <v>313389</v>
      </c>
      <c r="AD19" s="53">
        <f t="shared" si="4"/>
        <v>592384</v>
      </c>
      <c r="AE19" s="18">
        <v>242437</v>
      </c>
      <c r="AF19" s="18">
        <v>3.1160929999999998</v>
      </c>
      <c r="AG19" s="18">
        <v>105.5761</v>
      </c>
      <c r="AH19" s="31">
        <f t="shared" si="34"/>
        <v>1787712.4823100003</v>
      </c>
      <c r="AI19" s="54">
        <f t="shared" si="35"/>
        <v>2379377.0248100003</v>
      </c>
      <c r="AJ19" s="8">
        <f t="shared" si="5"/>
        <v>242437</v>
      </c>
      <c r="AK19" s="8">
        <f t="shared" si="6"/>
        <v>562114.71389999997</v>
      </c>
      <c r="AL19" s="8">
        <f t="shared" si="36"/>
        <v>804551.71389999997</v>
      </c>
      <c r="AM19" s="8">
        <f t="shared" si="7"/>
        <v>514748.27679999999</v>
      </c>
      <c r="AN19" s="17">
        <f t="shared" si="8"/>
        <v>370390.38150000002</v>
      </c>
      <c r="AO19" s="17">
        <f t="shared" si="9"/>
        <v>13468.740809999999</v>
      </c>
      <c r="AP19" s="17">
        <f t="shared" si="10"/>
        <v>29408.819299999999</v>
      </c>
      <c r="AQ19" s="17">
        <f t="shared" si="11"/>
        <v>55144.55</v>
      </c>
      <c r="AR19" s="17">
        <f t="shared" si="12"/>
        <v>311947.65590000001</v>
      </c>
      <c r="AS19" s="17">
        <f t="shared" si="13"/>
        <v>279716.88659999997</v>
      </c>
      <c r="AT19" s="26">
        <f t="shared" si="37"/>
        <v>0.63979514045753372</v>
      </c>
      <c r="AU19" s="26">
        <f t="shared" si="38"/>
        <v>0.10189095610829446</v>
      </c>
      <c r="AV19" s="24">
        <v>200</v>
      </c>
      <c r="AW19" s="24">
        <v>350</v>
      </c>
      <c r="AX19" s="24">
        <v>17</v>
      </c>
      <c r="AY19" s="24">
        <v>200</v>
      </c>
      <c r="AZ19" s="24">
        <v>300</v>
      </c>
      <c r="BA19" s="24">
        <v>2.5</v>
      </c>
      <c r="BB19" s="26">
        <f t="shared" si="14"/>
        <v>7.2126931429559671E-2</v>
      </c>
      <c r="BC19" s="26">
        <v>0.55000000000000004</v>
      </c>
      <c r="BD19" s="21">
        <f t="shared" si="15"/>
        <v>5.3722051507870405E-3</v>
      </c>
      <c r="BE19" s="22">
        <f t="shared" si="16"/>
        <v>7.7586336672700222E-3</v>
      </c>
      <c r="BF19" s="22">
        <f t="shared" si="17"/>
        <v>4.7552111457393333E-2</v>
      </c>
      <c r="BG19" s="28">
        <v>3.5000000000000003E-2</v>
      </c>
      <c r="BH19" s="28">
        <v>0.21129999999999999</v>
      </c>
      <c r="BI19" s="28">
        <v>0.04</v>
      </c>
      <c r="BJ19" s="22">
        <v>1.1000000000000001</v>
      </c>
      <c r="BK19" s="22">
        <f t="shared" si="18"/>
        <v>0.21035709681855125</v>
      </c>
      <c r="BL19" s="22">
        <v>0.95</v>
      </c>
      <c r="BM19" s="22">
        <v>0.51885000000000003</v>
      </c>
      <c r="BN19" s="22">
        <v>0.50700000000000001</v>
      </c>
      <c r="BO19" s="22">
        <v>0.12104000000000001</v>
      </c>
      <c r="BP19" s="22">
        <v>0.12960000000000002</v>
      </c>
      <c r="BQ19" s="35">
        <v>18.46</v>
      </c>
      <c r="BR19" s="24">
        <v>0.2</v>
      </c>
      <c r="BS19" s="24">
        <v>0</v>
      </c>
      <c r="BT19" s="24">
        <v>0.2</v>
      </c>
      <c r="BU19" s="24">
        <v>0.6</v>
      </c>
      <c r="BV19" s="24">
        <v>3.1160929999999998</v>
      </c>
      <c r="BW19" s="24">
        <v>105.5761</v>
      </c>
      <c r="BX19" s="70">
        <f t="shared" si="39"/>
        <v>79758123.396386072</v>
      </c>
      <c r="BY19" s="24">
        <f t="shared" si="31"/>
        <v>200</v>
      </c>
      <c r="BZ19" s="24">
        <f t="shared" si="32"/>
        <v>350</v>
      </c>
      <c r="CA19" s="23">
        <f t="shared" si="21"/>
        <v>160</v>
      </c>
      <c r="CB19" s="23">
        <f t="shared" si="22"/>
        <v>280</v>
      </c>
      <c r="CC19" s="24">
        <f t="shared" si="23"/>
        <v>191.8833375447669</v>
      </c>
      <c r="CD19" s="25">
        <f t="shared" si="24"/>
        <v>349.99999999999994</v>
      </c>
      <c r="CE19" s="24">
        <f t="shared" si="40"/>
        <v>0.20054794520547944</v>
      </c>
      <c r="CF19" s="26">
        <f t="shared" si="33"/>
        <v>0.36493150684931508</v>
      </c>
      <c r="CG19" s="26">
        <f t="shared" si="27"/>
        <v>0.20054794520547944</v>
      </c>
      <c r="CH19" s="26">
        <f t="shared" si="28"/>
        <v>0.36493150684931508</v>
      </c>
      <c r="CI19" s="26">
        <f t="shared" si="29"/>
        <v>0.20054794520547944</v>
      </c>
      <c r="CJ19" s="26">
        <f t="shared" si="30"/>
        <v>0.36493150684931508</v>
      </c>
    </row>
    <row r="20" spans="1:88">
      <c r="A20" s="19">
        <v>16</v>
      </c>
      <c r="B20" s="3" t="s">
        <v>273</v>
      </c>
      <c r="C20" s="3" t="s">
        <v>80</v>
      </c>
      <c r="D20" s="8">
        <v>94003.743960000007</v>
      </c>
      <c r="E20" s="8">
        <v>436961.78360000002</v>
      </c>
      <c r="F20" s="8">
        <v>652869.80680000002</v>
      </c>
      <c r="G20" s="8">
        <v>79889.055909999995</v>
      </c>
      <c r="H20" s="8">
        <v>416591.84629999998</v>
      </c>
      <c r="I20" s="8">
        <v>297673.77429999999</v>
      </c>
      <c r="J20" s="8">
        <v>265594.68229999999</v>
      </c>
      <c r="K20" s="8">
        <f t="shared" si="1"/>
        <v>2243584.6931699999</v>
      </c>
      <c r="L20" s="18">
        <v>3619.7701999999999</v>
      </c>
      <c r="M20" s="18">
        <v>24372.63</v>
      </c>
      <c r="N20" s="18">
        <v>17461.938000000002</v>
      </c>
      <c r="O20" s="18">
        <v>2778.1906100000001</v>
      </c>
      <c r="P20" s="18">
        <v>19945.176499999998</v>
      </c>
      <c r="Q20" s="18">
        <v>2218.6903199999997</v>
      </c>
      <c r="R20" s="18">
        <v>559.30029999999999</v>
      </c>
      <c r="S20" s="18">
        <f t="shared" si="2"/>
        <v>70955.695929999987</v>
      </c>
      <c r="T20" s="18">
        <v>1661.02</v>
      </c>
      <c r="U20" s="18">
        <v>5198.38</v>
      </c>
      <c r="V20" s="18">
        <v>19655.400000000001</v>
      </c>
      <c r="W20" s="18">
        <v>0</v>
      </c>
      <c r="X20" s="18">
        <v>5813.58</v>
      </c>
      <c r="Y20" s="18">
        <v>3322.04</v>
      </c>
      <c r="Z20" s="18">
        <v>1661.02</v>
      </c>
      <c r="AA20" s="53">
        <f t="shared" si="3"/>
        <v>37311.440000000002</v>
      </c>
      <c r="AB20" s="18">
        <v>298707</v>
      </c>
      <c r="AC20" s="18">
        <v>266317</v>
      </c>
      <c r="AD20" s="53">
        <f t="shared" si="4"/>
        <v>565024</v>
      </c>
      <c r="AE20" s="18">
        <v>204998</v>
      </c>
      <c r="AF20" s="18">
        <v>3.022656</v>
      </c>
      <c r="AG20" s="18">
        <v>106.51430000000001</v>
      </c>
      <c r="AH20" s="31">
        <f t="shared" si="34"/>
        <v>1783600.3125</v>
      </c>
      <c r="AI20" s="54">
        <f t="shared" si="35"/>
        <v>2351851.8290999997</v>
      </c>
      <c r="AJ20" s="8">
        <f t="shared" si="5"/>
        <v>204998</v>
      </c>
      <c r="AK20" s="8">
        <f t="shared" si="6"/>
        <v>467527.20680000004</v>
      </c>
      <c r="AL20" s="8">
        <f t="shared" si="36"/>
        <v>672525.20680000004</v>
      </c>
      <c r="AM20" s="8">
        <f t="shared" si="7"/>
        <v>537824.9275600001</v>
      </c>
      <c r="AN20" s="17">
        <f t="shared" si="8"/>
        <v>422405.42629999999</v>
      </c>
      <c r="AO20" s="17">
        <f t="shared" si="9"/>
        <v>79889.055909999995</v>
      </c>
      <c r="AP20" s="17">
        <f t="shared" si="10"/>
        <v>37966.414799999999</v>
      </c>
      <c r="AQ20" s="17">
        <f t="shared" si="11"/>
        <v>32989.281130000003</v>
      </c>
      <c r="AR20" s="17">
        <f t="shared" si="12"/>
        <v>267255.7023</v>
      </c>
      <c r="AS20" s="17">
        <f t="shared" si="13"/>
        <v>300995.81429999997</v>
      </c>
      <c r="AT20" s="26">
        <f t="shared" si="37"/>
        <v>0.79970969433111816</v>
      </c>
      <c r="AU20" s="26">
        <f t="shared" si="38"/>
        <v>8.7164504780238669E-2</v>
      </c>
      <c r="AV20" s="24">
        <v>200</v>
      </c>
      <c r="AW20" s="24">
        <v>350</v>
      </c>
      <c r="AX20" s="24">
        <v>17</v>
      </c>
      <c r="AY20" s="24">
        <v>200</v>
      </c>
      <c r="AZ20" s="24">
        <v>300</v>
      </c>
      <c r="BA20" s="24">
        <v>2.5</v>
      </c>
      <c r="BB20" s="26">
        <f t="shared" si="14"/>
        <v>5.5190998976248337E-2</v>
      </c>
      <c r="BC20" s="26">
        <v>0.55000000000000004</v>
      </c>
      <c r="BD20" s="21">
        <f t="shared" si="15"/>
        <v>6.2370032705384932E-3</v>
      </c>
      <c r="BE20" s="22">
        <f t="shared" si="16"/>
        <v>1.1121399900236686E-2</v>
      </c>
      <c r="BF20" s="22">
        <f t="shared" si="17"/>
        <v>2.2397371687114167E-2</v>
      </c>
      <c r="BG20" s="28">
        <v>3.5000000000000003E-2</v>
      </c>
      <c r="BH20" s="28">
        <v>0.21129999999999999</v>
      </c>
      <c r="BI20" s="28">
        <v>0.04</v>
      </c>
      <c r="BJ20" s="22">
        <v>1.1000000000000001</v>
      </c>
      <c r="BK20" s="22">
        <f t="shared" si="18"/>
        <v>0.17787342880147106</v>
      </c>
      <c r="BL20" s="22">
        <v>0.95</v>
      </c>
      <c r="BM20" s="22">
        <v>0.51885000000000003</v>
      </c>
      <c r="BN20" s="22">
        <v>0.50700000000000001</v>
      </c>
      <c r="BO20" s="22">
        <v>0.12104000000000001</v>
      </c>
      <c r="BP20" s="22">
        <v>0.12960000000000002</v>
      </c>
      <c r="BQ20" s="35">
        <v>18.46</v>
      </c>
      <c r="BR20" s="24">
        <v>0.2</v>
      </c>
      <c r="BS20" s="24">
        <v>0</v>
      </c>
      <c r="BT20" s="24">
        <v>0.2</v>
      </c>
      <c r="BU20" s="24">
        <v>0.6</v>
      </c>
      <c r="BV20" s="24">
        <v>3.022656</v>
      </c>
      <c r="BW20" s="24">
        <v>106.51430000000001</v>
      </c>
      <c r="BX20" s="70">
        <f t="shared" si="39"/>
        <v>66000354.123888046</v>
      </c>
      <c r="BY20" s="24">
        <f t="shared" si="31"/>
        <v>200</v>
      </c>
      <c r="BZ20" s="24">
        <f t="shared" si="32"/>
        <v>350</v>
      </c>
      <c r="CA20" s="23">
        <f t="shared" si="21"/>
        <v>160</v>
      </c>
      <c r="CB20" s="23">
        <f t="shared" si="22"/>
        <v>280</v>
      </c>
      <c r="CC20" s="24">
        <f t="shared" si="23"/>
        <v>178.67231753467647</v>
      </c>
      <c r="CD20" s="25">
        <f t="shared" si="24"/>
        <v>343.67989571923334</v>
      </c>
      <c r="CE20" s="24">
        <f t="shared" si="40"/>
        <v>0.20054794520547944</v>
      </c>
      <c r="CF20" s="26">
        <f t="shared" si="33"/>
        <v>0.36493150684931508</v>
      </c>
      <c r="CG20" s="26">
        <f t="shared" si="27"/>
        <v>0.20054794520547944</v>
      </c>
      <c r="CH20" s="26">
        <f t="shared" si="28"/>
        <v>0.36493150684931508</v>
      </c>
      <c r="CI20" s="26">
        <f t="shared" si="29"/>
        <v>0.20054794520547944</v>
      </c>
      <c r="CJ20" s="26">
        <f t="shared" si="30"/>
        <v>0.36493150684931508</v>
      </c>
    </row>
    <row r="21" spans="1:88">
      <c r="A21" s="19">
        <v>17</v>
      </c>
      <c r="B21" s="3" t="s">
        <v>274</v>
      </c>
      <c r="C21" s="3" t="s">
        <v>78</v>
      </c>
      <c r="D21" s="8">
        <v>124096.1482</v>
      </c>
      <c r="E21" s="8">
        <v>75006.705749999994</v>
      </c>
      <c r="F21" s="8">
        <v>306596.0931</v>
      </c>
      <c r="G21" s="8">
        <v>29260.346890000001</v>
      </c>
      <c r="H21" s="8">
        <v>136587.68210000001</v>
      </c>
      <c r="I21" s="8">
        <v>114363.79829999999</v>
      </c>
      <c r="J21" s="8">
        <v>121513.3597</v>
      </c>
      <c r="K21" s="8">
        <f t="shared" si="1"/>
        <v>907424.13404000003</v>
      </c>
      <c r="L21" s="18">
        <v>13408.645</v>
      </c>
      <c r="M21" s="18">
        <v>14627.165000000001</v>
      </c>
      <c r="N21" s="18">
        <v>27738.828000000001</v>
      </c>
      <c r="O21" s="18">
        <v>2049.8290000000002</v>
      </c>
      <c r="P21" s="18">
        <v>9897.7720000000008</v>
      </c>
      <c r="Q21" s="18">
        <v>5072.1500000000005</v>
      </c>
      <c r="R21" s="18">
        <v>803.24</v>
      </c>
      <c r="S21" s="18">
        <f t="shared" si="2"/>
        <v>73597.629000000001</v>
      </c>
      <c r="T21" s="18">
        <v>5501.97</v>
      </c>
      <c r="U21" s="18">
        <v>3301.18</v>
      </c>
      <c r="V21" s="18">
        <v>14305.1</v>
      </c>
      <c r="W21" s="18">
        <v>0</v>
      </c>
      <c r="X21" s="18">
        <v>5501.97</v>
      </c>
      <c r="Y21" s="18">
        <v>3576.28</v>
      </c>
      <c r="Z21" s="18">
        <v>2475.89</v>
      </c>
      <c r="AA21" s="53">
        <f t="shared" si="3"/>
        <v>34662.39</v>
      </c>
      <c r="AB21" s="18">
        <v>114441</v>
      </c>
      <c r="AC21" s="18">
        <v>135145</v>
      </c>
      <c r="AD21" s="53">
        <f t="shared" si="4"/>
        <v>249586</v>
      </c>
      <c r="AE21" s="18">
        <v>91745.4</v>
      </c>
      <c r="AF21" s="18">
        <v>2.821895</v>
      </c>
      <c r="AG21" s="18">
        <v>104.41840000000001</v>
      </c>
      <c r="AH21" s="31">
        <f t="shared" si="34"/>
        <v>773754.82503999991</v>
      </c>
      <c r="AI21" s="54">
        <f t="shared" si="35"/>
        <v>1015684.15304</v>
      </c>
      <c r="AJ21" s="8">
        <f t="shared" si="5"/>
        <v>91745.4</v>
      </c>
      <c r="AK21" s="8">
        <f t="shared" si="6"/>
        <v>229155.79309999998</v>
      </c>
      <c r="AL21" s="8">
        <f t="shared" si="36"/>
        <v>320901.19309999997</v>
      </c>
      <c r="AM21" s="8">
        <f t="shared" si="7"/>
        <v>207906.00394999998</v>
      </c>
      <c r="AN21" s="17">
        <f t="shared" si="8"/>
        <v>142089.65210000001</v>
      </c>
      <c r="AO21" s="17">
        <f t="shared" si="9"/>
        <v>29260.346890000001</v>
      </c>
      <c r="AP21" s="17">
        <f t="shared" si="10"/>
        <v>38439.840000000004</v>
      </c>
      <c r="AQ21" s="17">
        <f t="shared" si="11"/>
        <v>35157.789000000004</v>
      </c>
      <c r="AR21" s="17">
        <f t="shared" si="12"/>
        <v>123989.2497</v>
      </c>
      <c r="AS21" s="17">
        <f t="shared" si="13"/>
        <v>117940.07829999999</v>
      </c>
      <c r="AT21" s="26">
        <f t="shared" si="37"/>
        <v>0.6478816795337119</v>
      </c>
      <c r="AU21" s="26">
        <f t="shared" si="38"/>
        <v>9.0328671295501498E-2</v>
      </c>
      <c r="AV21" s="24">
        <v>200</v>
      </c>
      <c r="AW21" s="24">
        <v>350</v>
      </c>
      <c r="AX21" s="24">
        <v>17</v>
      </c>
      <c r="AY21" s="24">
        <v>200</v>
      </c>
      <c r="AZ21" s="24">
        <v>300</v>
      </c>
      <c r="BA21" s="24">
        <v>2.5</v>
      </c>
      <c r="BB21" s="26">
        <f t="shared" si="14"/>
        <v>0.13101829754462202</v>
      </c>
      <c r="BC21" s="26">
        <v>0.55000000000000004</v>
      </c>
      <c r="BD21" s="21">
        <f t="shared" si="15"/>
        <v>1.8320248621850603E-2</v>
      </c>
      <c r="BE21" s="22">
        <f t="shared" si="16"/>
        <v>3.1249989077341164E-2</v>
      </c>
      <c r="BF21" s="22">
        <f t="shared" si="17"/>
        <v>4.5695665642181409E-2</v>
      </c>
      <c r="BG21" s="28">
        <v>3.5000000000000003E-2</v>
      </c>
      <c r="BH21" s="28">
        <v>0.21129999999999999</v>
      </c>
      <c r="BI21" s="28">
        <v>0.04</v>
      </c>
      <c r="BJ21" s="22">
        <v>1.1000000000000001</v>
      </c>
      <c r="BK21" s="22">
        <f t="shared" si="18"/>
        <v>0.62334957017964465</v>
      </c>
      <c r="BL21" s="22">
        <v>0.95</v>
      </c>
      <c r="BM21" s="22">
        <v>0.56786000000000003</v>
      </c>
      <c r="BN21" s="22">
        <v>0.53549999999999998</v>
      </c>
      <c r="BO21" s="22">
        <v>0.13916800000000001</v>
      </c>
      <c r="BP21" s="22">
        <v>0.14448000000000003</v>
      </c>
      <c r="BQ21" s="35">
        <v>18.46</v>
      </c>
      <c r="BR21" s="24">
        <v>0</v>
      </c>
      <c r="BS21" s="24">
        <v>0.67</v>
      </c>
      <c r="BT21" s="24">
        <v>0</v>
      </c>
      <c r="BU21" s="24">
        <v>0.33</v>
      </c>
      <c r="BV21" s="24">
        <v>2.821895</v>
      </c>
      <c r="BW21" s="24">
        <v>104.41840000000001</v>
      </c>
      <c r="BX21" s="70">
        <f t="shared" si="39"/>
        <v>27033494.133939009</v>
      </c>
      <c r="BY21" s="24">
        <f t="shared" si="31"/>
        <v>200</v>
      </c>
      <c r="BZ21" s="24">
        <f t="shared" si="32"/>
        <v>350</v>
      </c>
      <c r="CA21" s="23">
        <f t="shared" si="21"/>
        <v>160</v>
      </c>
      <c r="CB21" s="23">
        <f t="shared" si="22"/>
        <v>280</v>
      </c>
      <c r="CC21" s="24">
        <f t="shared" si="23"/>
        <v>189.48069485553955</v>
      </c>
      <c r="CD21" s="25">
        <f t="shared" si="24"/>
        <v>345.23068032558649</v>
      </c>
      <c r="CE21" s="24">
        <f t="shared" si="40"/>
        <v>0.20054794520547944</v>
      </c>
      <c r="CF21" s="26">
        <f t="shared" si="33"/>
        <v>0.36493150684931508</v>
      </c>
      <c r="CG21" s="26">
        <f t="shared" si="27"/>
        <v>0.20054794520547944</v>
      </c>
      <c r="CH21" s="26">
        <f t="shared" si="28"/>
        <v>0.36493150684931508</v>
      </c>
      <c r="CI21" s="26">
        <f t="shared" si="29"/>
        <v>0.20054794520547944</v>
      </c>
      <c r="CJ21" s="26">
        <f t="shared" si="30"/>
        <v>0.36493150684931508</v>
      </c>
    </row>
    <row r="22" spans="1:88">
      <c r="A22" s="19">
        <v>18</v>
      </c>
      <c r="B22" s="3" t="s">
        <v>275</v>
      </c>
      <c r="C22" s="3" t="s">
        <v>79</v>
      </c>
      <c r="D22" s="8">
        <v>0</v>
      </c>
      <c r="E22" s="8">
        <v>4400.6334230000002</v>
      </c>
      <c r="F22" s="8">
        <v>14330.268050000001</v>
      </c>
      <c r="G22" s="8">
        <v>2031.061592</v>
      </c>
      <c r="H22" s="8">
        <v>6995.8788830000003</v>
      </c>
      <c r="I22" s="8">
        <v>3949.2864070000001</v>
      </c>
      <c r="J22" s="8">
        <v>4400.633476</v>
      </c>
      <c r="K22" s="8">
        <f t="shared" si="1"/>
        <v>36107.761831000003</v>
      </c>
      <c r="L22" s="18">
        <v>0</v>
      </c>
      <c r="M22" s="18">
        <v>451.34699999999998</v>
      </c>
      <c r="N22" s="18">
        <v>1918.22</v>
      </c>
      <c r="O22" s="18">
        <v>451.34699999999998</v>
      </c>
      <c r="P22" s="18">
        <v>789.85699999999997</v>
      </c>
      <c r="Q22" s="18">
        <v>112.837</v>
      </c>
      <c r="R22" s="18">
        <v>112.837</v>
      </c>
      <c r="S22" s="18">
        <f t="shared" si="2"/>
        <v>3836.4449999999997</v>
      </c>
      <c r="T22" s="18">
        <v>0</v>
      </c>
      <c r="U22" s="18">
        <v>0</v>
      </c>
      <c r="V22" s="18">
        <v>451.34699999999998</v>
      </c>
      <c r="W22" s="18">
        <v>0</v>
      </c>
      <c r="X22" s="18">
        <v>0</v>
      </c>
      <c r="Y22" s="18">
        <v>338.51</v>
      </c>
      <c r="Z22" s="18">
        <v>282.09199999999998</v>
      </c>
      <c r="AA22" s="53">
        <f t="shared" si="3"/>
        <v>1071.9490000000001</v>
      </c>
      <c r="AB22" s="18">
        <v>4062.12</v>
      </c>
      <c r="AC22" s="18">
        <v>5190.49</v>
      </c>
      <c r="AD22" s="53">
        <f t="shared" si="4"/>
        <v>9252.61</v>
      </c>
      <c r="AE22" s="18">
        <v>6093.18</v>
      </c>
      <c r="AF22" s="18">
        <v>3.3017859999999999</v>
      </c>
      <c r="AG22" s="18">
        <v>94.017859999999999</v>
      </c>
      <c r="AH22" s="31">
        <f t="shared" si="34"/>
        <v>32045.633948000002</v>
      </c>
      <c r="AI22" s="54">
        <f t="shared" si="35"/>
        <v>41016.155831000004</v>
      </c>
      <c r="AJ22" s="8">
        <f t="shared" si="5"/>
        <v>6093.18</v>
      </c>
      <c r="AK22" s="8">
        <f t="shared" si="6"/>
        <v>8688.43505</v>
      </c>
      <c r="AL22" s="8">
        <f t="shared" si="36"/>
        <v>14781.61505</v>
      </c>
      <c r="AM22" s="8">
        <f t="shared" si="7"/>
        <v>4400.6334230000002</v>
      </c>
      <c r="AN22" s="17">
        <f t="shared" si="8"/>
        <v>6995.8788830000003</v>
      </c>
      <c r="AO22" s="17">
        <f t="shared" si="9"/>
        <v>2031.061592</v>
      </c>
      <c r="AP22" s="17">
        <f t="shared" si="10"/>
        <v>2820.9140000000002</v>
      </c>
      <c r="AQ22" s="17">
        <f t="shared" si="11"/>
        <v>1015.5309999999999</v>
      </c>
      <c r="AR22" s="17">
        <f t="shared" si="12"/>
        <v>4682.7254759999996</v>
      </c>
      <c r="AS22" s="17">
        <f t="shared" si="13"/>
        <v>4287.7964069999998</v>
      </c>
      <c r="AT22" s="26">
        <f t="shared" si="37"/>
        <v>0.29770991925540641</v>
      </c>
      <c r="AU22" s="26">
        <f t="shared" si="38"/>
        <v>0.14855560879732119</v>
      </c>
      <c r="AV22" s="24">
        <v>200</v>
      </c>
      <c r="AW22" s="24">
        <v>350</v>
      </c>
      <c r="AX22" s="24">
        <v>17</v>
      </c>
      <c r="AY22" s="24">
        <v>200</v>
      </c>
      <c r="AZ22" s="24">
        <v>300</v>
      </c>
      <c r="BA22" s="24">
        <v>2.5</v>
      </c>
      <c r="BB22" s="26">
        <f t="shared" si="14"/>
        <v>0.16030501349038986</v>
      </c>
      <c r="BC22" s="26">
        <v>0.55000000000000004</v>
      </c>
      <c r="BD22" s="21">
        <f t="shared" si="15"/>
        <v>5.434785540478837E-2</v>
      </c>
      <c r="BE22" s="22">
        <f t="shared" si="16"/>
        <v>8.3333333333333329E-2</v>
      </c>
      <c r="BF22" s="22">
        <f t="shared" si="17"/>
        <v>2.4096384290451921E-2</v>
      </c>
      <c r="BG22" s="28">
        <v>3.5000000000000003E-2</v>
      </c>
      <c r="BH22" s="28">
        <v>0.21129999999999999</v>
      </c>
      <c r="BI22" s="28">
        <v>0.04</v>
      </c>
      <c r="BJ22" s="22">
        <v>1.1000000000000001</v>
      </c>
      <c r="BK22" s="22">
        <f t="shared" si="18"/>
        <v>0</v>
      </c>
      <c r="BL22" s="22">
        <v>0.95</v>
      </c>
      <c r="BM22" s="22">
        <v>0.52244999999999997</v>
      </c>
      <c r="BN22" s="22">
        <v>0.50700000000000001</v>
      </c>
      <c r="BO22" s="22">
        <v>0.11982480000000002</v>
      </c>
      <c r="BP22" s="22">
        <v>0.12960000000000002</v>
      </c>
      <c r="BQ22" s="35">
        <v>18.46</v>
      </c>
      <c r="BR22" s="24">
        <v>0</v>
      </c>
      <c r="BS22" s="24">
        <v>0</v>
      </c>
      <c r="BT22" s="24">
        <v>0.25</v>
      </c>
      <c r="BU22" s="24">
        <v>0.75</v>
      </c>
      <c r="BV22" s="24">
        <v>3.3017859999999999</v>
      </c>
      <c r="BW22" s="24">
        <v>94.017859999999999</v>
      </c>
      <c r="BX22" s="70">
        <f t="shared" si="39"/>
        <v>1891486.6976339719</v>
      </c>
      <c r="BY22" s="24">
        <f t="shared" si="31"/>
        <v>200</v>
      </c>
      <c r="BZ22" s="24">
        <f t="shared" si="32"/>
        <v>350</v>
      </c>
      <c r="CA22" s="23">
        <f t="shared" si="21"/>
        <v>160</v>
      </c>
      <c r="CB22" s="23">
        <f t="shared" si="22"/>
        <v>280</v>
      </c>
      <c r="CC22" s="24">
        <f t="shared" si="23"/>
        <v>188.33331548549023</v>
      </c>
      <c r="CD22" s="25">
        <f t="shared" si="24"/>
        <v>315</v>
      </c>
      <c r="CE22" s="24">
        <f t="shared" si="40"/>
        <v>0.20054794520547944</v>
      </c>
      <c r="CF22" s="26">
        <f t="shared" si="33"/>
        <v>0.36493150684931508</v>
      </c>
      <c r="CG22" s="26">
        <f t="shared" si="27"/>
        <v>0.20054794520547944</v>
      </c>
      <c r="CH22" s="26">
        <f t="shared" si="28"/>
        <v>0.36493150684931508</v>
      </c>
      <c r="CI22" s="26">
        <f t="shared" si="29"/>
        <v>0.20054794520547944</v>
      </c>
      <c r="CJ22" s="26">
        <f t="shared" si="30"/>
        <v>0.36493150684931508</v>
      </c>
    </row>
    <row r="23" spans="1:88">
      <c r="A23" s="19">
        <v>19</v>
      </c>
      <c r="B23" s="3" t="s">
        <v>276</v>
      </c>
      <c r="C23" s="3" t="s">
        <v>79</v>
      </c>
      <c r="D23" s="8">
        <v>146519.9099</v>
      </c>
      <c r="E23" s="8">
        <v>114949.0143</v>
      </c>
      <c r="F23" s="8">
        <v>302833.0295</v>
      </c>
      <c r="G23" s="8">
        <v>30370.993289999999</v>
      </c>
      <c r="H23" s="8">
        <v>83437.118770000001</v>
      </c>
      <c r="I23" s="8">
        <v>129254.8345</v>
      </c>
      <c r="J23" s="8">
        <v>156048.12270000001</v>
      </c>
      <c r="K23" s="8">
        <f t="shared" si="1"/>
        <v>963413.02295999997</v>
      </c>
      <c r="L23" s="18">
        <v>16672.599999999999</v>
      </c>
      <c r="M23" s="18">
        <v>43199.232299999996</v>
      </c>
      <c r="N23" s="18">
        <v>36754.226999999999</v>
      </c>
      <c r="O23" s="18">
        <v>0</v>
      </c>
      <c r="P23" s="18">
        <v>4838.6099999999997</v>
      </c>
      <c r="Q23" s="18">
        <v>1786.35</v>
      </c>
      <c r="R23" s="18">
        <v>1190.9000000000001</v>
      </c>
      <c r="S23" s="18">
        <f t="shared" si="2"/>
        <v>104441.91929999999</v>
      </c>
      <c r="T23" s="18">
        <v>5954.51</v>
      </c>
      <c r="U23" s="18">
        <v>9378.35</v>
      </c>
      <c r="V23" s="18">
        <v>23818</v>
      </c>
      <c r="W23" s="18">
        <v>595.45100000000002</v>
      </c>
      <c r="X23" s="18">
        <v>8336.31</v>
      </c>
      <c r="Y23" s="18">
        <v>3572.71</v>
      </c>
      <c r="Z23" s="18">
        <v>1190.9000000000001</v>
      </c>
      <c r="AA23" s="53">
        <f t="shared" si="3"/>
        <v>52846.231</v>
      </c>
      <c r="AB23" s="18">
        <v>135167</v>
      </c>
      <c r="AC23" s="18">
        <v>164444</v>
      </c>
      <c r="AD23" s="53">
        <f t="shared" si="4"/>
        <v>299611</v>
      </c>
      <c r="AE23" s="18">
        <v>110456</v>
      </c>
      <c r="AF23" s="18">
        <v>2.581731</v>
      </c>
      <c r="AG23" s="18">
        <v>98.032610000000005</v>
      </c>
      <c r="AH23" s="31">
        <f t="shared" si="34"/>
        <v>830634.60606000002</v>
      </c>
      <c r="AI23" s="54">
        <f t="shared" si="35"/>
        <v>1120701.1732600001</v>
      </c>
      <c r="AJ23" s="8">
        <f t="shared" si="5"/>
        <v>110456</v>
      </c>
      <c r="AK23" s="8">
        <f t="shared" si="6"/>
        <v>216195.0295</v>
      </c>
      <c r="AL23" s="8">
        <f t="shared" si="36"/>
        <v>326651.0295</v>
      </c>
      <c r="AM23" s="8">
        <f t="shared" si="7"/>
        <v>276801.78419999999</v>
      </c>
      <c r="AN23" s="17">
        <f t="shared" si="8"/>
        <v>91773.428769999999</v>
      </c>
      <c r="AO23" s="17">
        <f t="shared" si="9"/>
        <v>30966.444289999999</v>
      </c>
      <c r="AP23" s="17">
        <f t="shared" si="10"/>
        <v>42783.737000000001</v>
      </c>
      <c r="AQ23" s="17">
        <f t="shared" si="11"/>
        <v>61658.182299999993</v>
      </c>
      <c r="AR23" s="17">
        <f t="shared" si="12"/>
        <v>157239.0227</v>
      </c>
      <c r="AS23" s="17">
        <f t="shared" si="13"/>
        <v>132827.54449999999</v>
      </c>
      <c r="AT23" s="26">
        <f t="shared" si="37"/>
        <v>0.8473929643622935</v>
      </c>
      <c r="AU23" s="26">
        <f t="shared" si="38"/>
        <v>9.8559725496400866E-2</v>
      </c>
      <c r="AV23" s="24">
        <v>200</v>
      </c>
      <c r="AW23" s="24">
        <v>350</v>
      </c>
      <c r="AX23" s="24">
        <v>17</v>
      </c>
      <c r="AY23" s="24">
        <v>200</v>
      </c>
      <c r="AZ23" s="24">
        <v>300</v>
      </c>
      <c r="BA23" s="24">
        <v>2.5</v>
      </c>
      <c r="BB23" s="26">
        <f t="shared" si="14"/>
        <v>0.1854340612142476</v>
      </c>
      <c r="BC23" s="26">
        <v>0.55000000000000004</v>
      </c>
      <c r="BD23" s="21">
        <f t="shared" si="15"/>
        <v>7.2419790323757635E-3</v>
      </c>
      <c r="BE23" s="22">
        <f t="shared" si="16"/>
        <v>2.6431821376519418E-2</v>
      </c>
      <c r="BF23" s="22">
        <f t="shared" si="17"/>
        <v>6.9379274240141633E-2</v>
      </c>
      <c r="BG23" s="28">
        <v>3.5000000000000003E-2</v>
      </c>
      <c r="BH23" s="28">
        <v>0.21129999999999999</v>
      </c>
      <c r="BI23" s="28">
        <v>0.04</v>
      </c>
      <c r="BJ23" s="22">
        <v>1.1000000000000001</v>
      </c>
      <c r="BK23" s="22">
        <f t="shared" si="18"/>
        <v>0.55084334207120333</v>
      </c>
      <c r="BL23" s="22">
        <v>0.95</v>
      </c>
      <c r="BM23" s="22">
        <v>0.52244999999999997</v>
      </c>
      <c r="BN23" s="22">
        <v>0.50700000000000001</v>
      </c>
      <c r="BO23" s="22">
        <v>0.11982480000000002</v>
      </c>
      <c r="BP23" s="22">
        <v>0.12960000000000002</v>
      </c>
      <c r="BQ23" s="35">
        <v>18.46</v>
      </c>
      <c r="BR23" s="24">
        <v>0</v>
      </c>
      <c r="BS23" s="24">
        <v>0</v>
      </c>
      <c r="BT23" s="24">
        <v>0.25</v>
      </c>
      <c r="BU23" s="24">
        <v>0.75</v>
      </c>
      <c r="BV23" s="24">
        <v>2.581731</v>
      </c>
      <c r="BW23" s="24">
        <v>98.032610000000005</v>
      </c>
      <c r="BX23" s="70">
        <f t="shared" si="39"/>
        <v>27955731.892951149</v>
      </c>
      <c r="BY23" s="24">
        <f t="shared" si="31"/>
        <v>200</v>
      </c>
      <c r="BZ23" s="24">
        <f t="shared" si="32"/>
        <v>350</v>
      </c>
      <c r="CA23" s="23">
        <f t="shared" si="21"/>
        <v>160</v>
      </c>
      <c r="CB23" s="23">
        <f t="shared" si="22"/>
        <v>280</v>
      </c>
      <c r="CC23" s="24">
        <f t="shared" si="23"/>
        <v>195.34668914265211</v>
      </c>
      <c r="CD23" s="25">
        <f t="shared" si="24"/>
        <v>350</v>
      </c>
      <c r="CE23" s="24">
        <f t="shared" si="40"/>
        <v>0.20054794520547944</v>
      </c>
      <c r="CF23" s="26">
        <f t="shared" si="33"/>
        <v>0.36493150684931508</v>
      </c>
      <c r="CG23" s="26">
        <f t="shared" si="27"/>
        <v>0.20054794520547944</v>
      </c>
      <c r="CH23" s="26">
        <f t="shared" si="28"/>
        <v>0.36493150684931508</v>
      </c>
      <c r="CI23" s="26">
        <f t="shared" si="29"/>
        <v>0.20054794520547944</v>
      </c>
      <c r="CJ23" s="26">
        <f t="shared" si="30"/>
        <v>0.36493150684931508</v>
      </c>
    </row>
    <row r="24" spans="1:88">
      <c r="A24" s="19">
        <v>20</v>
      </c>
      <c r="B24" s="3" t="s">
        <v>277</v>
      </c>
      <c r="C24" s="3" t="s">
        <v>79</v>
      </c>
      <c r="D24" s="8">
        <v>3494.2373050000001</v>
      </c>
      <c r="E24" s="8">
        <v>6193.4746089999999</v>
      </c>
      <c r="F24" s="8">
        <v>55673.270510000002</v>
      </c>
      <c r="G24" s="8">
        <v>3159.2373050000001</v>
      </c>
      <c r="H24" s="8">
        <v>23547.279790000001</v>
      </c>
      <c r="I24" s="8">
        <v>21587.66113</v>
      </c>
      <c r="J24" s="8">
        <v>24844.898440000001</v>
      </c>
      <c r="K24" s="8">
        <f t="shared" si="1"/>
        <v>138500.05908899999</v>
      </c>
      <c r="L24" s="18">
        <v>148.59299999999999</v>
      </c>
      <c r="M24" s="18">
        <v>94.461399999999998</v>
      </c>
      <c r="N24" s="18">
        <v>1688.1669999999999</v>
      </c>
      <c r="O24" s="18">
        <v>6.9910199999999998</v>
      </c>
      <c r="P24" s="18">
        <v>135.364</v>
      </c>
      <c r="Q24" s="18">
        <v>3096.0403999999999</v>
      </c>
      <c r="R24" s="18">
        <v>1574.7782999999999</v>
      </c>
      <c r="S24" s="18">
        <f t="shared" si="2"/>
        <v>6744.3951199999992</v>
      </c>
      <c r="T24" s="18">
        <v>0</v>
      </c>
      <c r="U24" s="18">
        <v>0</v>
      </c>
      <c r="V24" s="18">
        <v>0</v>
      </c>
      <c r="W24" s="18">
        <v>0</v>
      </c>
      <c r="X24" s="18">
        <v>0</v>
      </c>
      <c r="Y24" s="18">
        <v>0</v>
      </c>
      <c r="Z24" s="18">
        <v>0</v>
      </c>
      <c r="AA24" s="53">
        <f t="shared" si="3"/>
        <v>0</v>
      </c>
      <c r="AB24" s="18">
        <v>21358.7</v>
      </c>
      <c r="AC24" s="18">
        <v>24409.9</v>
      </c>
      <c r="AD24" s="53">
        <f t="shared" si="4"/>
        <v>45768.600000000006</v>
      </c>
      <c r="AE24" s="18">
        <v>6102.47</v>
      </c>
      <c r="AF24" s="18">
        <v>3.625</v>
      </c>
      <c r="AG24" s="18">
        <v>112</v>
      </c>
      <c r="AH24" s="31">
        <f t="shared" si="34"/>
        <v>98811.894638999991</v>
      </c>
      <c r="AI24" s="54">
        <f t="shared" si="35"/>
        <v>145244.45420899999</v>
      </c>
      <c r="AJ24" s="8">
        <f t="shared" si="5"/>
        <v>6102.47</v>
      </c>
      <c r="AK24" s="8">
        <f t="shared" si="6"/>
        <v>49570.800510000001</v>
      </c>
      <c r="AL24" s="8">
        <f t="shared" si="36"/>
        <v>55673.270510000002</v>
      </c>
      <c r="AM24" s="8">
        <f t="shared" si="7"/>
        <v>9687.7119139999995</v>
      </c>
      <c r="AN24" s="17">
        <f t="shared" si="8"/>
        <v>23547.279790000001</v>
      </c>
      <c r="AO24" s="17">
        <f t="shared" si="9"/>
        <v>3159.2373050000001</v>
      </c>
      <c r="AP24" s="17">
        <f t="shared" si="10"/>
        <v>3398.3092999999999</v>
      </c>
      <c r="AQ24" s="17">
        <f t="shared" si="11"/>
        <v>3346.0858199999998</v>
      </c>
      <c r="AR24" s="17">
        <f t="shared" si="12"/>
        <v>24844.898440000001</v>
      </c>
      <c r="AS24" s="17">
        <f t="shared" si="13"/>
        <v>21587.66113</v>
      </c>
      <c r="AT24" s="26">
        <f t="shared" si="37"/>
        <v>0.17401010979335044</v>
      </c>
      <c r="AU24" s="26">
        <f t="shared" si="38"/>
        <v>4.2015167004027784E-2</v>
      </c>
      <c r="AV24" s="24">
        <v>200</v>
      </c>
      <c r="AW24" s="24">
        <v>350</v>
      </c>
      <c r="AX24" s="24">
        <v>17</v>
      </c>
      <c r="AY24" s="24">
        <v>200</v>
      </c>
      <c r="AZ24" s="24">
        <v>300</v>
      </c>
      <c r="BA24" s="24">
        <v>2.5</v>
      </c>
      <c r="BB24" s="26">
        <f t="shared" si="14"/>
        <v>0.05</v>
      </c>
      <c r="BC24" s="26">
        <v>0.55000000000000004</v>
      </c>
      <c r="BD24" s="21">
        <f t="shared" si="15"/>
        <v>0</v>
      </c>
      <c r="BE24" s="22">
        <f t="shared" si="16"/>
        <v>0</v>
      </c>
      <c r="BF24" s="22">
        <f t="shared" si="17"/>
        <v>0</v>
      </c>
      <c r="BG24" s="28">
        <v>3.5000000000000003E-2</v>
      </c>
      <c r="BH24" s="28">
        <v>0.21129999999999999</v>
      </c>
      <c r="BI24" s="28">
        <v>0.04</v>
      </c>
      <c r="BJ24" s="22">
        <v>1.1000000000000001</v>
      </c>
      <c r="BK24" s="22">
        <f t="shared" si="18"/>
        <v>0.36068757370358778</v>
      </c>
      <c r="BL24" s="22">
        <v>0.95</v>
      </c>
      <c r="BM24" s="22">
        <v>0.52244999999999997</v>
      </c>
      <c r="BN24" s="22">
        <v>0.50700000000000001</v>
      </c>
      <c r="BO24" s="22">
        <v>0.11982480000000002</v>
      </c>
      <c r="BP24" s="22">
        <v>0.12960000000000002</v>
      </c>
      <c r="BQ24" s="35">
        <v>18.46</v>
      </c>
      <c r="BR24" s="24">
        <v>0</v>
      </c>
      <c r="BS24" s="24">
        <v>0</v>
      </c>
      <c r="BT24" s="24">
        <v>0.25</v>
      </c>
      <c r="BU24" s="24">
        <v>0.75</v>
      </c>
      <c r="BV24" s="24">
        <v>3.625</v>
      </c>
      <c r="BW24" s="24">
        <v>112</v>
      </c>
      <c r="BX24" s="70">
        <f t="shared" si="39"/>
        <v>2477602.8200000003</v>
      </c>
      <c r="BY24" s="24">
        <f t="shared" si="31"/>
        <v>200</v>
      </c>
      <c r="BZ24" s="24">
        <f t="shared" si="32"/>
        <v>350</v>
      </c>
      <c r="CA24" s="23">
        <f t="shared" si="21"/>
        <v>160</v>
      </c>
      <c r="CB24" s="23">
        <f t="shared" si="22"/>
        <v>280</v>
      </c>
      <c r="CC24" s="24">
        <f t="shared" si="23"/>
        <v>197.03072774743066</v>
      </c>
      <c r="CD24" s="25">
        <f t="shared" si="24"/>
        <v>348.0428699713836</v>
      </c>
      <c r="CE24" s="24">
        <f t="shared" si="40"/>
        <v>0.20054794520547944</v>
      </c>
      <c r="CF24" s="26">
        <f t="shared" si="33"/>
        <v>0.36493150684931508</v>
      </c>
      <c r="CG24" s="26">
        <f t="shared" si="27"/>
        <v>0.20054794520547944</v>
      </c>
      <c r="CH24" s="26">
        <f t="shared" si="28"/>
        <v>0.36493150684931508</v>
      </c>
      <c r="CI24" s="26">
        <f t="shared" si="29"/>
        <v>0.20054794520547944</v>
      </c>
      <c r="CJ24" s="26">
        <f t="shared" si="30"/>
        <v>0.36493150684931508</v>
      </c>
    </row>
    <row r="25" spans="1:88">
      <c r="A25" s="19">
        <v>21</v>
      </c>
      <c r="B25" s="3" t="s">
        <v>278</v>
      </c>
      <c r="C25" s="3" t="s">
        <v>80</v>
      </c>
      <c r="D25" s="8">
        <v>275075.99170000001</v>
      </c>
      <c r="E25" s="8">
        <v>189986.51209999999</v>
      </c>
      <c r="F25" s="8">
        <v>467914.76500000001</v>
      </c>
      <c r="G25" s="8">
        <v>74855.951570000005</v>
      </c>
      <c r="H25" s="8">
        <v>304432.57270000002</v>
      </c>
      <c r="I25" s="8">
        <v>175761.4736</v>
      </c>
      <c r="J25" s="8">
        <v>176572.976</v>
      </c>
      <c r="K25" s="8">
        <f t="shared" si="1"/>
        <v>1664600.2426700001</v>
      </c>
      <c r="L25" s="18">
        <v>13853.838459999999</v>
      </c>
      <c r="M25" s="18">
        <v>20975.656060999998</v>
      </c>
      <c r="N25" s="18">
        <v>45125.933299999997</v>
      </c>
      <c r="O25" s="18">
        <v>4752.8509600000007</v>
      </c>
      <c r="P25" s="18">
        <v>5158.9561000000003</v>
      </c>
      <c r="Q25" s="18">
        <v>2779.1127000000001</v>
      </c>
      <c r="R25" s="18">
        <v>1985.29636</v>
      </c>
      <c r="S25" s="18">
        <f t="shared" si="2"/>
        <v>94631.643940999973</v>
      </c>
      <c r="T25" s="18">
        <v>9102.27</v>
      </c>
      <c r="U25" s="18">
        <v>11081</v>
      </c>
      <c r="V25" s="18">
        <v>42741.1</v>
      </c>
      <c r="W25" s="18">
        <v>0</v>
      </c>
      <c r="X25" s="18">
        <v>10289.5</v>
      </c>
      <c r="Y25" s="18">
        <v>2374.5100000000002</v>
      </c>
      <c r="Z25" s="18">
        <v>5144.76</v>
      </c>
      <c r="AA25" s="53">
        <f t="shared" si="3"/>
        <v>80733.139999999985</v>
      </c>
      <c r="AB25" s="18">
        <v>179275</v>
      </c>
      <c r="AC25" s="18">
        <v>176901</v>
      </c>
      <c r="AD25" s="53">
        <f t="shared" si="4"/>
        <v>356176</v>
      </c>
      <c r="AE25" s="18">
        <v>177296</v>
      </c>
      <c r="AF25" s="18">
        <v>3.0977640000000002</v>
      </c>
      <c r="AG25" s="18">
        <v>106.53270000000001</v>
      </c>
      <c r="AH25" s="31">
        <f t="shared" si="34"/>
        <v>1480111.3070110003</v>
      </c>
      <c r="AI25" s="54">
        <f t="shared" si="35"/>
        <v>1839965.0266110003</v>
      </c>
      <c r="AJ25" s="8">
        <f t="shared" si="5"/>
        <v>177296</v>
      </c>
      <c r="AK25" s="8">
        <f t="shared" si="6"/>
        <v>333359.86499999999</v>
      </c>
      <c r="AL25" s="8">
        <f t="shared" si="36"/>
        <v>510655.86499999999</v>
      </c>
      <c r="AM25" s="8">
        <f t="shared" si="7"/>
        <v>485245.77380000002</v>
      </c>
      <c r="AN25" s="17">
        <f t="shared" si="8"/>
        <v>314722.07270000002</v>
      </c>
      <c r="AO25" s="17">
        <f t="shared" si="9"/>
        <v>74855.951570000005</v>
      </c>
      <c r="AP25" s="17">
        <f t="shared" si="10"/>
        <v>52270.18576</v>
      </c>
      <c r="AQ25" s="17">
        <f t="shared" si="11"/>
        <v>42361.458181000002</v>
      </c>
      <c r="AR25" s="17">
        <f t="shared" si="12"/>
        <v>181717.736</v>
      </c>
      <c r="AS25" s="17">
        <f t="shared" si="13"/>
        <v>178135.98360000001</v>
      </c>
      <c r="AT25" s="26">
        <f t="shared" si="37"/>
        <v>0.95024028324828902</v>
      </c>
      <c r="AU25" s="26">
        <f t="shared" si="38"/>
        <v>9.6358353249006282E-2</v>
      </c>
      <c r="AV25" s="24">
        <v>200</v>
      </c>
      <c r="AW25" s="24">
        <v>350</v>
      </c>
      <c r="AX25" s="24">
        <v>17</v>
      </c>
      <c r="AY25" s="24">
        <v>200</v>
      </c>
      <c r="AZ25" s="24">
        <v>300</v>
      </c>
      <c r="BA25" s="24">
        <v>2.5</v>
      </c>
      <c r="BB25" s="26">
        <f t="shared" si="14"/>
        <v>0.17206702071266722</v>
      </c>
      <c r="BC25" s="26">
        <v>0.55000000000000004</v>
      </c>
      <c r="BD25" s="21">
        <f t="shared" si="15"/>
        <v>2.9082707276951517E-2</v>
      </c>
      <c r="BE25" s="22">
        <f t="shared" si="16"/>
        <v>1.3245070422535213E-2</v>
      </c>
      <c r="BF25" s="22">
        <f t="shared" si="17"/>
        <v>6.7444697855215313E-2</v>
      </c>
      <c r="BG25" s="28">
        <v>3.5000000000000003E-2</v>
      </c>
      <c r="BH25" s="28">
        <v>0.21129999999999999</v>
      </c>
      <c r="BI25" s="28">
        <v>0.04</v>
      </c>
      <c r="BJ25" s="22">
        <v>1.1000000000000001</v>
      </c>
      <c r="BK25" s="22">
        <f t="shared" si="18"/>
        <v>0.58563778819664192</v>
      </c>
      <c r="BL25" s="22">
        <v>0.95</v>
      </c>
      <c r="BM25" s="22">
        <v>0.51885000000000003</v>
      </c>
      <c r="BN25" s="22">
        <v>0.50700000000000001</v>
      </c>
      <c r="BO25" s="22">
        <v>0.12104000000000001</v>
      </c>
      <c r="BP25" s="22">
        <v>0.12960000000000002</v>
      </c>
      <c r="BQ25" s="35">
        <v>18.46</v>
      </c>
      <c r="BR25" s="24">
        <v>0.2</v>
      </c>
      <c r="BS25" s="24">
        <v>0</v>
      </c>
      <c r="BT25" s="24">
        <v>0.2</v>
      </c>
      <c r="BU25" s="24">
        <v>0.6</v>
      </c>
      <c r="BV25" s="24">
        <v>3.0977640000000002</v>
      </c>
      <c r="BW25" s="24">
        <v>106.53270000000001</v>
      </c>
      <c r="BX25" s="70">
        <f t="shared" si="39"/>
        <v>58510013.726468913</v>
      </c>
      <c r="BY25" s="24">
        <f t="shared" si="31"/>
        <v>200</v>
      </c>
      <c r="BZ25" s="24">
        <f t="shared" si="32"/>
        <v>350</v>
      </c>
      <c r="CA25" s="23">
        <f t="shared" si="21"/>
        <v>160</v>
      </c>
      <c r="CB25" s="23">
        <f t="shared" si="22"/>
        <v>280</v>
      </c>
      <c r="CC25" s="24">
        <f t="shared" si="23"/>
        <v>195.89621760210136</v>
      </c>
      <c r="CD25" s="25">
        <f t="shared" si="24"/>
        <v>341.5947485385953</v>
      </c>
      <c r="CE25" s="24">
        <f t="shared" si="40"/>
        <v>0.20054794520547944</v>
      </c>
      <c r="CF25" s="26">
        <f t="shared" si="33"/>
        <v>0.36493150684931508</v>
      </c>
      <c r="CG25" s="26">
        <f t="shared" si="27"/>
        <v>0.20054794520547944</v>
      </c>
      <c r="CH25" s="26">
        <f t="shared" si="28"/>
        <v>0.36493150684931508</v>
      </c>
      <c r="CI25" s="26">
        <f t="shared" si="29"/>
        <v>0.20054794520547944</v>
      </c>
      <c r="CJ25" s="26">
        <f t="shared" si="30"/>
        <v>0.36493150684931508</v>
      </c>
    </row>
    <row r="26" spans="1:88">
      <c r="A26" s="19">
        <v>22</v>
      </c>
      <c r="B26" s="3" t="s">
        <v>279</v>
      </c>
      <c r="C26" s="3" t="s">
        <v>78</v>
      </c>
      <c r="D26" s="8">
        <v>90124.060060000003</v>
      </c>
      <c r="E26" s="8">
        <v>41001.825559999997</v>
      </c>
      <c r="F26" s="8">
        <v>117975.3193</v>
      </c>
      <c r="G26" s="8">
        <v>7735.6274409999996</v>
      </c>
      <c r="H26" s="8">
        <v>53376.829469999997</v>
      </c>
      <c r="I26" s="8">
        <v>39841.481319999999</v>
      </c>
      <c r="J26" s="8">
        <v>40614.044190000001</v>
      </c>
      <c r="K26" s="8">
        <f t="shared" si="1"/>
        <v>390669.18734100001</v>
      </c>
      <c r="L26" s="18">
        <v>3868.4766669999999</v>
      </c>
      <c r="M26" s="18">
        <v>0.4</v>
      </c>
      <c r="N26" s="18">
        <v>774.02453800000001</v>
      </c>
      <c r="O26" s="18">
        <v>3094.25</v>
      </c>
      <c r="P26" s="18">
        <v>773.56299999999999</v>
      </c>
      <c r="Q26" s="18">
        <v>386.923857</v>
      </c>
      <c r="R26" s="18">
        <v>386.98099999999999</v>
      </c>
      <c r="S26" s="18">
        <f t="shared" si="2"/>
        <v>9284.6190619999998</v>
      </c>
      <c r="T26" s="18">
        <v>773.56299999999999</v>
      </c>
      <c r="U26" s="18">
        <v>0</v>
      </c>
      <c r="V26" s="18">
        <v>2707.47</v>
      </c>
      <c r="W26" s="18">
        <v>0</v>
      </c>
      <c r="X26" s="18">
        <v>0</v>
      </c>
      <c r="Y26" s="18">
        <v>386.78100000000001</v>
      </c>
      <c r="Z26" s="18">
        <v>386.78100000000001</v>
      </c>
      <c r="AA26" s="53">
        <f t="shared" si="3"/>
        <v>4254.5950000000003</v>
      </c>
      <c r="AB26" s="18">
        <v>40225.300000000003</v>
      </c>
      <c r="AC26" s="18">
        <v>41256.699999999997</v>
      </c>
      <c r="AD26" s="53">
        <f t="shared" si="4"/>
        <v>81482</v>
      </c>
      <c r="AE26" s="18">
        <v>4447.99</v>
      </c>
      <c r="AF26" s="18">
        <v>2.8653849999999998</v>
      </c>
      <c r="AG26" s="18">
        <v>106.13639999999999</v>
      </c>
      <c r="AH26" s="31">
        <f t="shared" si="34"/>
        <v>322979.31389300001</v>
      </c>
      <c r="AI26" s="54">
        <f t="shared" si="35"/>
        <v>404208.401403</v>
      </c>
      <c r="AJ26" s="8">
        <f t="shared" si="5"/>
        <v>4447.99</v>
      </c>
      <c r="AK26" s="8">
        <f t="shared" si="6"/>
        <v>116234.7993</v>
      </c>
      <c r="AL26" s="8">
        <f t="shared" si="36"/>
        <v>120682.7893</v>
      </c>
      <c r="AM26" s="8">
        <f t="shared" si="7"/>
        <v>131899.44862000001</v>
      </c>
      <c r="AN26" s="17">
        <f t="shared" si="8"/>
        <v>53376.829469999997</v>
      </c>
      <c r="AO26" s="17">
        <f t="shared" si="9"/>
        <v>7735.6274409999996</v>
      </c>
      <c r="AP26" s="17">
        <f t="shared" si="10"/>
        <v>1934.568538</v>
      </c>
      <c r="AQ26" s="17">
        <f t="shared" si="11"/>
        <v>7350.0505240000002</v>
      </c>
      <c r="AR26" s="17">
        <f t="shared" si="12"/>
        <v>41000.825190000003</v>
      </c>
      <c r="AS26" s="17">
        <f t="shared" si="13"/>
        <v>40228.262320000002</v>
      </c>
      <c r="AT26" s="26">
        <f t="shared" si="37"/>
        <v>1.0929433217864812</v>
      </c>
      <c r="AU26" s="26">
        <f t="shared" si="38"/>
        <v>1.100419977556406E-2</v>
      </c>
      <c r="AV26" s="24">
        <v>200</v>
      </c>
      <c r="AW26" s="24">
        <v>350</v>
      </c>
      <c r="AX26" s="24">
        <v>17</v>
      </c>
      <c r="AY26" s="24">
        <v>200</v>
      </c>
      <c r="AZ26" s="24">
        <v>300</v>
      </c>
      <c r="BA26" s="24">
        <v>2.5</v>
      </c>
      <c r="BB26" s="26">
        <f t="shared" si="14"/>
        <v>0.05</v>
      </c>
      <c r="BC26" s="26">
        <v>0.55000000000000004</v>
      </c>
      <c r="BD26" s="21">
        <f t="shared" si="15"/>
        <v>9.3749863658508809E-3</v>
      </c>
      <c r="BE26" s="22">
        <f t="shared" si="16"/>
        <v>9.6153664484789417E-3</v>
      </c>
      <c r="BF26" s="22">
        <f t="shared" si="17"/>
        <v>1.397437238859583E-2</v>
      </c>
      <c r="BG26" s="28">
        <v>3.5000000000000003E-2</v>
      </c>
      <c r="BH26" s="28">
        <v>0.21129999999999999</v>
      </c>
      <c r="BI26" s="28">
        <v>0.04</v>
      </c>
      <c r="BJ26" s="22">
        <v>1.1000000000000001</v>
      </c>
      <c r="BK26" s="22">
        <f t="shared" si="18"/>
        <v>0.68914331341804502</v>
      </c>
      <c r="BL26" s="22">
        <v>0.95</v>
      </c>
      <c r="BM26" s="22">
        <v>0.56786000000000003</v>
      </c>
      <c r="BN26" s="22">
        <v>0.53549999999999998</v>
      </c>
      <c r="BO26" s="22">
        <v>0.13916800000000001</v>
      </c>
      <c r="BP26" s="22">
        <v>0.14448000000000003</v>
      </c>
      <c r="BQ26" s="35">
        <v>18.46</v>
      </c>
      <c r="BR26" s="24">
        <v>0</v>
      </c>
      <c r="BS26" s="24">
        <v>0.67</v>
      </c>
      <c r="BT26" s="24">
        <v>0</v>
      </c>
      <c r="BU26" s="24">
        <v>0.33</v>
      </c>
      <c r="BV26" s="24">
        <v>2.8653849999999998</v>
      </c>
      <c r="BW26" s="24">
        <v>106.13639999999999</v>
      </c>
      <c r="BX26" s="70">
        <f t="shared" si="39"/>
        <v>1352730.0513737865</v>
      </c>
      <c r="BY26" s="24">
        <f t="shared" si="31"/>
        <v>200</v>
      </c>
      <c r="BZ26" s="24">
        <f t="shared" si="32"/>
        <v>350</v>
      </c>
      <c r="CA26" s="23">
        <f t="shared" si="21"/>
        <v>160</v>
      </c>
      <c r="CB26" s="23">
        <f t="shared" si="22"/>
        <v>280</v>
      </c>
      <c r="CC26" s="24">
        <f t="shared" si="23"/>
        <v>180.00596461251681</v>
      </c>
      <c r="CD26" s="25">
        <f t="shared" si="24"/>
        <v>318.89364356582655</v>
      </c>
      <c r="CE26" s="24">
        <f t="shared" si="40"/>
        <v>0.20054794520547944</v>
      </c>
      <c r="CF26" s="26">
        <f t="shared" si="33"/>
        <v>0.36493150684931508</v>
      </c>
      <c r="CG26" s="26">
        <f t="shared" si="27"/>
        <v>0.20054794520547944</v>
      </c>
      <c r="CH26" s="26">
        <f t="shared" si="28"/>
        <v>0.36493150684931508</v>
      </c>
      <c r="CI26" s="26">
        <f t="shared" si="29"/>
        <v>0.20054794520547944</v>
      </c>
      <c r="CJ26" s="26">
        <f t="shared" si="30"/>
        <v>0.36493150684931508</v>
      </c>
    </row>
    <row r="27" spans="1:88">
      <c r="A27" s="19">
        <v>23</v>
      </c>
      <c r="B27" s="3" t="s">
        <v>280</v>
      </c>
      <c r="C27" s="3" t="s">
        <v>79</v>
      </c>
      <c r="D27" s="8">
        <v>59319.594149999997</v>
      </c>
      <c r="E27" s="8">
        <v>57979.442369999997</v>
      </c>
      <c r="F27" s="8">
        <v>267877.1286</v>
      </c>
      <c r="G27" s="8">
        <v>53774.971270000002</v>
      </c>
      <c r="H27" s="8">
        <v>129123.8711</v>
      </c>
      <c r="I27" s="8">
        <v>77480.780979999996</v>
      </c>
      <c r="J27" s="8">
        <v>68064.399699999994</v>
      </c>
      <c r="K27" s="8">
        <f t="shared" si="1"/>
        <v>713620.18816999998</v>
      </c>
      <c r="L27" s="18">
        <v>40792.800000000003</v>
      </c>
      <c r="M27" s="18">
        <v>61297.204682000003</v>
      </c>
      <c r="N27" s="18">
        <v>44198.57</v>
      </c>
      <c r="O27" s="18">
        <v>38725.4</v>
      </c>
      <c r="P27" s="18">
        <v>36009</v>
      </c>
      <c r="Q27" s="18">
        <v>6545.6350000000002</v>
      </c>
      <c r="R27" s="18">
        <v>7262.3559999999998</v>
      </c>
      <c r="S27" s="18">
        <f t="shared" si="2"/>
        <v>234830.96568200001</v>
      </c>
      <c r="T27" s="18">
        <v>1106.44</v>
      </c>
      <c r="U27" s="18">
        <v>4425.76</v>
      </c>
      <c r="V27" s="18">
        <v>4868.33</v>
      </c>
      <c r="W27" s="18">
        <v>1106.44</v>
      </c>
      <c r="X27" s="18">
        <v>11949.5</v>
      </c>
      <c r="Y27" s="18">
        <v>442.57600000000002</v>
      </c>
      <c r="Z27" s="18">
        <v>1991.59</v>
      </c>
      <c r="AA27" s="53">
        <f t="shared" si="3"/>
        <v>25890.636000000002</v>
      </c>
      <c r="AB27" s="18">
        <v>84532</v>
      </c>
      <c r="AC27" s="18">
        <v>69484.399999999994</v>
      </c>
      <c r="AD27" s="53">
        <f t="shared" si="4"/>
        <v>154016.4</v>
      </c>
      <c r="AE27" s="18">
        <v>65611.899999999994</v>
      </c>
      <c r="AF27" s="18">
        <v>3.0416669999999999</v>
      </c>
      <c r="AG27" s="18">
        <v>104.03189999999999</v>
      </c>
      <c r="AH27" s="31">
        <f t="shared" si="34"/>
        <v>826362.44317199988</v>
      </c>
      <c r="AI27" s="54">
        <f t="shared" si="35"/>
        <v>974341.78985199996</v>
      </c>
      <c r="AJ27" s="8">
        <f t="shared" si="5"/>
        <v>65611.899999999994</v>
      </c>
      <c r="AK27" s="8">
        <f t="shared" si="6"/>
        <v>207133.55860000002</v>
      </c>
      <c r="AL27" s="8">
        <f t="shared" si="36"/>
        <v>272745.45860000001</v>
      </c>
      <c r="AM27" s="8">
        <f t="shared" si="7"/>
        <v>122831.23651999999</v>
      </c>
      <c r="AN27" s="17">
        <f t="shared" si="8"/>
        <v>141073.37109999999</v>
      </c>
      <c r="AO27" s="17">
        <f t="shared" si="9"/>
        <v>54881.411270000004</v>
      </c>
      <c r="AP27" s="17">
        <f t="shared" si="10"/>
        <v>87469.926000000007</v>
      </c>
      <c r="AQ27" s="17">
        <f t="shared" si="11"/>
        <v>147361.039682</v>
      </c>
      <c r="AR27" s="17">
        <f t="shared" si="12"/>
        <v>70055.989699999991</v>
      </c>
      <c r="AS27" s="17">
        <f t="shared" si="13"/>
        <v>77923.356979999997</v>
      </c>
      <c r="AT27" s="26">
        <f t="shared" si="37"/>
        <v>0.45035117046674811</v>
      </c>
      <c r="AU27" s="26">
        <f t="shared" si="38"/>
        <v>6.7339716599825072E-2</v>
      </c>
      <c r="AV27" s="24">
        <v>200</v>
      </c>
      <c r="AW27" s="24">
        <v>350</v>
      </c>
      <c r="AX27" s="24">
        <v>17</v>
      </c>
      <c r="AY27" s="24">
        <v>200</v>
      </c>
      <c r="AZ27" s="24">
        <v>300</v>
      </c>
      <c r="BA27" s="24">
        <v>2.5</v>
      </c>
      <c r="BB27" s="26">
        <f t="shared" si="14"/>
        <v>0.17989997066077637</v>
      </c>
      <c r="BC27" s="26">
        <v>0.55000000000000004</v>
      </c>
      <c r="BD27" s="21">
        <f t="shared" si="15"/>
        <v>2.8662404798774979E-2</v>
      </c>
      <c r="BE27" s="22">
        <f t="shared" si="16"/>
        <v>5.2356030852221645E-3</v>
      </c>
      <c r="BF27" s="22">
        <f t="shared" si="17"/>
        <v>2.7002008280444245E-2</v>
      </c>
      <c r="BG27" s="28">
        <v>3.5000000000000003E-2</v>
      </c>
      <c r="BH27" s="28">
        <v>0.21129999999999999</v>
      </c>
      <c r="BI27" s="28">
        <v>0.04</v>
      </c>
      <c r="BJ27" s="22">
        <v>1.1000000000000001</v>
      </c>
      <c r="BK27" s="22">
        <f t="shared" si="18"/>
        <v>0.49194354678796326</v>
      </c>
      <c r="BL27" s="22">
        <v>0.95</v>
      </c>
      <c r="BM27" s="22">
        <v>0.52244999999999997</v>
      </c>
      <c r="BN27" s="22">
        <v>0.50700000000000001</v>
      </c>
      <c r="BO27" s="22">
        <v>0.11982480000000002</v>
      </c>
      <c r="BP27" s="22">
        <v>0.12960000000000002</v>
      </c>
      <c r="BQ27" s="35">
        <v>18.46</v>
      </c>
      <c r="BR27" s="24">
        <v>0</v>
      </c>
      <c r="BS27" s="24">
        <v>0</v>
      </c>
      <c r="BT27" s="24">
        <v>0.25</v>
      </c>
      <c r="BU27" s="24">
        <v>0.75</v>
      </c>
      <c r="BV27" s="24">
        <v>3.0416669999999999</v>
      </c>
      <c r="BW27" s="24">
        <v>104.03189999999999</v>
      </c>
      <c r="BX27" s="70">
        <f t="shared" si="39"/>
        <v>20761599.576557286</v>
      </c>
      <c r="BY27" s="24">
        <f t="shared" si="31"/>
        <v>200</v>
      </c>
      <c r="BZ27" s="24">
        <f t="shared" si="32"/>
        <v>350</v>
      </c>
      <c r="CA27" s="23">
        <f t="shared" si="21"/>
        <v>160</v>
      </c>
      <c r="CB27" s="23">
        <f t="shared" si="22"/>
        <v>280</v>
      </c>
      <c r="CC27" s="24">
        <f t="shared" si="23"/>
        <v>182.04209403177279</v>
      </c>
      <c r="CD27" s="25">
        <f t="shared" si="24"/>
        <v>330.74942151306755</v>
      </c>
      <c r="CE27" s="24">
        <f t="shared" si="40"/>
        <v>0.20054794520547944</v>
      </c>
      <c r="CF27" s="26">
        <f t="shared" si="33"/>
        <v>0.36493150684931508</v>
      </c>
      <c r="CG27" s="26">
        <f t="shared" si="27"/>
        <v>0.20054794520547944</v>
      </c>
      <c r="CH27" s="26">
        <f t="shared" si="28"/>
        <v>0.36493150684931508</v>
      </c>
      <c r="CI27" s="26">
        <f t="shared" si="29"/>
        <v>0.20054794520547944</v>
      </c>
      <c r="CJ27" s="26">
        <f t="shared" si="30"/>
        <v>0.36493150684931508</v>
      </c>
    </row>
    <row r="28" spans="1:88">
      <c r="A28" s="19">
        <v>24</v>
      </c>
      <c r="B28" s="3" t="s">
        <v>281</v>
      </c>
      <c r="C28" s="3" t="s">
        <v>78</v>
      </c>
      <c r="D28" s="8">
        <v>137587.7574</v>
      </c>
      <c r="E28" s="8">
        <v>20524.6554</v>
      </c>
      <c r="F28" s="8">
        <v>210409.29870000001</v>
      </c>
      <c r="G28" s="8">
        <v>48154.26511</v>
      </c>
      <c r="H28" s="8">
        <v>83560.745729999995</v>
      </c>
      <c r="I28" s="8">
        <v>58587.550810000001</v>
      </c>
      <c r="J28" s="8">
        <v>59632.842320000003</v>
      </c>
      <c r="K28" s="8">
        <f t="shared" si="1"/>
        <v>618457.11547000008</v>
      </c>
      <c r="L28" s="18">
        <v>14348.537039999999</v>
      </c>
      <c r="M28" s="18">
        <v>2948.2104300000001</v>
      </c>
      <c r="N28" s="18">
        <v>11987.96639</v>
      </c>
      <c r="O28" s="18">
        <v>3342.4267399999999</v>
      </c>
      <c r="P28" s="18">
        <v>3741.91</v>
      </c>
      <c r="Q28" s="18">
        <v>786.96132999999998</v>
      </c>
      <c r="R28" s="18">
        <v>207.8913</v>
      </c>
      <c r="S28" s="18">
        <f t="shared" si="2"/>
        <v>37363.903229999996</v>
      </c>
      <c r="T28" s="18">
        <v>4911.46</v>
      </c>
      <c r="U28" s="18">
        <v>785.83299999999997</v>
      </c>
      <c r="V28" s="18">
        <v>9429.99</v>
      </c>
      <c r="W28" s="18">
        <v>4715</v>
      </c>
      <c r="X28" s="18">
        <v>3143.33</v>
      </c>
      <c r="Y28" s="18">
        <v>785.83299999999997</v>
      </c>
      <c r="Z28" s="18">
        <v>1571.67</v>
      </c>
      <c r="AA28" s="53">
        <f t="shared" si="3"/>
        <v>25343.115999999995</v>
      </c>
      <c r="AB28" s="18">
        <v>58937.5</v>
      </c>
      <c r="AC28" s="18">
        <v>59526.8</v>
      </c>
      <c r="AD28" s="53">
        <f t="shared" si="4"/>
        <v>118464.3</v>
      </c>
      <c r="AE28" s="18">
        <v>61098.5</v>
      </c>
      <c r="AF28" s="18">
        <v>3.244186</v>
      </c>
      <c r="AG28" s="18">
        <v>106.4286</v>
      </c>
      <c r="AH28" s="31">
        <f t="shared" si="34"/>
        <v>560586.23857000005</v>
      </c>
      <c r="AI28" s="54">
        <f t="shared" si="35"/>
        <v>681164.13470000005</v>
      </c>
      <c r="AJ28" s="8">
        <f t="shared" si="5"/>
        <v>61098.5</v>
      </c>
      <c r="AK28" s="8">
        <f t="shared" si="6"/>
        <v>158740.7887</v>
      </c>
      <c r="AL28" s="8">
        <f t="shared" si="36"/>
        <v>219839.2887</v>
      </c>
      <c r="AM28" s="8">
        <f t="shared" si="7"/>
        <v>163809.7058</v>
      </c>
      <c r="AN28" s="17">
        <f t="shared" si="8"/>
        <v>86704.075729999997</v>
      </c>
      <c r="AO28" s="17">
        <f t="shared" si="9"/>
        <v>52869.26511</v>
      </c>
      <c r="AP28" s="17">
        <f t="shared" si="10"/>
        <v>15937.767689999999</v>
      </c>
      <c r="AQ28" s="17">
        <f t="shared" si="11"/>
        <v>21426.135539999996</v>
      </c>
      <c r="AR28" s="17">
        <f t="shared" si="12"/>
        <v>61204.512320000002</v>
      </c>
      <c r="AS28" s="17">
        <f t="shared" si="13"/>
        <v>59373.383809999999</v>
      </c>
      <c r="AT28" s="26">
        <f t="shared" si="37"/>
        <v>0.74513389653266282</v>
      </c>
      <c r="AU28" s="26">
        <f t="shared" si="38"/>
        <v>8.9697177064246264E-2</v>
      </c>
      <c r="AV28" s="24">
        <v>200</v>
      </c>
      <c r="AW28" s="24">
        <v>350</v>
      </c>
      <c r="AX28" s="24">
        <v>17</v>
      </c>
      <c r="AY28" s="24">
        <v>200</v>
      </c>
      <c r="AZ28" s="24">
        <v>300</v>
      </c>
      <c r="BA28" s="24">
        <v>2.5</v>
      </c>
      <c r="BB28" s="26">
        <f t="shared" si="14"/>
        <v>9.7425517143242102E-2</v>
      </c>
      <c r="BC28" s="26">
        <v>0.55000000000000004</v>
      </c>
      <c r="BD28" s="21">
        <f t="shared" si="15"/>
        <v>2.6402729526868569E-2</v>
      </c>
      <c r="BE28" s="22">
        <f t="shared" si="16"/>
        <v>1.3333327677624601E-2</v>
      </c>
      <c r="BF28" s="22">
        <f t="shared" si="17"/>
        <v>4.1048552983288751E-2</v>
      </c>
      <c r="BG28" s="28">
        <v>3.5000000000000003E-2</v>
      </c>
      <c r="BH28" s="28">
        <v>0.21129999999999999</v>
      </c>
      <c r="BI28" s="28">
        <v>0.04</v>
      </c>
      <c r="BJ28" s="22">
        <v>1.1000000000000001</v>
      </c>
      <c r="BK28" s="22">
        <f t="shared" si="18"/>
        <v>0.86990704674106067</v>
      </c>
      <c r="BL28" s="22">
        <v>0.95</v>
      </c>
      <c r="BM28" s="22">
        <v>0.56786000000000003</v>
      </c>
      <c r="BN28" s="22">
        <v>0.53549999999999998</v>
      </c>
      <c r="BO28" s="22">
        <v>0.13916800000000001</v>
      </c>
      <c r="BP28" s="22">
        <v>0.14448000000000003</v>
      </c>
      <c r="BQ28" s="35">
        <v>18.46</v>
      </c>
      <c r="BR28" s="24">
        <v>0</v>
      </c>
      <c r="BS28" s="24">
        <v>0.67</v>
      </c>
      <c r="BT28" s="24">
        <v>0</v>
      </c>
      <c r="BU28" s="24">
        <v>0.33</v>
      </c>
      <c r="BV28" s="24">
        <v>3.244186</v>
      </c>
      <c r="BW28" s="24">
        <v>106.4286</v>
      </c>
      <c r="BX28" s="70">
        <f t="shared" si="39"/>
        <v>21095734.12744638</v>
      </c>
      <c r="BY28" s="24">
        <f t="shared" si="31"/>
        <v>200</v>
      </c>
      <c r="BZ28" s="24">
        <f t="shared" si="32"/>
        <v>350</v>
      </c>
      <c r="CA28" s="23">
        <f t="shared" si="21"/>
        <v>160</v>
      </c>
      <c r="CB28" s="23">
        <f t="shared" si="22"/>
        <v>280</v>
      </c>
      <c r="CC28" s="24">
        <f t="shared" si="23"/>
        <v>190.48457875389573</v>
      </c>
      <c r="CD28" s="25">
        <f t="shared" si="24"/>
        <v>338.66379684480603</v>
      </c>
      <c r="CE28" s="24">
        <f t="shared" si="40"/>
        <v>0.20054794520547944</v>
      </c>
      <c r="CF28" s="26">
        <f t="shared" si="33"/>
        <v>0.36493150684931508</v>
      </c>
      <c r="CG28" s="26">
        <f t="shared" si="27"/>
        <v>0.20054794520547944</v>
      </c>
      <c r="CH28" s="26">
        <f t="shared" si="28"/>
        <v>0.36493150684931508</v>
      </c>
      <c r="CI28" s="26">
        <f t="shared" si="29"/>
        <v>0.20054794520547944</v>
      </c>
      <c r="CJ28" s="26">
        <f t="shared" si="30"/>
        <v>0.36493150684931508</v>
      </c>
    </row>
    <row r="29" spans="1:88">
      <c r="A29" s="19">
        <v>25</v>
      </c>
      <c r="B29" s="3" t="s">
        <v>282</v>
      </c>
      <c r="C29" s="3" t="s">
        <v>79</v>
      </c>
      <c r="D29" s="8">
        <v>8504.752563</v>
      </c>
      <c r="E29" s="8">
        <v>38273.386469999998</v>
      </c>
      <c r="F29" s="8">
        <v>127591.28780000001</v>
      </c>
      <c r="G29" s="8">
        <v>2834.9174800000001</v>
      </c>
      <c r="H29" s="8">
        <v>75844.043210000003</v>
      </c>
      <c r="I29" s="8">
        <v>21266.881229999999</v>
      </c>
      <c r="J29" s="8">
        <v>42526.762450000002</v>
      </c>
      <c r="K29" s="8">
        <f t="shared" si="1"/>
        <v>316842.03120299999</v>
      </c>
      <c r="L29" s="18">
        <v>3543.65</v>
      </c>
      <c r="M29" s="18">
        <v>3543.65</v>
      </c>
      <c r="N29" s="18">
        <v>8150.39</v>
      </c>
      <c r="O29" s="18">
        <v>0</v>
      </c>
      <c r="P29" s="18">
        <v>2126.19</v>
      </c>
      <c r="Q29" s="18">
        <v>0</v>
      </c>
      <c r="R29" s="18">
        <v>4252.38</v>
      </c>
      <c r="S29" s="18">
        <f t="shared" si="2"/>
        <v>21616.260000000002</v>
      </c>
      <c r="T29" s="18">
        <v>0</v>
      </c>
      <c r="U29" s="18">
        <v>708.72900000000004</v>
      </c>
      <c r="V29" s="18">
        <v>7087.29</v>
      </c>
      <c r="W29" s="18">
        <v>0</v>
      </c>
      <c r="X29" s="18">
        <v>1417.46</v>
      </c>
      <c r="Y29" s="18">
        <v>0</v>
      </c>
      <c r="Z29" s="18">
        <v>0</v>
      </c>
      <c r="AA29" s="53">
        <f t="shared" si="3"/>
        <v>9213.4789999999994</v>
      </c>
      <c r="AB29" s="18">
        <v>21261.9</v>
      </c>
      <c r="AC29" s="18">
        <v>43232.5</v>
      </c>
      <c r="AD29" s="53">
        <f t="shared" si="4"/>
        <v>64494.400000000001</v>
      </c>
      <c r="AE29" s="18">
        <v>29412.3</v>
      </c>
      <c r="AF29" s="18">
        <v>2.2580650000000002</v>
      </c>
      <c r="AG29" s="18">
        <v>111.94119999999999</v>
      </c>
      <c r="AH29" s="31">
        <f t="shared" si="34"/>
        <v>283878.12652300001</v>
      </c>
      <c r="AI29" s="54">
        <f t="shared" si="35"/>
        <v>347671.77020299999</v>
      </c>
      <c r="AJ29" s="8">
        <f t="shared" si="5"/>
        <v>29412.3</v>
      </c>
      <c r="AK29" s="8">
        <f t="shared" si="6"/>
        <v>105266.2778</v>
      </c>
      <c r="AL29" s="8">
        <f t="shared" si="36"/>
        <v>134678.5778</v>
      </c>
      <c r="AM29" s="8">
        <f t="shared" si="7"/>
        <v>47486.868032999999</v>
      </c>
      <c r="AN29" s="17">
        <f t="shared" si="8"/>
        <v>77261.50321000001</v>
      </c>
      <c r="AO29" s="17">
        <f t="shared" si="9"/>
        <v>2834.9174800000001</v>
      </c>
      <c r="AP29" s="17">
        <f t="shared" si="10"/>
        <v>14528.96</v>
      </c>
      <c r="AQ29" s="17">
        <f t="shared" si="11"/>
        <v>7087.3</v>
      </c>
      <c r="AR29" s="17">
        <f t="shared" si="12"/>
        <v>42526.762450000002</v>
      </c>
      <c r="AS29" s="17">
        <f t="shared" si="13"/>
        <v>21266.881229999999</v>
      </c>
      <c r="AT29" s="26">
        <f t="shared" si="37"/>
        <v>0.35259407107430857</v>
      </c>
      <c r="AU29" s="26">
        <f t="shared" si="38"/>
        <v>8.4597895258584341E-2</v>
      </c>
      <c r="AV29" s="24">
        <v>200</v>
      </c>
      <c r="AW29" s="24">
        <v>350</v>
      </c>
      <c r="AX29" s="24">
        <v>17</v>
      </c>
      <c r="AY29" s="24">
        <v>200</v>
      </c>
      <c r="AZ29" s="24">
        <v>300</v>
      </c>
      <c r="BA29" s="24">
        <v>2.5</v>
      </c>
      <c r="BB29" s="26">
        <f t="shared" si="14"/>
        <v>0.1131410818922384</v>
      </c>
      <c r="BC29" s="26">
        <v>0.55000000000000004</v>
      </c>
      <c r="BD29" s="21">
        <f t="shared" si="15"/>
        <v>0</v>
      </c>
      <c r="BE29" s="22">
        <f t="shared" si="16"/>
        <v>0</v>
      </c>
      <c r="BF29" s="22">
        <f t="shared" si="17"/>
        <v>4.4709781649202376E-2</v>
      </c>
      <c r="BG29" s="28">
        <v>3.5000000000000003E-2</v>
      </c>
      <c r="BH29" s="28">
        <v>0.21129999999999999</v>
      </c>
      <c r="BI29" s="28">
        <v>0.04</v>
      </c>
      <c r="BJ29" s="22">
        <v>1.1000000000000001</v>
      </c>
      <c r="BK29" s="22">
        <f t="shared" si="18"/>
        <v>0.17909693595900664</v>
      </c>
      <c r="BL29" s="22">
        <v>0.95</v>
      </c>
      <c r="BM29" s="22">
        <v>0.52244999999999997</v>
      </c>
      <c r="BN29" s="22">
        <v>0.50700000000000001</v>
      </c>
      <c r="BO29" s="22">
        <v>0.11982480000000002</v>
      </c>
      <c r="BP29" s="22">
        <v>0.12960000000000002</v>
      </c>
      <c r="BQ29" s="35">
        <v>18.46</v>
      </c>
      <c r="BR29" s="24">
        <v>0</v>
      </c>
      <c r="BS29" s="24">
        <v>0</v>
      </c>
      <c r="BT29" s="24">
        <v>0.25</v>
      </c>
      <c r="BU29" s="24">
        <v>0.75</v>
      </c>
      <c r="BV29" s="24">
        <v>2.2580650000000002</v>
      </c>
      <c r="BW29" s="24">
        <v>111.94119999999999</v>
      </c>
      <c r="BX29" s="70">
        <f t="shared" si="39"/>
        <v>7434561.9470942691</v>
      </c>
      <c r="BY29" s="24">
        <f t="shared" si="31"/>
        <v>200</v>
      </c>
      <c r="BZ29" s="24">
        <f t="shared" si="32"/>
        <v>350</v>
      </c>
      <c r="CA29" s="23">
        <f t="shared" si="21"/>
        <v>160</v>
      </c>
      <c r="CB29" s="23">
        <f t="shared" si="22"/>
        <v>280</v>
      </c>
      <c r="CC29" s="24">
        <f t="shared" si="23"/>
        <v>191.72413390447016</v>
      </c>
      <c r="CD29" s="25">
        <f t="shared" si="24"/>
        <v>350</v>
      </c>
      <c r="CE29" s="24">
        <f t="shared" si="40"/>
        <v>0.20054794520547944</v>
      </c>
      <c r="CF29" s="26">
        <f t="shared" si="33"/>
        <v>0.36493150684931508</v>
      </c>
      <c r="CG29" s="26">
        <f t="shared" si="27"/>
        <v>0.20054794520547944</v>
      </c>
      <c r="CH29" s="26">
        <f t="shared" si="28"/>
        <v>0.36493150684931508</v>
      </c>
      <c r="CI29" s="26">
        <f t="shared" si="29"/>
        <v>0.20054794520547944</v>
      </c>
      <c r="CJ29" s="26">
        <f t="shared" si="30"/>
        <v>0.36493150684931508</v>
      </c>
    </row>
    <row r="30" spans="1:88">
      <c r="A30" s="19">
        <v>26</v>
      </c>
      <c r="B30" s="3" t="s">
        <v>283</v>
      </c>
      <c r="C30" s="3" t="s">
        <v>80</v>
      </c>
      <c r="D30" s="8">
        <v>308280.69099999999</v>
      </c>
      <c r="E30" s="8">
        <v>259239.11300000001</v>
      </c>
      <c r="F30" s="8">
        <v>554217.90919999999</v>
      </c>
      <c r="G30" s="8">
        <v>141024.07519999999</v>
      </c>
      <c r="H30" s="8">
        <v>302552.15000000002</v>
      </c>
      <c r="I30" s="8">
        <v>183246.65179999999</v>
      </c>
      <c r="J30" s="8">
        <v>184292.11410000001</v>
      </c>
      <c r="K30" s="8">
        <f t="shared" si="1"/>
        <v>1932852.7043000003</v>
      </c>
      <c r="L30" s="18">
        <v>40582.130000000005</v>
      </c>
      <c r="M30" s="18">
        <v>47252.032999999996</v>
      </c>
      <c r="N30" s="18">
        <v>48233.36</v>
      </c>
      <c r="O30" s="18">
        <v>4980.1899999999996</v>
      </c>
      <c r="P30" s="18">
        <v>18154.258620000001</v>
      </c>
      <c r="Q30" s="18">
        <v>1049.4054550000001</v>
      </c>
      <c r="R30" s="18">
        <v>786.96615499999996</v>
      </c>
      <c r="S30" s="18">
        <f t="shared" si="2"/>
        <v>161038.34323</v>
      </c>
      <c r="T30" s="18">
        <v>21493.5</v>
      </c>
      <c r="U30" s="18">
        <v>11533.1</v>
      </c>
      <c r="V30" s="18">
        <v>34337.1</v>
      </c>
      <c r="W30" s="18">
        <v>4455.96</v>
      </c>
      <c r="X30" s="18">
        <v>8649.81</v>
      </c>
      <c r="Y30" s="18">
        <v>4718.08</v>
      </c>
      <c r="Z30" s="18">
        <v>2621.15</v>
      </c>
      <c r="AA30" s="53">
        <f t="shared" si="3"/>
        <v>87808.7</v>
      </c>
      <c r="AB30" s="18">
        <v>184529</v>
      </c>
      <c r="AC30" s="18">
        <v>188199</v>
      </c>
      <c r="AD30" s="53">
        <f t="shared" si="4"/>
        <v>372728</v>
      </c>
      <c r="AE30" s="18">
        <v>195931</v>
      </c>
      <c r="AF30" s="18">
        <v>3.1027870000000002</v>
      </c>
      <c r="AG30" s="18">
        <v>101.6401</v>
      </c>
      <c r="AH30" s="31">
        <f t="shared" si="34"/>
        <v>1806821.7516299998</v>
      </c>
      <c r="AI30" s="54">
        <f t="shared" si="35"/>
        <v>2181699.7475299998</v>
      </c>
      <c r="AJ30" s="8">
        <f t="shared" si="5"/>
        <v>195931</v>
      </c>
      <c r="AK30" s="8">
        <f t="shared" si="6"/>
        <v>392624.00919999997</v>
      </c>
      <c r="AL30" s="8">
        <f t="shared" si="36"/>
        <v>588555.00919999997</v>
      </c>
      <c r="AM30" s="8">
        <f t="shared" si="7"/>
        <v>600546.40399999998</v>
      </c>
      <c r="AN30" s="17">
        <f t="shared" si="8"/>
        <v>311201.96000000002</v>
      </c>
      <c r="AO30" s="17">
        <f t="shared" si="9"/>
        <v>145480.03519999998</v>
      </c>
      <c r="AP30" s="17">
        <f t="shared" si="10"/>
        <v>67174.584774999996</v>
      </c>
      <c r="AQ30" s="17">
        <f t="shared" si="11"/>
        <v>93863.758455000003</v>
      </c>
      <c r="AR30" s="17">
        <f t="shared" si="12"/>
        <v>186913.2641</v>
      </c>
      <c r="AS30" s="17">
        <f t="shared" si="13"/>
        <v>187964.73179999998</v>
      </c>
      <c r="AT30" s="26">
        <f t="shared" si="37"/>
        <v>1.0203742974107033</v>
      </c>
      <c r="AU30" s="26">
        <f t="shared" si="38"/>
        <v>8.9806583248598845E-2</v>
      </c>
      <c r="AV30" s="24">
        <v>200</v>
      </c>
      <c r="AW30" s="24">
        <v>350</v>
      </c>
      <c r="AX30" s="24">
        <v>17</v>
      </c>
      <c r="AY30" s="24">
        <v>200</v>
      </c>
      <c r="AZ30" s="24">
        <v>300</v>
      </c>
      <c r="BA30" s="24">
        <v>2.5</v>
      </c>
      <c r="BB30" s="26">
        <f t="shared" si="14"/>
        <v>0.14029353027210628</v>
      </c>
      <c r="BC30" s="26">
        <v>0.55000000000000004</v>
      </c>
      <c r="BD30" s="21">
        <f t="shared" si="15"/>
        <v>1.3927544779727841E-2</v>
      </c>
      <c r="BE30" s="22">
        <f t="shared" si="16"/>
        <v>2.5568230467839743E-2</v>
      </c>
      <c r="BF30" s="22">
        <f t="shared" si="17"/>
        <v>6.0052986725239392E-2</v>
      </c>
      <c r="BG30" s="28">
        <v>3.5000000000000003E-2</v>
      </c>
      <c r="BH30" s="28">
        <v>0.21129999999999999</v>
      </c>
      <c r="BI30" s="28">
        <v>0.04</v>
      </c>
      <c r="BJ30" s="22">
        <v>1.1000000000000001</v>
      </c>
      <c r="BK30" s="22">
        <f t="shared" si="18"/>
        <v>0.54912357946614232</v>
      </c>
      <c r="BL30" s="22">
        <v>0.95</v>
      </c>
      <c r="BM30" s="22">
        <v>0.51885000000000003</v>
      </c>
      <c r="BN30" s="22">
        <v>0.50700000000000001</v>
      </c>
      <c r="BO30" s="22">
        <v>0.12104000000000001</v>
      </c>
      <c r="BP30" s="22">
        <v>0.12960000000000002</v>
      </c>
      <c r="BQ30" s="35">
        <v>18.46</v>
      </c>
      <c r="BR30" s="24">
        <v>0.2</v>
      </c>
      <c r="BS30" s="24">
        <v>0</v>
      </c>
      <c r="BT30" s="24">
        <v>0.2</v>
      </c>
      <c r="BU30" s="24">
        <v>0.6</v>
      </c>
      <c r="BV30" s="24">
        <v>3.1027870000000002</v>
      </c>
      <c r="BW30" s="24">
        <v>101.6401</v>
      </c>
      <c r="BX30" s="70">
        <f t="shared" si="39"/>
        <v>61790285.504819058</v>
      </c>
      <c r="BY30" s="24">
        <f t="shared" si="31"/>
        <v>200</v>
      </c>
      <c r="BZ30" s="24">
        <f t="shared" si="32"/>
        <v>350</v>
      </c>
      <c r="CA30" s="23">
        <f t="shared" si="21"/>
        <v>160</v>
      </c>
      <c r="CB30" s="23">
        <f t="shared" si="22"/>
        <v>280</v>
      </c>
      <c r="CC30" s="24">
        <f t="shared" si="23"/>
        <v>189.06165999180408</v>
      </c>
      <c r="CD30" s="25">
        <f t="shared" si="24"/>
        <v>346.243972093411</v>
      </c>
      <c r="CE30" s="24">
        <f t="shared" si="40"/>
        <v>0.20054794520547944</v>
      </c>
      <c r="CF30" s="26">
        <f t="shared" si="33"/>
        <v>0.36493150684931508</v>
      </c>
      <c r="CG30" s="26">
        <f t="shared" si="27"/>
        <v>0.20054794520547944</v>
      </c>
      <c r="CH30" s="26">
        <f t="shared" si="28"/>
        <v>0.36493150684931508</v>
      </c>
      <c r="CI30" s="26">
        <f t="shared" si="29"/>
        <v>0.20054794520547944</v>
      </c>
      <c r="CJ30" s="26">
        <f t="shared" si="30"/>
        <v>0.36493150684931508</v>
      </c>
    </row>
    <row r="31" spans="1:88">
      <c r="A31" s="19">
        <v>27</v>
      </c>
      <c r="B31" s="3" t="s">
        <v>284</v>
      </c>
      <c r="C31" s="3" t="s">
        <v>79</v>
      </c>
      <c r="D31" s="8">
        <v>293761.29269999999</v>
      </c>
      <c r="E31" s="8">
        <v>344639.8223</v>
      </c>
      <c r="F31" s="8">
        <v>632895.42290000001</v>
      </c>
      <c r="G31" s="8">
        <v>371646.96799999999</v>
      </c>
      <c r="H31" s="8">
        <v>360156.22009999998</v>
      </c>
      <c r="I31" s="8">
        <v>259291.93900000001</v>
      </c>
      <c r="J31" s="8">
        <v>256372.00039999999</v>
      </c>
      <c r="K31" s="8">
        <f t="shared" si="1"/>
        <v>2518763.6653999998</v>
      </c>
      <c r="L31" s="18">
        <v>44407.328999999998</v>
      </c>
      <c r="M31" s="18">
        <v>67481.861999999994</v>
      </c>
      <c r="N31" s="18">
        <v>56844.171000000002</v>
      </c>
      <c r="O31" s="18">
        <v>3787.1390000000001</v>
      </c>
      <c r="P31" s="18">
        <v>13417.554999999998</v>
      </c>
      <c r="Q31" s="18">
        <v>3935.0040000000004</v>
      </c>
      <c r="R31" s="18">
        <v>6475.8540000000003</v>
      </c>
      <c r="S31" s="18">
        <f t="shared" si="2"/>
        <v>196348.91399999996</v>
      </c>
      <c r="T31" s="18">
        <v>8134.85</v>
      </c>
      <c r="U31" s="18">
        <v>18981.3</v>
      </c>
      <c r="V31" s="18">
        <v>32810.5</v>
      </c>
      <c r="W31" s="18">
        <v>5152.07</v>
      </c>
      <c r="X31" s="18">
        <v>7050.2</v>
      </c>
      <c r="Y31" s="18">
        <v>3525.1</v>
      </c>
      <c r="Z31" s="18">
        <v>3525.1</v>
      </c>
      <c r="AA31" s="53">
        <f t="shared" si="3"/>
        <v>79179.12000000001</v>
      </c>
      <c r="AB31" s="18">
        <v>262279</v>
      </c>
      <c r="AC31" s="18">
        <v>264654</v>
      </c>
      <c r="AD31" s="53">
        <f t="shared" si="4"/>
        <v>526933</v>
      </c>
      <c r="AE31" s="18">
        <v>246079</v>
      </c>
      <c r="AF31" s="18">
        <v>3.1010070000000001</v>
      </c>
      <c r="AG31" s="18">
        <v>105.464</v>
      </c>
      <c r="AH31" s="31">
        <f t="shared" si="34"/>
        <v>2271577.5599999996</v>
      </c>
      <c r="AI31" s="54">
        <f t="shared" si="35"/>
        <v>2794291.6993999993</v>
      </c>
      <c r="AJ31" s="8">
        <f t="shared" si="5"/>
        <v>246079</v>
      </c>
      <c r="AK31" s="8">
        <f t="shared" si="6"/>
        <v>419626.92290000001</v>
      </c>
      <c r="AL31" s="8">
        <f t="shared" si="36"/>
        <v>665705.92290000001</v>
      </c>
      <c r="AM31" s="8">
        <f t="shared" si="7"/>
        <v>665517.26500000001</v>
      </c>
      <c r="AN31" s="17">
        <f t="shared" si="8"/>
        <v>367206.42009999999</v>
      </c>
      <c r="AO31" s="17">
        <f t="shared" si="9"/>
        <v>376799.038</v>
      </c>
      <c r="AP31" s="17">
        <f t="shared" si="10"/>
        <v>76737.58</v>
      </c>
      <c r="AQ31" s="17">
        <f t="shared" si="11"/>
        <v>119611.33399999999</v>
      </c>
      <c r="AR31" s="17">
        <f t="shared" si="12"/>
        <v>259897.1004</v>
      </c>
      <c r="AS31" s="17">
        <f t="shared" si="13"/>
        <v>262817.03899999999</v>
      </c>
      <c r="AT31" s="26">
        <f t="shared" si="37"/>
        <v>0.9997166047446624</v>
      </c>
      <c r="AU31" s="26">
        <f t="shared" si="38"/>
        <v>8.8064893172333791E-2</v>
      </c>
      <c r="AV31" s="24">
        <v>200</v>
      </c>
      <c r="AW31" s="24">
        <v>350</v>
      </c>
      <c r="AX31" s="24">
        <v>17</v>
      </c>
      <c r="AY31" s="24">
        <v>200</v>
      </c>
      <c r="AZ31" s="24">
        <v>300</v>
      </c>
      <c r="BA31" s="24">
        <v>2.5</v>
      </c>
      <c r="BB31" s="26">
        <f t="shared" si="14"/>
        <v>0.13467609032144304</v>
      </c>
      <c r="BC31" s="26">
        <v>0.55000000000000004</v>
      </c>
      <c r="BD31" s="21">
        <f t="shared" si="15"/>
        <v>1.3319655096843425E-2</v>
      </c>
      <c r="BE31" s="22">
        <f t="shared" si="16"/>
        <v>1.3440267806419881E-2</v>
      </c>
      <c r="BF31" s="22">
        <f t="shared" si="17"/>
        <v>4.7138215367903274E-2</v>
      </c>
      <c r="BG31" s="28">
        <v>3.5000000000000003E-2</v>
      </c>
      <c r="BH31" s="28">
        <v>0.21129999999999999</v>
      </c>
      <c r="BI31" s="28">
        <v>0.04</v>
      </c>
      <c r="BJ31" s="22">
        <v>1.1000000000000001</v>
      </c>
      <c r="BK31" s="22">
        <f t="shared" si="18"/>
        <v>0.45362631230911787</v>
      </c>
      <c r="BL31" s="22">
        <v>0.95</v>
      </c>
      <c r="BM31" s="22">
        <v>0.52244999999999997</v>
      </c>
      <c r="BN31" s="22">
        <v>0.50700000000000001</v>
      </c>
      <c r="BO31" s="22">
        <v>0.11982480000000002</v>
      </c>
      <c r="BP31" s="22">
        <v>0.12960000000000002</v>
      </c>
      <c r="BQ31" s="35">
        <v>18.46</v>
      </c>
      <c r="BR31" s="24">
        <v>0</v>
      </c>
      <c r="BS31" s="24">
        <v>0</v>
      </c>
      <c r="BT31" s="24">
        <v>0.25</v>
      </c>
      <c r="BU31" s="24">
        <v>0.75</v>
      </c>
      <c r="BV31" s="24">
        <v>3.1010070000000001</v>
      </c>
      <c r="BW31" s="24">
        <v>105.464</v>
      </c>
      <c r="BX31" s="70">
        <f t="shared" si="39"/>
        <v>80478808.676585585</v>
      </c>
      <c r="BY31" s="24">
        <f t="shared" si="31"/>
        <v>200</v>
      </c>
      <c r="BZ31" s="24">
        <f t="shared" si="32"/>
        <v>350</v>
      </c>
      <c r="CA31" s="23">
        <f t="shared" si="21"/>
        <v>160</v>
      </c>
      <c r="CB31" s="23">
        <f t="shared" si="22"/>
        <v>280</v>
      </c>
      <c r="CC31" s="24">
        <f t="shared" si="23"/>
        <v>192.36138605533262</v>
      </c>
      <c r="CD31" s="25">
        <f t="shared" si="24"/>
        <v>347.7082629609705</v>
      </c>
      <c r="CE31" s="24">
        <f t="shared" si="40"/>
        <v>0.20054794520547944</v>
      </c>
      <c r="CF31" s="26">
        <f t="shared" si="33"/>
        <v>0.36493150684931508</v>
      </c>
      <c r="CG31" s="26">
        <f t="shared" si="27"/>
        <v>0.20054794520547944</v>
      </c>
      <c r="CH31" s="26">
        <f t="shared" si="28"/>
        <v>0.36493150684931508</v>
      </c>
      <c r="CI31" s="26">
        <f t="shared" si="29"/>
        <v>0.20054794520547944</v>
      </c>
      <c r="CJ31" s="26">
        <f t="shared" si="30"/>
        <v>0.36493150684931508</v>
      </c>
    </row>
    <row r="32" spans="1:88">
      <c r="A32" s="19">
        <v>28</v>
      </c>
      <c r="B32" s="3" t="s">
        <v>285</v>
      </c>
      <c r="C32" s="3" t="s">
        <v>80</v>
      </c>
      <c r="D32" s="8">
        <v>337599.37959999999</v>
      </c>
      <c r="E32" s="8">
        <v>280161.5809</v>
      </c>
      <c r="F32" s="8">
        <v>492676.60200000001</v>
      </c>
      <c r="G32" s="8">
        <v>76091.789610000007</v>
      </c>
      <c r="H32" s="8">
        <v>242848.59880000001</v>
      </c>
      <c r="I32" s="8">
        <v>189820.2683</v>
      </c>
      <c r="J32" s="8">
        <v>219438.43169999999</v>
      </c>
      <c r="K32" s="8">
        <f t="shared" si="1"/>
        <v>1838636.6509100003</v>
      </c>
      <c r="L32" s="18">
        <v>16020.3</v>
      </c>
      <c r="M32" s="18">
        <v>34559.796153999996</v>
      </c>
      <c r="N32" s="18">
        <v>18039.328569999998</v>
      </c>
      <c r="O32" s="18">
        <v>2194.50027</v>
      </c>
      <c r="P32" s="18">
        <v>4754.8623079999998</v>
      </c>
      <c r="Q32" s="18">
        <v>1098.0442419999999</v>
      </c>
      <c r="R32" s="18">
        <v>1097.2152380999999</v>
      </c>
      <c r="S32" s="18">
        <f t="shared" si="2"/>
        <v>77764.046782100006</v>
      </c>
      <c r="T32" s="18">
        <v>4754.17</v>
      </c>
      <c r="U32" s="18">
        <v>12068.3</v>
      </c>
      <c r="V32" s="18">
        <v>20479.5</v>
      </c>
      <c r="W32" s="18">
        <v>1828.53</v>
      </c>
      <c r="X32" s="18">
        <v>4388.47</v>
      </c>
      <c r="Y32" s="18">
        <v>2377.09</v>
      </c>
      <c r="Z32" s="18">
        <v>1828.53</v>
      </c>
      <c r="AA32" s="53">
        <f t="shared" si="3"/>
        <v>47724.59</v>
      </c>
      <c r="AB32" s="18">
        <v>192727</v>
      </c>
      <c r="AC32" s="18">
        <v>219972</v>
      </c>
      <c r="AD32" s="53">
        <f t="shared" si="4"/>
        <v>412699</v>
      </c>
      <c r="AE32" s="18">
        <v>229846</v>
      </c>
      <c r="AF32" s="18">
        <v>3.1707320000000001</v>
      </c>
      <c r="AG32" s="18">
        <v>104.4066</v>
      </c>
      <c r="AH32" s="31">
        <f t="shared" si="34"/>
        <v>1550660.9676921004</v>
      </c>
      <c r="AI32" s="54">
        <f t="shared" si="35"/>
        <v>1964125.2876921003</v>
      </c>
      <c r="AJ32" s="8">
        <f t="shared" si="5"/>
        <v>229846</v>
      </c>
      <c r="AK32" s="8">
        <f t="shared" si="6"/>
        <v>283310.10200000001</v>
      </c>
      <c r="AL32" s="8">
        <f t="shared" si="36"/>
        <v>513156.10200000001</v>
      </c>
      <c r="AM32" s="8">
        <f t="shared" si="7"/>
        <v>634583.43050000013</v>
      </c>
      <c r="AN32" s="17">
        <f t="shared" si="8"/>
        <v>247237.06880000001</v>
      </c>
      <c r="AO32" s="17">
        <f t="shared" si="9"/>
        <v>77920.319610000006</v>
      </c>
      <c r="AP32" s="17">
        <f t="shared" si="10"/>
        <v>23891.406116099999</v>
      </c>
      <c r="AQ32" s="17">
        <f t="shared" si="11"/>
        <v>53872.640665999992</v>
      </c>
      <c r="AR32" s="17">
        <f t="shared" si="12"/>
        <v>221266.96169999999</v>
      </c>
      <c r="AS32" s="17">
        <f t="shared" si="13"/>
        <v>192197.35829999999</v>
      </c>
      <c r="AT32" s="26">
        <f t="shared" si="37"/>
        <v>1.236628441183381</v>
      </c>
      <c r="AU32" s="26">
        <f t="shared" si="38"/>
        <v>0.11702206648440192</v>
      </c>
      <c r="AV32" s="24">
        <v>200</v>
      </c>
      <c r="AW32" s="24">
        <v>350</v>
      </c>
      <c r="AX32" s="24">
        <v>17</v>
      </c>
      <c r="AY32" s="24">
        <v>200</v>
      </c>
      <c r="AZ32" s="24">
        <v>300</v>
      </c>
      <c r="BA32" s="24">
        <v>2.5</v>
      </c>
      <c r="BB32" s="26">
        <f t="shared" si="14"/>
        <v>7.5062594832010776E-2</v>
      </c>
      <c r="BC32" s="26">
        <v>0.55000000000000004</v>
      </c>
      <c r="BD32" s="21">
        <f t="shared" si="15"/>
        <v>8.3125579619224271E-3</v>
      </c>
      <c r="BE32" s="22">
        <f t="shared" si="16"/>
        <v>1.2333975000908021E-2</v>
      </c>
      <c r="BF32" s="22">
        <f t="shared" si="17"/>
        <v>3.3592136343100334E-2</v>
      </c>
      <c r="BG32" s="28">
        <v>3.5000000000000003E-2</v>
      </c>
      <c r="BH32" s="28">
        <v>0.21129999999999999</v>
      </c>
      <c r="BI32" s="28">
        <v>0.04</v>
      </c>
      <c r="BJ32" s="22">
        <v>1.1000000000000001</v>
      </c>
      <c r="BK32" s="22">
        <f t="shared" si="18"/>
        <v>0.53949336390685965</v>
      </c>
      <c r="BL32" s="22">
        <v>0.95</v>
      </c>
      <c r="BM32" s="22">
        <v>0.51885000000000003</v>
      </c>
      <c r="BN32" s="22">
        <v>0.50700000000000001</v>
      </c>
      <c r="BO32" s="22">
        <v>0.12104000000000001</v>
      </c>
      <c r="BP32" s="22">
        <v>0.12960000000000002</v>
      </c>
      <c r="BQ32" s="35">
        <v>18.46</v>
      </c>
      <c r="BR32" s="24">
        <v>0.2</v>
      </c>
      <c r="BS32" s="24">
        <v>0</v>
      </c>
      <c r="BT32" s="24">
        <v>0.2</v>
      </c>
      <c r="BU32" s="24">
        <v>0.6</v>
      </c>
      <c r="BV32" s="24">
        <v>3.1707320000000001</v>
      </c>
      <c r="BW32" s="24">
        <v>104.4066</v>
      </c>
      <c r="BX32" s="70">
        <f t="shared" si="39"/>
        <v>76089448.971640795</v>
      </c>
      <c r="BY32" s="24">
        <f t="shared" si="31"/>
        <v>200</v>
      </c>
      <c r="BZ32" s="24">
        <f t="shared" si="32"/>
        <v>350</v>
      </c>
      <c r="CA32" s="23">
        <f t="shared" si="21"/>
        <v>160</v>
      </c>
      <c r="CB32" s="23">
        <f t="shared" si="22"/>
        <v>280</v>
      </c>
      <c r="CC32" s="24">
        <f t="shared" si="23"/>
        <v>191.65601036957324</v>
      </c>
      <c r="CD32" s="25">
        <f t="shared" si="24"/>
        <v>347.08922418532904</v>
      </c>
      <c r="CE32" s="24">
        <f t="shared" si="40"/>
        <v>0.20054794520547944</v>
      </c>
      <c r="CF32" s="26">
        <f t="shared" si="33"/>
        <v>0.36493150684931508</v>
      </c>
      <c r="CG32" s="26">
        <f t="shared" si="27"/>
        <v>0.20054794520547944</v>
      </c>
      <c r="CH32" s="26">
        <f t="shared" si="28"/>
        <v>0.36493150684931508</v>
      </c>
      <c r="CI32" s="26">
        <f t="shared" si="29"/>
        <v>0.20054794520547944</v>
      </c>
      <c r="CJ32" s="26">
        <f t="shared" si="30"/>
        <v>0.36493150684931508</v>
      </c>
    </row>
    <row r="33" spans="1:88">
      <c r="A33" s="19">
        <v>29</v>
      </c>
      <c r="B33" s="3" t="s">
        <v>286</v>
      </c>
      <c r="C33" s="3" t="s">
        <v>78</v>
      </c>
      <c r="D33" s="8">
        <v>90734.16777</v>
      </c>
      <c r="E33" s="8">
        <v>49447.95493</v>
      </c>
      <c r="F33" s="8">
        <v>234663.0362</v>
      </c>
      <c r="G33" s="8">
        <v>38631.215120000001</v>
      </c>
      <c r="H33" s="8">
        <v>181898.83170000001</v>
      </c>
      <c r="I33" s="8">
        <v>85210.421889999998</v>
      </c>
      <c r="J33" s="8">
        <v>73510.682660000006</v>
      </c>
      <c r="K33" s="8">
        <f t="shared" si="1"/>
        <v>754096.31027000013</v>
      </c>
      <c r="L33" s="18">
        <v>7726.24</v>
      </c>
      <c r="M33" s="18">
        <v>5960.24</v>
      </c>
      <c r="N33" s="18">
        <v>6180.99</v>
      </c>
      <c r="O33" s="18">
        <v>3090.5</v>
      </c>
      <c r="P33" s="18">
        <v>3973.5</v>
      </c>
      <c r="Q33" s="18">
        <v>220.75</v>
      </c>
      <c r="R33" s="18">
        <v>1103.75</v>
      </c>
      <c r="S33" s="18">
        <f t="shared" si="2"/>
        <v>28255.97</v>
      </c>
      <c r="T33" s="18">
        <v>3532</v>
      </c>
      <c r="U33" s="18">
        <v>16335.5</v>
      </c>
      <c r="V33" s="18">
        <v>17439.2</v>
      </c>
      <c r="W33" s="18">
        <v>3752.75</v>
      </c>
      <c r="X33" s="18">
        <v>1986.75</v>
      </c>
      <c r="Y33" s="18">
        <v>1986.75</v>
      </c>
      <c r="Z33" s="18">
        <v>1103.75</v>
      </c>
      <c r="AA33" s="53">
        <f t="shared" si="3"/>
        <v>46136.7</v>
      </c>
      <c r="AB33" s="18">
        <v>85430.2</v>
      </c>
      <c r="AC33" s="18">
        <v>74392.7</v>
      </c>
      <c r="AD33" s="53">
        <f t="shared" si="4"/>
        <v>159822.9</v>
      </c>
      <c r="AE33" s="18">
        <v>77703.899999999994</v>
      </c>
      <c r="AF33" s="18">
        <v>2.8229169999999999</v>
      </c>
      <c r="AG33" s="18">
        <v>104.4</v>
      </c>
      <c r="AH33" s="31">
        <f t="shared" si="34"/>
        <v>666677.37571999989</v>
      </c>
      <c r="AI33" s="54">
        <f t="shared" si="35"/>
        <v>828488.98026999994</v>
      </c>
      <c r="AJ33" s="8">
        <f t="shared" si="5"/>
        <v>77703.899999999994</v>
      </c>
      <c r="AK33" s="8">
        <f t="shared" si="6"/>
        <v>174398.33620000002</v>
      </c>
      <c r="AL33" s="8">
        <f t="shared" si="36"/>
        <v>252102.23620000001</v>
      </c>
      <c r="AM33" s="8">
        <f t="shared" si="7"/>
        <v>160049.62270000001</v>
      </c>
      <c r="AN33" s="17">
        <f t="shared" si="8"/>
        <v>183885.58170000001</v>
      </c>
      <c r="AO33" s="17">
        <f t="shared" si="9"/>
        <v>42383.965120000001</v>
      </c>
      <c r="AP33" s="17">
        <f t="shared" si="10"/>
        <v>11258.24</v>
      </c>
      <c r="AQ33" s="17">
        <f t="shared" si="11"/>
        <v>16997.73</v>
      </c>
      <c r="AR33" s="17">
        <f t="shared" si="12"/>
        <v>74614.432660000006</v>
      </c>
      <c r="AS33" s="17">
        <f t="shared" si="13"/>
        <v>87197.171889999998</v>
      </c>
      <c r="AT33" s="26">
        <f t="shared" si="37"/>
        <v>0.63485998820346834</v>
      </c>
      <c r="AU33" s="26">
        <f t="shared" si="38"/>
        <v>9.3789901676998438E-2</v>
      </c>
      <c r="AV33" s="24">
        <v>200</v>
      </c>
      <c r="AW33" s="24">
        <v>350</v>
      </c>
      <c r="AX33" s="24">
        <v>17</v>
      </c>
      <c r="AY33" s="24">
        <v>200</v>
      </c>
      <c r="AZ33" s="24">
        <v>300</v>
      </c>
      <c r="BA33" s="24">
        <v>2.5</v>
      </c>
      <c r="BB33" s="26">
        <f t="shared" si="14"/>
        <v>9.3692901562608191E-2</v>
      </c>
      <c r="BC33" s="26">
        <v>0.55000000000000004</v>
      </c>
      <c r="BD33" s="21">
        <f t="shared" si="15"/>
        <v>1.4836805224168501E-2</v>
      </c>
      <c r="BE33" s="22">
        <f t="shared" si="16"/>
        <v>2.3255827564491245E-2</v>
      </c>
      <c r="BF33" s="22">
        <f t="shared" si="17"/>
        <v>9.9525628420754284E-2</v>
      </c>
      <c r="BG33" s="28">
        <v>3.5000000000000003E-2</v>
      </c>
      <c r="BH33" s="28">
        <v>0.21129999999999999</v>
      </c>
      <c r="BI33" s="28">
        <v>0.04</v>
      </c>
      <c r="BJ33" s="22">
        <v>1.1000000000000001</v>
      </c>
      <c r="BK33" s="22">
        <f t="shared" si="18"/>
        <v>0.58898088092774992</v>
      </c>
      <c r="BL33" s="22">
        <v>0.95</v>
      </c>
      <c r="BM33" s="22">
        <v>0.56786000000000003</v>
      </c>
      <c r="BN33" s="22">
        <v>0.53549999999999998</v>
      </c>
      <c r="BO33" s="22">
        <v>0.13916800000000001</v>
      </c>
      <c r="BP33" s="22">
        <v>0.14448000000000003</v>
      </c>
      <c r="BQ33" s="35">
        <v>18.46</v>
      </c>
      <c r="BR33" s="24">
        <v>0</v>
      </c>
      <c r="BS33" s="24">
        <v>0.67</v>
      </c>
      <c r="BT33" s="24">
        <v>0</v>
      </c>
      <c r="BU33" s="24">
        <v>0.33</v>
      </c>
      <c r="BV33" s="24">
        <v>2.8229169999999999</v>
      </c>
      <c r="BW33" s="24">
        <v>104.4</v>
      </c>
      <c r="BX33" s="70">
        <f t="shared" si="39"/>
        <v>22900313.332845718</v>
      </c>
      <c r="BY33" s="24">
        <f t="shared" si="31"/>
        <v>200</v>
      </c>
      <c r="BZ33" s="24">
        <f t="shared" si="32"/>
        <v>350</v>
      </c>
      <c r="CA33" s="23">
        <f t="shared" si="21"/>
        <v>160</v>
      </c>
      <c r="CB33" s="23">
        <f t="shared" si="22"/>
        <v>280</v>
      </c>
      <c r="CC33" s="24">
        <f t="shared" si="23"/>
        <v>184.34781067291416</v>
      </c>
      <c r="CD33" s="25">
        <f t="shared" si="24"/>
        <v>337.10524778595436</v>
      </c>
      <c r="CE33" s="24">
        <f t="shared" si="40"/>
        <v>0.20054794520547944</v>
      </c>
      <c r="CF33" s="26">
        <f t="shared" si="33"/>
        <v>0.36493150684931508</v>
      </c>
      <c r="CG33" s="26">
        <f t="shared" si="27"/>
        <v>0.20054794520547944</v>
      </c>
      <c r="CH33" s="26">
        <f t="shared" si="28"/>
        <v>0.36493150684931508</v>
      </c>
      <c r="CI33" s="26">
        <f t="shared" si="29"/>
        <v>0.20054794520547944</v>
      </c>
      <c r="CJ33" s="26">
        <f t="shared" si="30"/>
        <v>0.36493150684931508</v>
      </c>
    </row>
    <row r="34" spans="1:88">
      <c r="A34" s="19">
        <v>30</v>
      </c>
      <c r="B34" s="3" t="s">
        <v>287</v>
      </c>
      <c r="C34" s="3" t="s">
        <v>80</v>
      </c>
      <c r="D34" s="8">
        <v>476152.02260000003</v>
      </c>
      <c r="E34" s="8">
        <v>247378.04819999999</v>
      </c>
      <c r="F34" s="8">
        <v>724726.82680000004</v>
      </c>
      <c r="G34" s="8">
        <v>77044.493960000007</v>
      </c>
      <c r="H34" s="8">
        <v>523535.2795</v>
      </c>
      <c r="I34" s="8">
        <v>362801.44559999998</v>
      </c>
      <c r="J34" s="8">
        <v>339544.35279999999</v>
      </c>
      <c r="K34" s="8">
        <f t="shared" si="1"/>
        <v>2751182.4694599998</v>
      </c>
      <c r="L34" s="18">
        <v>55812.809523999997</v>
      </c>
      <c r="M34" s="18">
        <v>34301.616832</v>
      </c>
      <c r="N34" s="18">
        <v>56693.85224</v>
      </c>
      <c r="O34" s="18">
        <v>2327.94038</v>
      </c>
      <c r="P34" s="18">
        <v>11062.2</v>
      </c>
      <c r="Q34" s="18">
        <v>3210.6169999999997</v>
      </c>
      <c r="R34" s="18">
        <v>3782.1823199999999</v>
      </c>
      <c r="S34" s="18">
        <f t="shared" si="2"/>
        <v>167191.21829599998</v>
      </c>
      <c r="T34" s="18">
        <v>50289.1</v>
      </c>
      <c r="U34" s="18">
        <v>31685.1</v>
      </c>
      <c r="V34" s="18">
        <v>164675</v>
      </c>
      <c r="W34" s="18">
        <v>29650.2</v>
      </c>
      <c r="X34" s="18">
        <v>39824.300000000003</v>
      </c>
      <c r="Y34" s="18">
        <v>4941.71</v>
      </c>
      <c r="Z34" s="18">
        <v>2906.89</v>
      </c>
      <c r="AA34" s="53">
        <f t="shared" si="3"/>
        <v>323972.30000000005</v>
      </c>
      <c r="AB34" s="18">
        <v>363652</v>
      </c>
      <c r="AC34" s="18">
        <v>339815</v>
      </c>
      <c r="AD34" s="53">
        <f t="shared" si="4"/>
        <v>703467</v>
      </c>
      <c r="AE34" s="18">
        <v>253335</v>
      </c>
      <c r="AF34" s="18">
        <v>3.2430949999999998</v>
      </c>
      <c r="AG34" s="18">
        <v>105.99509999999999</v>
      </c>
      <c r="AH34" s="31">
        <f t="shared" si="34"/>
        <v>2532151.5893559996</v>
      </c>
      <c r="AI34" s="54">
        <f t="shared" si="35"/>
        <v>3242345.9877559999</v>
      </c>
      <c r="AJ34" s="8">
        <f t="shared" si="5"/>
        <v>253335</v>
      </c>
      <c r="AK34" s="8">
        <f t="shared" si="6"/>
        <v>636066.82680000004</v>
      </c>
      <c r="AL34" s="8">
        <f t="shared" si="36"/>
        <v>889401.82680000004</v>
      </c>
      <c r="AM34" s="8">
        <f t="shared" si="7"/>
        <v>805504.27079999994</v>
      </c>
      <c r="AN34" s="17">
        <f t="shared" si="8"/>
        <v>563359.57949999999</v>
      </c>
      <c r="AO34" s="17">
        <f t="shared" si="9"/>
        <v>106694.69396</v>
      </c>
      <c r="AP34" s="17">
        <f t="shared" si="10"/>
        <v>71538.234560000012</v>
      </c>
      <c r="AQ34" s="17">
        <f t="shared" si="11"/>
        <v>95652.983735999995</v>
      </c>
      <c r="AR34" s="17">
        <f t="shared" si="12"/>
        <v>342451.24280000001</v>
      </c>
      <c r="AS34" s="17">
        <f t="shared" si="13"/>
        <v>367743.1556</v>
      </c>
      <c r="AT34" s="26">
        <f t="shared" si="37"/>
        <v>0.90566968329505559</v>
      </c>
      <c r="AU34" s="26">
        <f t="shared" si="38"/>
        <v>7.813324085605404E-2</v>
      </c>
      <c r="AV34" s="24">
        <v>200</v>
      </c>
      <c r="AW34" s="24">
        <v>350</v>
      </c>
      <c r="AX34" s="24">
        <v>17</v>
      </c>
      <c r="AY34" s="24">
        <v>200</v>
      </c>
      <c r="AZ34" s="24">
        <v>300</v>
      </c>
      <c r="BA34" s="24">
        <v>2.5</v>
      </c>
      <c r="BB34" s="26">
        <f t="shared" si="14"/>
        <v>0.24889633185988413</v>
      </c>
      <c r="BC34" s="26">
        <v>0.55000000000000004</v>
      </c>
      <c r="BD34" s="21">
        <f t="shared" si="15"/>
        <v>8.554331033062107E-3</v>
      </c>
      <c r="BE34" s="22">
        <f t="shared" si="16"/>
        <v>1.358911816791878E-2</v>
      </c>
      <c r="BF34" s="22">
        <f t="shared" si="17"/>
        <v>0.17030763009569527</v>
      </c>
      <c r="BG34" s="28">
        <v>3.5000000000000003E-2</v>
      </c>
      <c r="BH34" s="28">
        <v>0.21129999999999999</v>
      </c>
      <c r="BI34" s="28">
        <v>0.04</v>
      </c>
      <c r="BJ34" s="22">
        <v>1.1000000000000001</v>
      </c>
      <c r="BK34" s="22">
        <f t="shared" si="18"/>
        <v>0.65355472551021521</v>
      </c>
      <c r="BL34" s="22">
        <v>0.95</v>
      </c>
      <c r="BM34" s="22">
        <v>0.51885000000000003</v>
      </c>
      <c r="BN34" s="22">
        <v>0.50700000000000001</v>
      </c>
      <c r="BO34" s="22">
        <v>0.12104000000000001</v>
      </c>
      <c r="BP34" s="22">
        <v>0.12960000000000002</v>
      </c>
      <c r="BQ34" s="35">
        <v>18.46</v>
      </c>
      <c r="BR34" s="24">
        <v>0.2</v>
      </c>
      <c r="BS34" s="24">
        <v>0</v>
      </c>
      <c r="BT34" s="24">
        <v>0.2</v>
      </c>
      <c r="BU34" s="24">
        <v>0.6</v>
      </c>
      <c r="BV34" s="24">
        <v>3.2430949999999998</v>
      </c>
      <c r="BW34" s="24">
        <v>105.99509999999999</v>
      </c>
      <c r="BX34" s="70">
        <f t="shared" si="39"/>
        <v>87084458.225038037</v>
      </c>
      <c r="BY34" s="24">
        <f t="shared" si="31"/>
        <v>200</v>
      </c>
      <c r="BZ34" s="24">
        <f t="shared" si="32"/>
        <v>350</v>
      </c>
      <c r="CA34" s="23">
        <f t="shared" si="21"/>
        <v>160</v>
      </c>
      <c r="CB34" s="23">
        <f t="shared" si="22"/>
        <v>280</v>
      </c>
      <c r="CC34" s="24">
        <f t="shared" si="23"/>
        <v>193.46939519981692</v>
      </c>
      <c r="CD34" s="25">
        <f t="shared" si="24"/>
        <v>348.23721706449408</v>
      </c>
      <c r="CE34" s="24">
        <f t="shared" si="40"/>
        <v>0.20054794520547944</v>
      </c>
      <c r="CF34" s="26">
        <f t="shared" si="33"/>
        <v>0.36493150684931508</v>
      </c>
      <c r="CG34" s="26">
        <f t="shared" si="27"/>
        <v>0.20054794520547944</v>
      </c>
      <c r="CH34" s="26">
        <f t="shared" si="28"/>
        <v>0.36493150684931508</v>
      </c>
      <c r="CI34" s="26">
        <f t="shared" si="29"/>
        <v>0.20054794520547944</v>
      </c>
      <c r="CJ34" s="26">
        <f t="shared" si="30"/>
        <v>0.36493150684931508</v>
      </c>
    </row>
    <row r="35" spans="1:88">
      <c r="A35" s="19">
        <v>31</v>
      </c>
      <c r="B35" s="3" t="s">
        <v>288</v>
      </c>
      <c r="C35" s="3" t="s">
        <v>78</v>
      </c>
      <c r="D35" s="8">
        <v>24707.708190000001</v>
      </c>
      <c r="E35" s="8">
        <v>131476.0337</v>
      </c>
      <c r="F35" s="8">
        <v>490587.02870000002</v>
      </c>
      <c r="G35" s="8">
        <v>21244.87628</v>
      </c>
      <c r="H35" s="8">
        <v>297336.25219999999</v>
      </c>
      <c r="I35" s="8">
        <v>171425.9167</v>
      </c>
      <c r="J35" s="8">
        <v>214892.6152</v>
      </c>
      <c r="K35" s="8">
        <f t="shared" si="1"/>
        <v>1351670.4309700001</v>
      </c>
      <c r="L35" s="18">
        <v>10094.986999999999</v>
      </c>
      <c r="M35" s="18">
        <v>79846.786099999998</v>
      </c>
      <c r="N35" s="18">
        <v>64793.127</v>
      </c>
      <c r="O35" s="18">
        <v>4734.0420000000004</v>
      </c>
      <c r="P35" s="18">
        <v>17281.430200000003</v>
      </c>
      <c r="Q35" s="18">
        <v>18803.5687</v>
      </c>
      <c r="R35" s="18">
        <v>6094.0978000000005</v>
      </c>
      <c r="S35" s="18">
        <f t="shared" si="2"/>
        <v>201648.03879999998</v>
      </c>
      <c r="T35" s="18">
        <v>352.98099999999999</v>
      </c>
      <c r="U35" s="18">
        <v>11295.4</v>
      </c>
      <c r="V35" s="18">
        <v>17628.3</v>
      </c>
      <c r="W35" s="18">
        <v>1764.91</v>
      </c>
      <c r="X35" s="18">
        <v>12354.3</v>
      </c>
      <c r="Y35" s="18">
        <v>3176.83</v>
      </c>
      <c r="Z35" s="18">
        <v>3529.81</v>
      </c>
      <c r="AA35" s="53">
        <f t="shared" si="3"/>
        <v>50102.530999999995</v>
      </c>
      <c r="AB35" s="18">
        <v>192022</v>
      </c>
      <c r="AC35" s="18">
        <v>225202</v>
      </c>
      <c r="AD35" s="53">
        <f t="shared" si="4"/>
        <v>417224</v>
      </c>
      <c r="AE35" s="18">
        <v>194846</v>
      </c>
      <c r="AF35" s="18">
        <v>2.8928569999999998</v>
      </c>
      <c r="AG35" s="18">
        <v>105.0288</v>
      </c>
      <c r="AH35" s="31">
        <f t="shared" si="34"/>
        <v>1210395.8288699999</v>
      </c>
      <c r="AI35" s="54">
        <f t="shared" si="35"/>
        <v>1603421.0007699998</v>
      </c>
      <c r="AJ35" s="8">
        <f t="shared" si="5"/>
        <v>194846</v>
      </c>
      <c r="AK35" s="8">
        <f t="shared" si="6"/>
        <v>313369.32870000001</v>
      </c>
      <c r="AL35" s="8">
        <f t="shared" si="36"/>
        <v>508215.32870000001</v>
      </c>
      <c r="AM35" s="8">
        <f t="shared" si="7"/>
        <v>167832.12289</v>
      </c>
      <c r="AN35" s="17">
        <f t="shared" si="8"/>
        <v>309690.55219999998</v>
      </c>
      <c r="AO35" s="17">
        <f t="shared" si="9"/>
        <v>23009.78628</v>
      </c>
      <c r="AP35" s="17">
        <f t="shared" si="10"/>
        <v>88168.655000000013</v>
      </c>
      <c r="AQ35" s="17">
        <f t="shared" si="11"/>
        <v>113479.3838</v>
      </c>
      <c r="AR35" s="17">
        <f t="shared" si="12"/>
        <v>218422.4252</v>
      </c>
      <c r="AS35" s="17">
        <f t="shared" si="13"/>
        <v>174602.74669999999</v>
      </c>
      <c r="AT35" s="26">
        <f t="shared" si="37"/>
        <v>0.3302382148120358</v>
      </c>
      <c r="AU35" s="26">
        <f t="shared" si="38"/>
        <v>0.12151892728511754</v>
      </c>
      <c r="AV35" s="24">
        <v>200</v>
      </c>
      <c r="AW35" s="24">
        <v>350</v>
      </c>
      <c r="AX35" s="24">
        <v>17</v>
      </c>
      <c r="AY35" s="24">
        <v>200</v>
      </c>
      <c r="AZ35" s="24">
        <v>300</v>
      </c>
      <c r="BA35" s="24">
        <v>2.5</v>
      </c>
      <c r="BB35" s="26">
        <f t="shared" si="14"/>
        <v>0.16217816021179762</v>
      </c>
      <c r="BC35" s="26">
        <v>0.55000000000000004</v>
      </c>
      <c r="BD35" s="21">
        <f t="shared" si="15"/>
        <v>1.567397270006483E-2</v>
      </c>
      <c r="BE35" s="22">
        <f t="shared" si="16"/>
        <v>1.6544093905906613E-2</v>
      </c>
      <c r="BF35" s="22">
        <f t="shared" si="17"/>
        <v>4.5265930885053901E-2</v>
      </c>
      <c r="BG35" s="28">
        <v>3.5000000000000003E-2</v>
      </c>
      <c r="BH35" s="28">
        <v>0.21129999999999999</v>
      </c>
      <c r="BI35" s="28">
        <v>0.04</v>
      </c>
      <c r="BJ35" s="22">
        <v>1.1000000000000001</v>
      </c>
      <c r="BK35" s="22">
        <f t="shared" si="18"/>
        <v>0.14931997974204972</v>
      </c>
      <c r="BL35" s="22">
        <v>0.95</v>
      </c>
      <c r="BM35" s="22">
        <v>0.56786000000000003</v>
      </c>
      <c r="BN35" s="22">
        <v>0.53549999999999998</v>
      </c>
      <c r="BO35" s="22">
        <v>0.13916800000000001</v>
      </c>
      <c r="BP35" s="22">
        <v>0.14448000000000003</v>
      </c>
      <c r="BQ35" s="35">
        <v>18.46</v>
      </c>
      <c r="BR35" s="24">
        <v>0</v>
      </c>
      <c r="BS35" s="24">
        <v>0.67</v>
      </c>
      <c r="BT35" s="24">
        <v>0</v>
      </c>
      <c r="BU35" s="24">
        <v>0.33</v>
      </c>
      <c r="BV35" s="24">
        <v>2.8928569999999998</v>
      </c>
      <c r="BW35" s="24">
        <v>105.0288</v>
      </c>
      <c r="BX35" s="70">
        <f t="shared" si="39"/>
        <v>59200703.031822629</v>
      </c>
      <c r="BY35" s="24">
        <f t="shared" si="31"/>
        <v>200</v>
      </c>
      <c r="BZ35" s="24">
        <f t="shared" si="32"/>
        <v>350</v>
      </c>
      <c r="CA35" s="23">
        <f t="shared" si="21"/>
        <v>160</v>
      </c>
      <c r="CB35" s="23">
        <f t="shared" si="22"/>
        <v>280</v>
      </c>
      <c r="CC35" s="24">
        <f t="shared" si="23"/>
        <v>191.577691898897</v>
      </c>
      <c r="CD35" s="25">
        <f t="shared" si="24"/>
        <v>346.49981423819821</v>
      </c>
      <c r="CE35" s="24">
        <f t="shared" si="40"/>
        <v>0.20054794520547944</v>
      </c>
      <c r="CF35" s="26">
        <f t="shared" si="33"/>
        <v>0.36493150684931508</v>
      </c>
      <c r="CG35" s="26">
        <f t="shared" si="27"/>
        <v>0.20054794520547944</v>
      </c>
      <c r="CH35" s="26">
        <f t="shared" si="28"/>
        <v>0.36493150684931508</v>
      </c>
      <c r="CI35" s="26">
        <f t="shared" si="29"/>
        <v>0.20054794520547944</v>
      </c>
      <c r="CJ35" s="26">
        <f t="shared" si="30"/>
        <v>0.36493150684931508</v>
      </c>
    </row>
    <row r="36" spans="1:88">
      <c r="BV36" s="71"/>
      <c r="BX36" s="86">
        <f>SUM(BX5:BX35)</f>
        <v>1093591420.1424749</v>
      </c>
    </row>
    <row r="39" spans="1:88">
      <c r="X39" s="116">
        <f>Y39/K4</f>
        <v>3.6791023504062562E-3</v>
      </c>
      <c r="Y39" s="2">
        <f>Y4+Z4</f>
        <v>116886.5</v>
      </c>
    </row>
    <row r="40" spans="1:88">
      <c r="AF40" s="2">
        <f>AVERAGE(AF5,AF9,AF21,AF26,AF28,AF33,AF35)</f>
        <v>2.9067698571428573</v>
      </c>
      <c r="AG40" s="2">
        <f>AVERAGE(AG5,AG9,AG21,AG26,AG28,AG33,AG35)</f>
        <v>104.61008571428572</v>
      </c>
      <c r="AT40" s="91">
        <f>AVERAGE(AT5,AT9,AT21,AT26,AT28,AT33,AT35)</f>
        <v>0.70252344861451355</v>
      </c>
      <c r="AU40" s="91">
        <f t="shared" ref="AU40:BX40" si="41">AVERAGE(AU5,AU9,AU21,AU26,AU28,AU33,AU35)</f>
        <v>7.9642869810608322E-2</v>
      </c>
      <c r="AV40" s="91">
        <f t="shared" si="41"/>
        <v>200</v>
      </c>
      <c r="AW40" s="91">
        <f t="shared" si="41"/>
        <v>350</v>
      </c>
      <c r="AX40" s="91">
        <f t="shared" si="41"/>
        <v>17</v>
      </c>
      <c r="AY40" s="91">
        <f t="shared" si="41"/>
        <v>200</v>
      </c>
      <c r="AZ40" s="91">
        <f t="shared" si="41"/>
        <v>300</v>
      </c>
      <c r="BA40" s="91">
        <f t="shared" si="41"/>
        <v>2.5</v>
      </c>
      <c r="BB40" s="91">
        <f t="shared" si="41"/>
        <v>0.12801353610555102</v>
      </c>
      <c r="BC40" s="91">
        <f t="shared" si="41"/>
        <v>0.54999999999999993</v>
      </c>
      <c r="BD40" s="91">
        <f t="shared" si="41"/>
        <v>1.6769484573107198E-2</v>
      </c>
      <c r="BE40" s="91">
        <f t="shared" si="41"/>
        <v>1.9097775662796575E-2</v>
      </c>
      <c r="BF40" s="91">
        <f t="shared" si="41"/>
        <v>5.2634048786007671E-2</v>
      </c>
      <c r="BG40" s="91">
        <f t="shared" si="41"/>
        <v>3.5000000000000003E-2</v>
      </c>
      <c r="BH40" s="91">
        <f t="shared" si="41"/>
        <v>0.21130000000000002</v>
      </c>
      <c r="BI40" s="91">
        <f t="shared" si="41"/>
        <v>0.04</v>
      </c>
      <c r="BJ40" s="91">
        <f t="shared" si="41"/>
        <v>1.0999999999999999</v>
      </c>
      <c r="BK40" s="91">
        <f t="shared" si="41"/>
        <v>0.57556834550678482</v>
      </c>
      <c r="BL40" s="91">
        <f t="shared" si="41"/>
        <v>0.95000000000000007</v>
      </c>
      <c r="BM40" s="91">
        <f t="shared" si="41"/>
        <v>0.56786000000000003</v>
      </c>
      <c r="BN40" s="91">
        <f t="shared" si="41"/>
        <v>0.53549999999999998</v>
      </c>
      <c r="BO40" s="91">
        <f t="shared" si="41"/>
        <v>0.13916799999999999</v>
      </c>
      <c r="BP40" s="91">
        <f t="shared" si="41"/>
        <v>0.14448000000000003</v>
      </c>
      <c r="BQ40" s="91">
        <f t="shared" si="41"/>
        <v>18.460000000000004</v>
      </c>
      <c r="BR40" s="91">
        <f t="shared" si="41"/>
        <v>0</v>
      </c>
      <c r="BS40" s="91">
        <f>AVERAGE(BS5,BS9,BS21,BS26,BS28,BS33,BS35)</f>
        <v>0.67</v>
      </c>
      <c r="BT40" s="91">
        <f t="shared" si="41"/>
        <v>0</v>
      </c>
      <c r="BU40" s="91">
        <f t="shared" si="41"/>
        <v>0.33</v>
      </c>
      <c r="BV40" s="91">
        <f t="shared" si="41"/>
        <v>2.9067698571428573</v>
      </c>
      <c r="BW40" s="91">
        <f t="shared" si="41"/>
        <v>104.61008571428572</v>
      </c>
      <c r="BX40" s="91">
        <f t="shared" si="41"/>
        <v>32478415.576099999</v>
      </c>
    </row>
    <row r="41" spans="1:88">
      <c r="AF41" s="2">
        <f>AVERAGE(AF6,AF8,AF10,AF11,AF12,AF13,AF14,AF15,AF16,AF17,AF18,AF22,AF23,AF24,AF27,AF29,AF31)</f>
        <v>2.949110176470588</v>
      </c>
      <c r="AG41" s="2">
        <f>AVERAGE(AG6,AG8,AG10,AG11,AG12,AG13,AG14,AG15,AG16,AG17,AG18,AG22,AG23,AG24,AG27,AG29,AG31)</f>
        <v>104.37805882352939</v>
      </c>
      <c r="AT41" s="91">
        <f>AVERAGE(AT6,AT8,AT10,AT11,AT12,AT13,AT14,AT15,AT16,AT17,AT18,AT22,AT23,AT24,AT27,AT29,AT31)</f>
        <v>0.52586741504974233</v>
      </c>
      <c r="AU41" s="91">
        <f t="shared" ref="AU41:BX41" si="42">AVERAGE(AU6,AU8,AU10,AU11,AU12,AU13,AU14,AU15,AU16,AU17,AU18,AU22,AU23,AU24,AU27,AU29,AU31)</f>
        <v>9.5293486580295073E-2</v>
      </c>
      <c r="AV41" s="91">
        <f t="shared" si="42"/>
        <v>200</v>
      </c>
      <c r="AW41" s="91">
        <f t="shared" si="42"/>
        <v>350</v>
      </c>
      <c r="AX41" s="91">
        <f t="shared" si="42"/>
        <v>17</v>
      </c>
      <c r="AY41" s="91">
        <f t="shared" si="42"/>
        <v>200</v>
      </c>
      <c r="AZ41" s="91">
        <f t="shared" si="42"/>
        <v>300</v>
      </c>
      <c r="BA41" s="91">
        <f>AVERAGE(BA6,BA8,BA10,BA11,BA12,BA13,BA14,BA15,BA16,BA17,BA18,BA22,BA23,BA24,BA27,BA29,BA31)</f>
        <v>2.5</v>
      </c>
      <c r="BB41" s="91">
        <f t="shared" si="42"/>
        <v>0.14024284983923868</v>
      </c>
      <c r="BC41" s="91">
        <f t="shared" si="42"/>
        <v>0.54999999999999993</v>
      </c>
      <c r="BD41" s="91">
        <f t="shared" si="42"/>
        <v>1.8396104140312057E-2</v>
      </c>
      <c r="BE41" s="91">
        <f t="shared" si="42"/>
        <v>3.1683104101120255E-2</v>
      </c>
      <c r="BF41" s="91">
        <f t="shared" si="42"/>
        <v>4.6508442535791936E-2</v>
      </c>
      <c r="BG41" s="91">
        <f t="shared" si="42"/>
        <v>3.5000000000000017E-2</v>
      </c>
      <c r="BH41" s="91">
        <f t="shared" si="42"/>
        <v>0.21130000000000002</v>
      </c>
      <c r="BI41" s="91">
        <f t="shared" si="42"/>
        <v>0.04</v>
      </c>
      <c r="BJ41" s="91">
        <f t="shared" si="42"/>
        <v>1.0999999999999999</v>
      </c>
      <c r="BK41" s="91">
        <f t="shared" si="42"/>
        <v>0.33011851170717404</v>
      </c>
      <c r="BL41" s="91">
        <f t="shared" si="42"/>
        <v>0.94999999999999973</v>
      </c>
      <c r="BM41" s="91">
        <f t="shared" si="42"/>
        <v>0.52244999999999997</v>
      </c>
      <c r="BN41" s="91">
        <f t="shared" si="42"/>
        <v>0.5069999999999999</v>
      </c>
      <c r="BO41" s="91">
        <f t="shared" si="42"/>
        <v>0.11982480000000001</v>
      </c>
      <c r="BP41" s="91">
        <f t="shared" si="42"/>
        <v>0.12959999999999999</v>
      </c>
      <c r="BQ41" s="91">
        <f t="shared" si="42"/>
        <v>18.46</v>
      </c>
      <c r="BR41" s="91">
        <f t="shared" si="42"/>
        <v>0</v>
      </c>
      <c r="BS41" s="91">
        <f t="shared" si="42"/>
        <v>0</v>
      </c>
      <c r="BT41" s="91">
        <f t="shared" si="42"/>
        <v>0.25</v>
      </c>
      <c r="BU41" s="91">
        <f t="shared" si="42"/>
        <v>0.75</v>
      </c>
      <c r="BV41" s="91">
        <f t="shared" si="42"/>
        <v>2.949110176470588</v>
      </c>
      <c r="BW41" s="91">
        <f t="shared" si="42"/>
        <v>104.37805882352939</v>
      </c>
      <c r="BX41" s="91">
        <f t="shared" si="42"/>
        <v>19984370.762530606</v>
      </c>
    </row>
    <row r="42" spans="1:88">
      <c r="AF42" s="2">
        <f>AVERAGE(AF7,AF19,AF20,AF25,AF30,AF32,AF34)</f>
        <v>3.1284478571428571</v>
      </c>
      <c r="AG42" s="2">
        <f>AVERAGE(AG7,AG19,AG20,AG25,AG30,AG32,AG34)</f>
        <v>105.34754285714284</v>
      </c>
      <c r="AT42" s="91">
        <f>AVERAGE(AT7,AT19,AT20,AT25,AT30,AT32,AT34)</f>
        <v>0.91089241967201828</v>
      </c>
      <c r="AU42" s="91">
        <f t="shared" ref="AU42:BU42" si="43">AVERAGE(AU7,AU19,AU20,AU25,AU30,AU32,AU34)</f>
        <v>9.8405865218223074E-2</v>
      </c>
      <c r="AV42" s="91">
        <f t="shared" si="43"/>
        <v>200</v>
      </c>
      <c r="AW42" s="91">
        <f t="shared" si="43"/>
        <v>350</v>
      </c>
      <c r="AX42" s="91">
        <f t="shared" si="43"/>
        <v>17</v>
      </c>
      <c r="AY42" s="91">
        <f t="shared" si="43"/>
        <v>200</v>
      </c>
      <c r="AZ42" s="91">
        <f t="shared" si="43"/>
        <v>300</v>
      </c>
      <c r="BA42" s="91">
        <f t="shared" si="43"/>
        <v>2.5</v>
      </c>
      <c r="BB42" s="91">
        <f t="shared" si="43"/>
        <v>0.13273789452878945</v>
      </c>
      <c r="BC42" s="91">
        <f t="shared" si="43"/>
        <v>0.54999999999999993</v>
      </c>
      <c r="BD42" s="91">
        <f t="shared" si="43"/>
        <v>1.1815467970493005E-2</v>
      </c>
      <c r="BE42" s="91">
        <f t="shared" si="43"/>
        <v>1.5078034622218168E-2</v>
      </c>
      <c r="BF42" s="91">
        <f t="shared" si="43"/>
        <v>6.3943561632999468E-2</v>
      </c>
      <c r="BG42" s="91">
        <f t="shared" si="43"/>
        <v>3.5000000000000003E-2</v>
      </c>
      <c r="BH42" s="91">
        <f t="shared" si="43"/>
        <v>0.21130000000000002</v>
      </c>
      <c r="BI42" s="91">
        <f t="shared" si="43"/>
        <v>0.04</v>
      </c>
      <c r="BJ42" s="91">
        <f t="shared" si="43"/>
        <v>1.0999999999999999</v>
      </c>
      <c r="BK42" s="91">
        <f t="shared" si="43"/>
        <v>0.45427235659607573</v>
      </c>
      <c r="BL42" s="91">
        <f t="shared" si="43"/>
        <v>0.95000000000000007</v>
      </c>
      <c r="BM42" s="91">
        <f t="shared" si="43"/>
        <v>0.51885000000000003</v>
      </c>
      <c r="BN42" s="91">
        <f t="shared" si="43"/>
        <v>0.50700000000000001</v>
      </c>
      <c r="BO42" s="91">
        <f t="shared" si="43"/>
        <v>0.12104000000000002</v>
      </c>
      <c r="BP42" s="91">
        <f t="shared" si="43"/>
        <v>0.12960000000000002</v>
      </c>
      <c r="BQ42" s="91">
        <f t="shared" si="43"/>
        <v>18.460000000000004</v>
      </c>
      <c r="BR42" s="91">
        <f t="shared" si="43"/>
        <v>0.19999999999999998</v>
      </c>
      <c r="BS42" s="91">
        <f t="shared" si="43"/>
        <v>0</v>
      </c>
      <c r="BT42" s="91">
        <f t="shared" si="43"/>
        <v>0.19999999999999998</v>
      </c>
      <c r="BU42" s="91">
        <f t="shared" si="43"/>
        <v>0.6</v>
      </c>
    </row>
  </sheetData>
  <sortState xmlns:xlrd2="http://schemas.microsoft.com/office/spreadsheetml/2017/richdata2" ref="A5:CJ35">
    <sortCondition ref="B5:B35"/>
  </sortState>
  <mergeCells count="9">
    <mergeCell ref="BR2:BU2"/>
    <mergeCell ref="D1:AG1"/>
    <mergeCell ref="AE2:AG2"/>
    <mergeCell ref="D2:K2"/>
    <mergeCell ref="L2:S2"/>
    <mergeCell ref="T2:AA2"/>
    <mergeCell ref="AB2:AD2"/>
    <mergeCell ref="BM2:BN2"/>
    <mergeCell ref="BO2:BP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1"/>
  <sheetViews>
    <sheetView zoomScale="80" zoomScaleNormal="80" workbookViewId="0">
      <selection activeCell="A46" sqref="A46:XFD46"/>
    </sheetView>
  </sheetViews>
  <sheetFormatPr defaultColWidth="9.140625" defaultRowHeight="21"/>
  <cols>
    <col min="1" max="1" width="26" style="16" bestFit="1" customWidth="1"/>
    <col min="2" max="2" width="68.42578125" style="16" bestFit="1" customWidth="1"/>
    <col min="3" max="3" width="22.85546875" style="16" bestFit="1" customWidth="1"/>
    <col min="4" max="4" width="87" style="16" bestFit="1" customWidth="1"/>
    <col min="5" max="16384" width="9.140625" style="16"/>
  </cols>
  <sheetData>
    <row r="1" spans="1:5">
      <c r="A1" s="36" t="s">
        <v>85</v>
      </c>
      <c r="B1" s="36" t="s">
        <v>86</v>
      </c>
      <c r="C1" s="36" t="s">
        <v>87</v>
      </c>
      <c r="D1" s="36" t="s">
        <v>88</v>
      </c>
      <c r="E1" s="36" t="s">
        <v>89</v>
      </c>
    </row>
    <row r="2" spans="1:5">
      <c r="A2" s="16" t="s">
        <v>90</v>
      </c>
      <c r="B2" s="16" t="s">
        <v>91</v>
      </c>
      <c r="C2" s="16" t="s">
        <v>92</v>
      </c>
      <c r="D2" s="16" t="s">
        <v>289</v>
      </c>
    </row>
    <row r="3" spans="1:5">
      <c r="A3" s="16" t="s">
        <v>94</v>
      </c>
      <c r="B3" s="16" t="s">
        <v>95</v>
      </c>
      <c r="C3" s="16" t="s">
        <v>92</v>
      </c>
      <c r="D3" s="16" t="s">
        <v>290</v>
      </c>
    </row>
    <row r="4" spans="1:5">
      <c r="A4" s="16" t="s">
        <v>97</v>
      </c>
      <c r="B4" s="16" t="s">
        <v>98</v>
      </c>
      <c r="C4" s="16" t="s">
        <v>92</v>
      </c>
      <c r="D4" s="16" t="s">
        <v>99</v>
      </c>
    </row>
    <row r="5" spans="1:5">
      <c r="A5" s="16" t="s">
        <v>100</v>
      </c>
      <c r="B5" s="16" t="s">
        <v>101</v>
      </c>
      <c r="C5" s="16" t="s">
        <v>92</v>
      </c>
      <c r="D5" s="16" t="s">
        <v>102</v>
      </c>
    </row>
    <row r="6" spans="1:5">
      <c r="A6" s="16" t="s">
        <v>103</v>
      </c>
      <c r="B6" s="16" t="s">
        <v>104</v>
      </c>
      <c r="C6" s="16" t="s">
        <v>92</v>
      </c>
      <c r="D6" s="16" t="s">
        <v>105</v>
      </c>
    </row>
    <row r="7" spans="1:5">
      <c r="A7" s="16" t="s">
        <v>106</v>
      </c>
      <c r="B7" s="16" t="s">
        <v>107</v>
      </c>
      <c r="C7" s="16" t="s">
        <v>92</v>
      </c>
      <c r="D7" s="16" t="s">
        <v>108</v>
      </c>
    </row>
    <row r="8" spans="1:5">
      <c r="A8" s="16" t="s">
        <v>109</v>
      </c>
      <c r="B8" s="16" t="s">
        <v>110</v>
      </c>
      <c r="C8" s="16" t="s">
        <v>92</v>
      </c>
      <c r="D8" s="16" t="s">
        <v>111</v>
      </c>
    </row>
    <row r="9" spans="1:5">
      <c r="A9" s="16" t="s">
        <v>112</v>
      </c>
      <c r="B9" s="16" t="s">
        <v>113</v>
      </c>
      <c r="C9" s="16" t="s">
        <v>92</v>
      </c>
      <c r="D9" s="16" t="s">
        <v>114</v>
      </c>
    </row>
    <row r="10" spans="1:5">
      <c r="A10" s="16" t="s">
        <v>115</v>
      </c>
      <c r="B10" s="16" t="s">
        <v>116</v>
      </c>
      <c r="C10" s="16" t="s">
        <v>92</v>
      </c>
      <c r="D10" s="16" t="s">
        <v>117</v>
      </c>
    </row>
    <row r="11" spans="1:5">
      <c r="A11" s="16" t="s">
        <v>118</v>
      </c>
      <c r="B11" s="16" t="s">
        <v>119</v>
      </c>
      <c r="C11" s="16" t="s">
        <v>92</v>
      </c>
      <c r="D11" s="16" t="s">
        <v>120</v>
      </c>
    </row>
    <row r="12" spans="1:5">
      <c r="A12" s="16" t="s">
        <v>121</v>
      </c>
      <c r="B12" s="16" t="s">
        <v>122</v>
      </c>
      <c r="C12" s="16" t="s">
        <v>92</v>
      </c>
      <c r="D12" s="16" t="s">
        <v>123</v>
      </c>
    </row>
    <row r="13" spans="1:5">
      <c r="A13" s="16" t="s">
        <v>124</v>
      </c>
      <c r="B13" s="16" t="s">
        <v>125</v>
      </c>
      <c r="C13" s="16" t="s">
        <v>126</v>
      </c>
      <c r="D13" s="16" t="s">
        <v>291</v>
      </c>
      <c r="E13" s="16" t="s">
        <v>128</v>
      </c>
    </row>
    <row r="14" spans="1:5">
      <c r="A14" s="16" t="s">
        <v>129</v>
      </c>
      <c r="B14" s="16" t="s">
        <v>130</v>
      </c>
      <c r="C14" s="16" t="s">
        <v>126</v>
      </c>
      <c r="D14" s="16" t="s">
        <v>291</v>
      </c>
      <c r="E14" s="16" t="s">
        <v>128</v>
      </c>
    </row>
    <row r="15" spans="1:5">
      <c r="A15" s="16" t="s">
        <v>131</v>
      </c>
      <c r="B15" s="16" t="s">
        <v>132</v>
      </c>
      <c r="C15" s="16" t="s">
        <v>133</v>
      </c>
      <c r="D15" s="16" t="s">
        <v>134</v>
      </c>
    </row>
    <row r="16" spans="1:5">
      <c r="A16" s="16" t="s">
        <v>135</v>
      </c>
      <c r="B16" s="16" t="s">
        <v>136</v>
      </c>
      <c r="C16" s="16" t="s">
        <v>133</v>
      </c>
      <c r="D16" s="16" t="s">
        <v>134</v>
      </c>
    </row>
    <row r="17" spans="1:5">
      <c r="A17" s="16" t="s">
        <v>137</v>
      </c>
      <c r="B17" s="16" t="s">
        <v>138</v>
      </c>
      <c r="C17" s="16" t="s">
        <v>133</v>
      </c>
      <c r="D17" s="16" t="s">
        <v>134</v>
      </c>
    </row>
    <row r="18" spans="1:5">
      <c r="A18" s="16" t="s">
        <v>139</v>
      </c>
      <c r="B18" s="16" t="s">
        <v>140</v>
      </c>
      <c r="C18" s="16" t="s">
        <v>133</v>
      </c>
      <c r="D18" s="16" t="s">
        <v>134</v>
      </c>
    </row>
    <row r="19" spans="1:5">
      <c r="A19" s="16" t="s">
        <v>141</v>
      </c>
      <c r="B19" s="16" t="s">
        <v>142</v>
      </c>
      <c r="C19" s="16" t="s">
        <v>133</v>
      </c>
      <c r="D19" s="16" t="s">
        <v>134</v>
      </c>
    </row>
    <row r="20" spans="1:5">
      <c r="A20" s="16" t="s">
        <v>143</v>
      </c>
      <c r="B20" s="16" t="s">
        <v>144</v>
      </c>
      <c r="C20" s="16" t="s">
        <v>145</v>
      </c>
      <c r="D20" s="16" t="s">
        <v>134</v>
      </c>
    </row>
    <row r="21" spans="1:5">
      <c r="A21" s="16" t="s">
        <v>146</v>
      </c>
      <c r="B21" s="16" t="s">
        <v>147</v>
      </c>
      <c r="C21" s="16" t="s">
        <v>126</v>
      </c>
      <c r="D21" s="16" t="s">
        <v>292</v>
      </c>
      <c r="E21" s="16" t="s">
        <v>128</v>
      </c>
    </row>
    <row r="22" spans="1:5">
      <c r="A22" s="16" t="s">
        <v>149</v>
      </c>
      <c r="B22" s="16" t="s">
        <v>150</v>
      </c>
      <c r="C22" s="16" t="s">
        <v>126</v>
      </c>
      <c r="D22" s="16" t="s">
        <v>134</v>
      </c>
    </row>
    <row r="23" spans="1:5">
      <c r="A23" s="16" t="s">
        <v>151</v>
      </c>
      <c r="B23" s="16" t="s">
        <v>152</v>
      </c>
      <c r="C23" s="16" t="s">
        <v>126</v>
      </c>
      <c r="D23" s="16" t="s">
        <v>127</v>
      </c>
      <c r="E23" s="16" t="s">
        <v>128</v>
      </c>
    </row>
    <row r="24" spans="1:5">
      <c r="A24" s="16" t="s">
        <v>153</v>
      </c>
      <c r="B24" s="16" t="s">
        <v>154</v>
      </c>
      <c r="C24" s="16" t="s">
        <v>126</v>
      </c>
      <c r="D24" s="16" t="s">
        <v>127</v>
      </c>
      <c r="E24" s="16" t="s">
        <v>128</v>
      </c>
    </row>
    <row r="25" spans="1:5">
      <c r="A25" s="16" t="s">
        <v>155</v>
      </c>
      <c r="B25" s="16" t="s">
        <v>156</v>
      </c>
      <c r="C25" s="16" t="s">
        <v>126</v>
      </c>
      <c r="D25" s="16" t="s">
        <v>127</v>
      </c>
      <c r="E25" s="16" t="s">
        <v>128</v>
      </c>
    </row>
    <row r="26" spans="1:5">
      <c r="A26" s="16" t="s">
        <v>157</v>
      </c>
      <c r="B26" s="16" t="s">
        <v>158</v>
      </c>
      <c r="C26" s="16" t="s">
        <v>126</v>
      </c>
      <c r="D26" s="16" t="s">
        <v>159</v>
      </c>
    </row>
    <row r="27" spans="1:5">
      <c r="A27" s="16" t="s">
        <v>160</v>
      </c>
      <c r="B27" s="16" t="s">
        <v>161</v>
      </c>
      <c r="C27" s="16" t="s">
        <v>126</v>
      </c>
      <c r="D27" s="16" t="s">
        <v>162</v>
      </c>
    </row>
    <row r="28" spans="1:5">
      <c r="A28" s="16" t="s">
        <v>163</v>
      </c>
      <c r="B28" s="16" t="s">
        <v>164</v>
      </c>
      <c r="C28" s="16" t="s">
        <v>126</v>
      </c>
      <c r="D28" s="16" t="s">
        <v>159</v>
      </c>
    </row>
    <row r="29" spans="1:5">
      <c r="A29" s="16" t="s">
        <v>165</v>
      </c>
      <c r="B29" s="16" t="s">
        <v>166</v>
      </c>
      <c r="C29" s="16" t="s">
        <v>167</v>
      </c>
      <c r="D29" s="16" t="s">
        <v>162</v>
      </c>
    </row>
    <row r="30" spans="1:5">
      <c r="A30" s="16" t="s">
        <v>171</v>
      </c>
      <c r="B30" s="16" t="s">
        <v>172</v>
      </c>
      <c r="C30" s="16" t="s">
        <v>126</v>
      </c>
      <c r="D30" s="16" t="s">
        <v>162</v>
      </c>
    </row>
    <row r="31" spans="1:5">
      <c r="A31" s="16" t="s">
        <v>173</v>
      </c>
      <c r="B31" s="16" t="s">
        <v>174</v>
      </c>
      <c r="C31" s="16" t="s">
        <v>126</v>
      </c>
      <c r="D31" s="16" t="s">
        <v>175</v>
      </c>
    </row>
    <row r="32" spans="1:5">
      <c r="A32" s="16" t="s">
        <v>176</v>
      </c>
      <c r="B32" s="16" t="s">
        <v>177</v>
      </c>
      <c r="C32" s="16" t="s">
        <v>126</v>
      </c>
      <c r="D32" s="16" t="s">
        <v>175</v>
      </c>
    </row>
    <row r="33" spans="1:4">
      <c r="A33" s="16" t="s">
        <v>178</v>
      </c>
      <c r="B33" s="16" t="s">
        <v>179</v>
      </c>
      <c r="C33" s="16" t="s">
        <v>126</v>
      </c>
      <c r="D33" s="16" t="s">
        <v>175</v>
      </c>
    </row>
    <row r="34" spans="1:4">
      <c r="A34" s="16" t="s">
        <v>180</v>
      </c>
      <c r="B34" s="16" t="s">
        <v>181</v>
      </c>
      <c r="C34" s="16" t="s">
        <v>126</v>
      </c>
      <c r="D34" s="16" t="s">
        <v>134</v>
      </c>
    </row>
    <row r="35" spans="1:4">
      <c r="A35" s="16" t="s">
        <v>182</v>
      </c>
      <c r="B35" s="16" t="s">
        <v>181</v>
      </c>
      <c r="C35" s="16" t="s">
        <v>126</v>
      </c>
      <c r="D35" s="16" t="s">
        <v>134</v>
      </c>
    </row>
    <row r="36" spans="1:4">
      <c r="A36" s="16" t="s">
        <v>183</v>
      </c>
      <c r="B36" s="16" t="s">
        <v>181</v>
      </c>
      <c r="C36" s="16" t="s">
        <v>126</v>
      </c>
      <c r="D36" s="16" t="s">
        <v>134</v>
      </c>
    </row>
    <row r="37" spans="1:4">
      <c r="A37" s="16" t="s">
        <v>184</v>
      </c>
      <c r="B37" s="16" t="s">
        <v>181</v>
      </c>
      <c r="C37" s="16" t="s">
        <v>126</v>
      </c>
      <c r="D37" s="16" t="s">
        <v>134</v>
      </c>
    </row>
    <row r="38" spans="1:4">
      <c r="A38" s="16" t="s">
        <v>185</v>
      </c>
      <c r="B38" s="16" t="s">
        <v>186</v>
      </c>
      <c r="C38" s="16" t="s">
        <v>187</v>
      </c>
      <c r="D38" s="16" t="s">
        <v>293</v>
      </c>
    </row>
    <row r="39" spans="1:4">
      <c r="A39" s="16" t="s">
        <v>189</v>
      </c>
      <c r="B39" s="16" t="s">
        <v>190</v>
      </c>
      <c r="C39" s="16" t="s">
        <v>191</v>
      </c>
      <c r="D39" s="16" t="s">
        <v>294</v>
      </c>
    </row>
    <row r="40" spans="1:4">
      <c r="A40" s="16" t="s">
        <v>192</v>
      </c>
      <c r="B40" s="16" t="s">
        <v>193</v>
      </c>
      <c r="C40" s="16" t="s">
        <v>22</v>
      </c>
      <c r="D40" s="16" t="s">
        <v>134</v>
      </c>
    </row>
    <row r="41" spans="1:4">
      <c r="A41" s="16" t="s">
        <v>194</v>
      </c>
      <c r="B41" s="16" t="s">
        <v>195</v>
      </c>
      <c r="C41" s="16" t="s">
        <v>22</v>
      </c>
      <c r="D41" s="16" t="s">
        <v>134</v>
      </c>
    </row>
    <row r="42" spans="1:4">
      <c r="A42" s="16" t="s">
        <v>196</v>
      </c>
      <c r="B42" s="16" t="s">
        <v>197</v>
      </c>
      <c r="C42" s="16" t="s">
        <v>22</v>
      </c>
      <c r="D42" s="16" t="s">
        <v>198</v>
      </c>
    </row>
    <row r="43" spans="1:4">
      <c r="A43" s="16" t="s">
        <v>199</v>
      </c>
      <c r="B43" s="16" t="s">
        <v>200</v>
      </c>
      <c r="C43" s="16" t="s">
        <v>22</v>
      </c>
      <c r="D43" s="16" t="s">
        <v>198</v>
      </c>
    </row>
    <row r="44" spans="1:4">
      <c r="A44" s="16" t="s">
        <v>201</v>
      </c>
      <c r="B44" s="16" t="s">
        <v>202</v>
      </c>
      <c r="C44" s="16" t="s">
        <v>22</v>
      </c>
      <c r="D44" s="16" t="s">
        <v>198</v>
      </c>
    </row>
    <row r="45" spans="1:4">
      <c r="A45" s="16" t="s">
        <v>203</v>
      </c>
      <c r="B45" s="16" t="s">
        <v>204</v>
      </c>
      <c r="C45" s="16" t="s">
        <v>22</v>
      </c>
      <c r="D45" s="16" t="s">
        <v>198</v>
      </c>
    </row>
    <row r="46" spans="1:4">
      <c r="A46" s="16" t="s">
        <v>205</v>
      </c>
      <c r="B46" s="16" t="s">
        <v>206</v>
      </c>
      <c r="C46" s="16" t="s">
        <v>207</v>
      </c>
      <c r="D46" s="16" t="s">
        <v>208</v>
      </c>
    </row>
    <row r="47" spans="1:4">
      <c r="A47" s="16" t="s">
        <v>209</v>
      </c>
      <c r="B47" s="16" t="s">
        <v>210</v>
      </c>
      <c r="C47" s="16" t="s">
        <v>207</v>
      </c>
      <c r="D47" s="16" t="s">
        <v>211</v>
      </c>
    </row>
    <row r="48" spans="1:4">
      <c r="A48" s="16" t="s">
        <v>212</v>
      </c>
      <c r="B48" s="16" t="s">
        <v>213</v>
      </c>
      <c r="C48" s="16" t="s">
        <v>207</v>
      </c>
      <c r="D48" s="16" t="s">
        <v>208</v>
      </c>
    </row>
    <row r="49" spans="1:4">
      <c r="A49" s="16" t="s">
        <v>214</v>
      </c>
      <c r="B49" s="16" t="s">
        <v>215</v>
      </c>
      <c r="C49" s="16" t="s">
        <v>207</v>
      </c>
      <c r="D49" s="16" t="s">
        <v>211</v>
      </c>
    </row>
    <row r="50" spans="1:4">
      <c r="A50" s="16" t="s">
        <v>216</v>
      </c>
      <c r="B50" s="16" t="s">
        <v>217</v>
      </c>
      <c r="C50" s="16" t="s">
        <v>207</v>
      </c>
      <c r="D50" s="16" t="s">
        <v>208</v>
      </c>
    </row>
    <row r="51" spans="1:4">
      <c r="A51" s="16" t="s">
        <v>218</v>
      </c>
      <c r="B51" s="16" t="s">
        <v>219</v>
      </c>
      <c r="C51" s="16" t="s">
        <v>207</v>
      </c>
      <c r="D51" s="16" t="s">
        <v>211</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H42"/>
  <sheetViews>
    <sheetView workbookViewId="0">
      <pane xSplit="3" ySplit="3" topLeftCell="D4" activePane="bottomRight" state="frozen"/>
      <selection pane="bottomRight" activeCell="BC24" sqref="BC24"/>
      <selection pane="bottomLeft" activeCell="A4" sqref="A4"/>
      <selection pane="topRight" activeCell="D1" sqref="D1"/>
    </sheetView>
  </sheetViews>
  <sheetFormatPr defaultColWidth="8.85546875" defaultRowHeight="14.45"/>
  <cols>
    <col min="1" max="1" width="10" style="1" bestFit="1" customWidth="1"/>
    <col min="2" max="2" width="15.85546875" style="5" bestFit="1" customWidth="1"/>
    <col min="3" max="3" width="18.42578125" style="5" bestFit="1" customWidth="1"/>
    <col min="4" max="4" width="10.42578125" bestFit="1" customWidth="1"/>
    <col min="5" max="5" width="11" bestFit="1" customWidth="1"/>
    <col min="6" max="6" width="10.42578125" bestFit="1" customWidth="1"/>
    <col min="7" max="7" width="12.42578125" bestFit="1" customWidth="1"/>
    <col min="8" max="8" width="10.5703125" bestFit="1" customWidth="1"/>
    <col min="9" max="9" width="11.42578125" bestFit="1" customWidth="1"/>
    <col min="10" max="10" width="12.28515625" bestFit="1" customWidth="1"/>
    <col min="11" max="11" width="9.5703125" bestFit="1" customWidth="1"/>
    <col min="12" max="12" width="10.42578125" bestFit="1" customWidth="1"/>
    <col min="13" max="13" width="11" bestFit="1" customWidth="1"/>
    <col min="14" max="14" width="10.42578125" bestFit="1" customWidth="1"/>
    <col min="15" max="15" width="12.42578125" bestFit="1" customWidth="1"/>
    <col min="16" max="16" width="12.140625" bestFit="1" customWidth="1"/>
    <col min="17" max="17" width="11.42578125" bestFit="1" customWidth="1"/>
    <col min="18" max="18" width="12.28515625" bestFit="1" customWidth="1"/>
    <col min="19" max="19" width="8.5703125" bestFit="1" customWidth="1"/>
    <col min="20" max="20" width="10.42578125" bestFit="1" customWidth="1"/>
    <col min="21" max="21" width="11" bestFit="1" customWidth="1"/>
    <col min="22" max="22" width="10.42578125" bestFit="1" customWidth="1"/>
    <col min="23" max="23" width="12.42578125" bestFit="1" customWidth="1"/>
    <col min="24" max="24" width="12.140625" bestFit="1" customWidth="1"/>
    <col min="25" max="25" width="11.42578125" bestFit="1" customWidth="1"/>
    <col min="26" max="26" width="12.28515625" bestFit="1" customWidth="1"/>
    <col min="27" max="27" width="8.5703125" bestFit="1" customWidth="1"/>
    <col min="28" max="28" width="11.42578125" bestFit="1" customWidth="1"/>
    <col min="29" max="29" width="12.28515625" bestFit="1" customWidth="1"/>
    <col min="30" max="30" width="9.5703125" bestFit="1" customWidth="1"/>
    <col min="31" max="31" width="27.5703125" style="37" customWidth="1"/>
    <col min="32" max="32" width="9.5703125" style="37" bestFit="1" customWidth="1"/>
    <col min="33" max="33" width="13.5703125" style="29" customWidth="1"/>
    <col min="34" max="34" width="11.140625" customWidth="1"/>
    <col min="35" max="35" width="10.28515625" customWidth="1"/>
    <col min="36" max="36" width="12.7109375" customWidth="1"/>
    <col min="37" max="37" width="9.5703125" customWidth="1"/>
    <col min="38" max="38" width="10.85546875" customWidth="1"/>
    <col min="39" max="39" width="11.5703125" bestFit="1" customWidth="1"/>
    <col min="40" max="40" width="9.7109375" bestFit="1" customWidth="1"/>
    <col min="41" max="41" width="10.42578125" bestFit="1" customWidth="1"/>
    <col min="42" max="42" width="9.42578125" bestFit="1" customWidth="1"/>
    <col min="43" max="44" width="10.5703125" style="12" customWidth="1"/>
    <col min="45" max="46" width="9.5703125" bestFit="1" customWidth="1"/>
    <col min="47" max="48" width="8.5703125" bestFit="1" customWidth="1"/>
    <col min="49" max="49" width="9.5703125" bestFit="1" customWidth="1"/>
    <col min="50" max="50" width="10.140625" bestFit="1" customWidth="1"/>
    <col min="51" max="51" width="8.5703125" bestFit="1" customWidth="1"/>
    <col min="52" max="52" width="10.85546875" bestFit="1" customWidth="1"/>
    <col min="53" max="53" width="11.42578125" bestFit="1" customWidth="1"/>
    <col min="54" max="54" width="8.42578125" bestFit="1" customWidth="1"/>
    <col min="55" max="55" width="11.5703125" bestFit="1" customWidth="1"/>
    <col min="56" max="56" width="11.5703125" style="1" bestFit="1" customWidth="1"/>
    <col min="57" max="57" width="9.140625" style="1" customWidth="1"/>
    <col min="58" max="58" width="11.5703125" style="1" bestFit="1" customWidth="1"/>
    <col min="59" max="59" width="9.140625" style="1" customWidth="1"/>
    <col min="60" max="60" width="13.7109375" style="1" bestFit="1" customWidth="1"/>
    <col min="61" max="61" width="16.28515625" style="13" bestFit="1" customWidth="1"/>
    <col min="62" max="62" width="12.5703125" style="1" bestFit="1" customWidth="1"/>
    <col min="63" max="63" width="11.5703125" style="1" bestFit="1" customWidth="1"/>
    <col min="64" max="64" width="11.5703125" customWidth="1"/>
    <col min="65" max="65" width="9.85546875" style="1" customWidth="1"/>
    <col min="66" max="69" width="13" customWidth="1"/>
    <col min="70" max="70" width="11.42578125" style="29" customWidth="1"/>
    <col min="71" max="74" width="12.42578125" customWidth="1"/>
    <col min="75" max="75" width="10.7109375" bestFit="1" customWidth="1"/>
    <col min="76" max="76" width="11.28515625" bestFit="1" customWidth="1"/>
    <col min="77" max="80" width="14.42578125" customWidth="1"/>
    <col min="81" max="81" width="12.28515625" bestFit="1" customWidth="1"/>
    <col min="82" max="82" width="12.85546875" bestFit="1" customWidth="1"/>
    <col min="83" max="83" width="12.28515625" bestFit="1" customWidth="1"/>
    <col min="84" max="84" width="12.85546875" bestFit="1" customWidth="1"/>
    <col min="85" max="85" width="12.7109375" bestFit="1" customWidth="1"/>
    <col min="86" max="86" width="13.28515625" bestFit="1" customWidth="1"/>
  </cols>
  <sheetData>
    <row r="1" spans="1:86" ht="68.25" customHeight="1">
      <c r="D1" s="257" t="s">
        <v>170</v>
      </c>
      <c r="E1" s="257"/>
      <c r="F1" s="257"/>
      <c r="G1" s="257"/>
      <c r="H1" s="257"/>
      <c r="I1" s="257"/>
      <c r="J1" s="257"/>
      <c r="K1" s="257"/>
      <c r="L1" s="257"/>
      <c r="M1" s="257"/>
      <c r="N1" s="257"/>
      <c r="O1" s="257"/>
      <c r="P1" s="257"/>
      <c r="Q1" s="257"/>
      <c r="R1" s="257"/>
      <c r="S1" s="257"/>
      <c r="T1" s="257"/>
      <c r="U1" s="257"/>
      <c r="V1" s="257"/>
      <c r="W1" s="257"/>
      <c r="X1" s="257"/>
      <c r="Y1" s="257"/>
      <c r="Z1" s="257"/>
      <c r="AA1" s="257"/>
      <c r="AB1" s="257"/>
      <c r="AC1" s="257"/>
      <c r="AD1" s="257"/>
      <c r="AE1" s="33" t="s">
        <v>295</v>
      </c>
      <c r="AF1" s="79" t="s">
        <v>294</v>
      </c>
      <c r="AG1" s="79" t="s">
        <v>296</v>
      </c>
      <c r="AH1" s="32"/>
      <c r="AI1" s="32"/>
      <c r="AJ1" s="32"/>
      <c r="AK1" s="33" t="s">
        <v>290</v>
      </c>
      <c r="AL1" s="33" t="s">
        <v>297</v>
      </c>
      <c r="AM1" s="33" t="s">
        <v>298</v>
      </c>
      <c r="AN1" s="33" t="s">
        <v>99</v>
      </c>
      <c r="AO1" s="33" t="s">
        <v>102</v>
      </c>
      <c r="AP1" s="33" t="s">
        <v>105</v>
      </c>
      <c r="AQ1" s="33" t="s">
        <v>108</v>
      </c>
      <c r="AR1" s="33" t="s">
        <v>111</v>
      </c>
      <c r="AS1" s="33" t="s">
        <v>114</v>
      </c>
      <c r="AT1" s="33" t="s">
        <v>117</v>
      </c>
      <c r="AU1" s="14" t="s">
        <v>299</v>
      </c>
      <c r="AV1" s="14" t="s">
        <v>299</v>
      </c>
      <c r="AW1" s="14" t="s">
        <v>134</v>
      </c>
      <c r="AX1" s="14" t="s">
        <v>134</v>
      </c>
      <c r="AY1" s="14" t="s">
        <v>134</v>
      </c>
      <c r="AZ1" s="14" t="s">
        <v>134</v>
      </c>
      <c r="BA1" s="14" t="s">
        <v>134</v>
      </c>
      <c r="BB1" s="14" t="s">
        <v>134</v>
      </c>
      <c r="BC1" s="14" t="s">
        <v>292</v>
      </c>
      <c r="BD1" s="14" t="s">
        <v>134</v>
      </c>
      <c r="BE1" s="14" t="s">
        <v>127</v>
      </c>
      <c r="BF1" s="14" t="s">
        <v>127</v>
      </c>
      <c r="BG1" s="14" t="s">
        <v>127</v>
      </c>
      <c r="BH1" s="14" t="s">
        <v>159</v>
      </c>
      <c r="BI1" s="14" t="s">
        <v>162</v>
      </c>
      <c r="BJ1" s="14" t="s">
        <v>159</v>
      </c>
      <c r="BK1" s="14" t="s">
        <v>127</v>
      </c>
      <c r="BL1" s="33" t="s">
        <v>221</v>
      </c>
      <c r="BM1" s="14" t="s">
        <v>162</v>
      </c>
      <c r="BN1" s="14" t="s">
        <v>134</v>
      </c>
      <c r="BO1" s="14" t="s">
        <v>134</v>
      </c>
      <c r="BP1" s="14" t="s">
        <v>134</v>
      </c>
      <c r="BQ1" s="14" t="s">
        <v>134</v>
      </c>
      <c r="BR1" s="14" t="s">
        <v>134</v>
      </c>
      <c r="BS1" s="14" t="s">
        <v>134</v>
      </c>
      <c r="BT1" s="14" t="s">
        <v>134</v>
      </c>
      <c r="BU1" s="14" t="s">
        <v>134</v>
      </c>
      <c r="BV1" s="14" t="s">
        <v>134</v>
      </c>
      <c r="BW1" s="14" t="s">
        <v>134</v>
      </c>
      <c r="BX1" s="14" t="s">
        <v>134</v>
      </c>
      <c r="BY1" s="14" t="s">
        <v>198</v>
      </c>
      <c r="BZ1" s="14" t="s">
        <v>198</v>
      </c>
      <c r="CA1" s="14" t="s">
        <v>198</v>
      </c>
      <c r="CB1" s="14" t="s">
        <v>198</v>
      </c>
      <c r="CC1" s="14" t="s">
        <v>223</v>
      </c>
      <c r="CD1" s="14" t="s">
        <v>223</v>
      </c>
      <c r="CE1" s="14" t="s">
        <v>223</v>
      </c>
      <c r="CF1" s="14" t="s">
        <v>223</v>
      </c>
      <c r="CG1" s="14" t="s">
        <v>223</v>
      </c>
      <c r="CH1" s="14" t="s">
        <v>223</v>
      </c>
    </row>
    <row r="2" spans="1:86" s="30" customFormat="1" ht="86.45">
      <c r="A2" s="11" t="s">
        <v>300</v>
      </c>
      <c r="B2" s="11" t="s">
        <v>225</v>
      </c>
      <c r="C2" s="34" t="s">
        <v>226</v>
      </c>
      <c r="D2" s="254" t="s">
        <v>227</v>
      </c>
      <c r="E2" s="254"/>
      <c r="F2" s="254"/>
      <c r="G2" s="254"/>
      <c r="H2" s="254"/>
      <c r="I2" s="254"/>
      <c r="J2" s="254"/>
      <c r="K2" s="254"/>
      <c r="L2" s="254" t="s">
        <v>228</v>
      </c>
      <c r="M2" s="254"/>
      <c r="N2" s="254"/>
      <c r="O2" s="254"/>
      <c r="P2" s="254"/>
      <c r="Q2" s="254"/>
      <c r="R2" s="254"/>
      <c r="S2" s="254"/>
      <c r="T2" s="254" t="s">
        <v>229</v>
      </c>
      <c r="U2" s="254"/>
      <c r="V2" s="254"/>
      <c r="W2" s="254"/>
      <c r="X2" s="254"/>
      <c r="Y2" s="254"/>
      <c r="Z2" s="254"/>
      <c r="AA2" s="254"/>
      <c r="AB2" s="254" t="s">
        <v>230</v>
      </c>
      <c r="AC2" s="254"/>
      <c r="AD2" s="254"/>
      <c r="AE2" s="39" t="s">
        <v>220</v>
      </c>
      <c r="AF2" s="39" t="s">
        <v>301</v>
      </c>
      <c r="AG2" s="39" t="s">
        <v>186</v>
      </c>
      <c r="AH2" s="39" t="s">
        <v>231</v>
      </c>
      <c r="AI2" s="39" t="s">
        <v>118</v>
      </c>
      <c r="AJ2" s="39" t="s">
        <v>232</v>
      </c>
      <c r="AK2" s="62" t="s">
        <v>302</v>
      </c>
      <c r="AL2" s="62" t="s">
        <v>95</v>
      </c>
      <c r="AM2" s="62" t="s">
        <v>91</v>
      </c>
      <c r="AN2" s="39" t="s">
        <v>98</v>
      </c>
      <c r="AO2" s="39" t="s">
        <v>101</v>
      </c>
      <c r="AP2" s="39" t="s">
        <v>104</v>
      </c>
      <c r="AQ2" s="39" t="s">
        <v>107</v>
      </c>
      <c r="AR2" s="39" t="s">
        <v>110</v>
      </c>
      <c r="AS2" s="39" t="s">
        <v>113</v>
      </c>
      <c r="AT2" s="39" t="s">
        <v>116</v>
      </c>
      <c r="AU2" s="39" t="s">
        <v>125</v>
      </c>
      <c r="AV2" s="39" t="s">
        <v>234</v>
      </c>
      <c r="AW2" s="39" t="s">
        <v>132</v>
      </c>
      <c r="AX2" s="39" t="s">
        <v>136</v>
      </c>
      <c r="AY2" s="39" t="s">
        <v>138</v>
      </c>
      <c r="AZ2" s="39" t="s">
        <v>140</v>
      </c>
      <c r="BA2" s="39" t="s">
        <v>142</v>
      </c>
      <c r="BB2" s="39" t="s">
        <v>144</v>
      </c>
      <c r="BC2" s="39" t="s">
        <v>303</v>
      </c>
      <c r="BD2" s="39" t="s">
        <v>150</v>
      </c>
      <c r="BE2" s="39" t="s">
        <v>152</v>
      </c>
      <c r="BF2" s="39" t="s">
        <v>154</v>
      </c>
      <c r="BG2" s="39" t="s">
        <v>156</v>
      </c>
      <c r="BH2" s="39" t="s">
        <v>158</v>
      </c>
      <c r="BI2" s="39" t="s">
        <v>161</v>
      </c>
      <c r="BJ2" s="39" t="s">
        <v>164</v>
      </c>
      <c r="BK2" s="39" t="s">
        <v>166</v>
      </c>
      <c r="BL2" s="39" t="s">
        <v>169</v>
      </c>
      <c r="BM2" s="39" t="s">
        <v>172</v>
      </c>
      <c r="BN2" s="251" t="s">
        <v>304</v>
      </c>
      <c r="BO2" s="251"/>
      <c r="BP2" s="255" t="s">
        <v>236</v>
      </c>
      <c r="BQ2" s="256"/>
      <c r="BR2" s="84" t="s">
        <v>237</v>
      </c>
      <c r="BS2" s="251" t="s">
        <v>181</v>
      </c>
      <c r="BT2" s="251"/>
      <c r="BU2" s="251"/>
      <c r="BV2" s="251"/>
      <c r="BW2" s="39" t="s">
        <v>193</v>
      </c>
      <c r="BX2" s="39" t="s">
        <v>195</v>
      </c>
      <c r="BY2" s="39" t="s">
        <v>197</v>
      </c>
      <c r="BZ2" s="39" t="s">
        <v>200</v>
      </c>
      <c r="CA2" s="39" t="s">
        <v>202</v>
      </c>
      <c r="CB2" s="39" t="s">
        <v>204</v>
      </c>
      <c r="CC2" s="39" t="s">
        <v>206</v>
      </c>
      <c r="CD2" s="39" t="s">
        <v>210</v>
      </c>
      <c r="CE2" s="39" t="s">
        <v>213</v>
      </c>
      <c r="CF2" s="39" t="s">
        <v>215</v>
      </c>
      <c r="CG2" s="39" t="s">
        <v>217</v>
      </c>
      <c r="CH2" s="39" t="s">
        <v>219</v>
      </c>
    </row>
    <row r="3" spans="1:86" s="74" customFormat="1" ht="24">
      <c r="A3" s="75" t="s">
        <v>224</v>
      </c>
      <c r="B3" s="76" t="s">
        <v>225</v>
      </c>
      <c r="C3" s="77" t="s">
        <v>240</v>
      </c>
      <c r="D3" s="63" t="s">
        <v>241</v>
      </c>
      <c r="E3" s="63" t="s">
        <v>242</v>
      </c>
      <c r="F3" s="63" t="s">
        <v>243</v>
      </c>
      <c r="G3" s="63" t="s">
        <v>244</v>
      </c>
      <c r="H3" s="63" t="s">
        <v>245</v>
      </c>
      <c r="I3" s="63" t="s">
        <v>246</v>
      </c>
      <c r="J3" s="63" t="s">
        <v>247</v>
      </c>
      <c r="K3" s="73" t="s">
        <v>248</v>
      </c>
      <c r="L3" s="63" t="s">
        <v>241</v>
      </c>
      <c r="M3" s="63" t="s">
        <v>242</v>
      </c>
      <c r="N3" s="63" t="s">
        <v>243</v>
      </c>
      <c r="O3" s="63" t="s">
        <v>244</v>
      </c>
      <c r="P3" s="63" t="s">
        <v>245</v>
      </c>
      <c r="Q3" s="63" t="s">
        <v>246</v>
      </c>
      <c r="R3" s="63" t="s">
        <v>247</v>
      </c>
      <c r="S3" s="73" t="s">
        <v>248</v>
      </c>
      <c r="T3" s="63" t="s">
        <v>241</v>
      </c>
      <c r="U3" s="63" t="s">
        <v>242</v>
      </c>
      <c r="V3" s="63" t="s">
        <v>243</v>
      </c>
      <c r="W3" s="63" t="s">
        <v>244</v>
      </c>
      <c r="X3" s="63" t="s">
        <v>245</v>
      </c>
      <c r="Y3" s="63" t="s">
        <v>246</v>
      </c>
      <c r="Z3" s="63" t="s">
        <v>247</v>
      </c>
      <c r="AA3" s="73" t="s">
        <v>248</v>
      </c>
      <c r="AB3" s="63" t="s">
        <v>246</v>
      </c>
      <c r="AC3" s="63" t="s">
        <v>247</v>
      </c>
      <c r="AD3" s="73" t="s">
        <v>248</v>
      </c>
      <c r="AE3" s="80" t="s">
        <v>305</v>
      </c>
      <c r="AF3" s="80" t="s">
        <v>256</v>
      </c>
      <c r="AG3" s="64" t="s">
        <v>185</v>
      </c>
      <c r="AH3" s="63"/>
      <c r="AI3" s="63"/>
      <c r="AJ3" s="63"/>
      <c r="AK3" s="64" t="s">
        <v>251</v>
      </c>
      <c r="AL3" s="64" t="s">
        <v>94</v>
      </c>
      <c r="AM3" s="64" t="s">
        <v>90</v>
      </c>
      <c r="AN3" s="63" t="s">
        <v>97</v>
      </c>
      <c r="AO3" s="63" t="s">
        <v>100</v>
      </c>
      <c r="AP3" s="63" t="s">
        <v>103</v>
      </c>
      <c r="AQ3" s="64" t="s">
        <v>106</v>
      </c>
      <c r="AR3" s="64" t="s">
        <v>109</v>
      </c>
      <c r="AS3" s="63" t="s">
        <v>112</v>
      </c>
      <c r="AT3" s="63" t="s">
        <v>115</v>
      </c>
      <c r="AU3" s="63" t="s">
        <v>124</v>
      </c>
      <c r="AV3" s="63" t="s">
        <v>129</v>
      </c>
      <c r="AW3" s="63" t="s">
        <v>131</v>
      </c>
      <c r="AX3" s="63" t="s">
        <v>135</v>
      </c>
      <c r="AY3" s="63" t="s">
        <v>137</v>
      </c>
      <c r="AZ3" s="63" t="s">
        <v>139</v>
      </c>
      <c r="BA3" s="63" t="s">
        <v>141</v>
      </c>
      <c r="BB3" s="63" t="s">
        <v>143</v>
      </c>
      <c r="BC3" s="63" t="s">
        <v>146</v>
      </c>
      <c r="BD3" s="63" t="s">
        <v>149</v>
      </c>
      <c r="BE3" s="63" t="s">
        <v>151</v>
      </c>
      <c r="BF3" s="63" t="s">
        <v>153</v>
      </c>
      <c r="BG3" s="63" t="s">
        <v>155</v>
      </c>
      <c r="BH3" s="63" t="s">
        <v>157</v>
      </c>
      <c r="BI3" s="63" t="s">
        <v>160</v>
      </c>
      <c r="BJ3" s="63" t="s">
        <v>163</v>
      </c>
      <c r="BK3" s="63" t="s">
        <v>165</v>
      </c>
      <c r="BL3" s="64" t="s">
        <v>168</v>
      </c>
      <c r="BM3" s="63" t="s">
        <v>171</v>
      </c>
      <c r="BN3" s="63" t="s">
        <v>252</v>
      </c>
      <c r="BO3" s="63" t="s">
        <v>253</v>
      </c>
      <c r="BP3" s="63" t="s">
        <v>254</v>
      </c>
      <c r="BQ3" s="63" t="s">
        <v>255</v>
      </c>
      <c r="BR3" s="63" t="s">
        <v>178</v>
      </c>
      <c r="BS3" s="63" t="s">
        <v>180</v>
      </c>
      <c r="BT3" s="63" t="s">
        <v>182</v>
      </c>
      <c r="BU3" s="63" t="s">
        <v>183</v>
      </c>
      <c r="BV3" s="63" t="s">
        <v>184</v>
      </c>
      <c r="BW3" s="63" t="s">
        <v>192</v>
      </c>
      <c r="BX3" s="63" t="s">
        <v>194</v>
      </c>
      <c r="BY3" s="63" t="s">
        <v>196</v>
      </c>
      <c r="BZ3" s="63" t="s">
        <v>199</v>
      </c>
      <c r="CA3" s="63" t="s">
        <v>201</v>
      </c>
      <c r="CB3" s="63" t="s">
        <v>203</v>
      </c>
      <c r="CC3" s="63" t="s">
        <v>205</v>
      </c>
      <c r="CD3" s="63" t="s">
        <v>209</v>
      </c>
      <c r="CE3" s="63" t="s">
        <v>212</v>
      </c>
      <c r="CF3" s="63" t="s">
        <v>214</v>
      </c>
      <c r="CG3" s="63" t="s">
        <v>216</v>
      </c>
      <c r="CH3" s="63" t="s">
        <v>218</v>
      </c>
    </row>
    <row r="4" spans="1:86" s="4" customFormat="1">
      <c r="A4" s="11" t="s">
        <v>306</v>
      </c>
      <c r="B4" s="76" t="s">
        <v>225</v>
      </c>
      <c r="C4" s="77" t="s">
        <v>240</v>
      </c>
      <c r="D4" s="56">
        <f>SUM(D5:D35)</f>
        <v>19317.869292199997</v>
      </c>
      <c r="E4" s="56">
        <f t="shared" ref="E4:J4" si="0">SUM(E5:E35)</f>
        <v>61464.444915799984</v>
      </c>
      <c r="F4" s="56">
        <f t="shared" si="0"/>
        <v>359461.27291149989</v>
      </c>
      <c r="G4" s="56">
        <f t="shared" si="0"/>
        <v>22499.9108142</v>
      </c>
      <c r="H4" s="56">
        <f t="shared" si="0"/>
        <v>148936.40682759997</v>
      </c>
      <c r="I4" s="56">
        <f t="shared" si="0"/>
        <v>121087.40706790001</v>
      </c>
      <c r="J4" s="56">
        <f t="shared" si="0"/>
        <v>154180.72136930001</v>
      </c>
      <c r="K4" s="56">
        <f t="shared" ref="K4:K35" si="1">SUM(D4:J4)</f>
        <v>886948.03319849994</v>
      </c>
      <c r="L4" s="56">
        <v>3634.53</v>
      </c>
      <c r="M4" s="56">
        <v>16152.7</v>
      </c>
      <c r="N4" s="56">
        <v>30905</v>
      </c>
      <c r="O4" s="56">
        <v>2614.88</v>
      </c>
      <c r="P4" s="56">
        <v>8961.15</v>
      </c>
      <c r="Q4" s="56">
        <v>9283.2800000000007</v>
      </c>
      <c r="R4" s="56">
        <v>1547.28</v>
      </c>
      <c r="S4" s="56">
        <v>73098.8</v>
      </c>
      <c r="T4" s="55">
        <v>1988.54</v>
      </c>
      <c r="U4" s="55">
        <v>697.24900000000002</v>
      </c>
      <c r="V4" s="55">
        <v>17703.5</v>
      </c>
      <c r="W4" s="55">
        <v>78.489400000000003</v>
      </c>
      <c r="X4" s="55">
        <v>3013.31</v>
      </c>
      <c r="Y4" s="55">
        <v>2246.11</v>
      </c>
      <c r="Z4" s="55">
        <v>3697.99</v>
      </c>
      <c r="AA4" s="56">
        <v>29425.200000000001</v>
      </c>
      <c r="AB4" s="56">
        <v>148886</v>
      </c>
      <c r="AC4" s="56">
        <v>133139</v>
      </c>
      <c r="AD4" s="56">
        <v>282025</v>
      </c>
      <c r="AE4" s="81">
        <v>169724.147810175</v>
      </c>
      <c r="AF4" s="81">
        <v>275</v>
      </c>
      <c r="AG4" s="72">
        <v>8.6526457046343221</v>
      </c>
      <c r="AH4" s="55">
        <f>SUM(AH5:AH35)</f>
        <v>390150537.50288814</v>
      </c>
      <c r="AI4" s="55">
        <f t="shared" ref="AI4:AI35" si="2">SUM(AL4:AR4)</f>
        <v>708259.81316130003</v>
      </c>
      <c r="AJ4" s="55">
        <f>SUM(AL4:AT4)</f>
        <v>989472.0415985001</v>
      </c>
      <c r="AK4" s="55">
        <v>377164.77291150001</v>
      </c>
      <c r="AL4" s="55">
        <f t="shared" ref="AL4:AL35" si="3">AK4-AM4</f>
        <v>207440.62510132501</v>
      </c>
      <c r="AM4" s="55">
        <f t="shared" ref="AM4:AM35" si="4">AK4*0.45</f>
        <v>169724.147810175</v>
      </c>
      <c r="AN4" s="55">
        <f t="shared" ref="AN4" si="5">D4+E4+T4+U4</f>
        <v>83468.103207999971</v>
      </c>
      <c r="AO4" s="56">
        <f t="shared" ref="AO4" si="6">H4+X4</f>
        <v>151949.71682759997</v>
      </c>
      <c r="AP4" s="56">
        <f t="shared" ref="AP4" si="7">G4+W4</f>
        <v>22578.400214199999</v>
      </c>
      <c r="AQ4" s="56">
        <f t="shared" ref="AQ4" si="8">N4+P4+R4</f>
        <v>41413.43</v>
      </c>
      <c r="AR4" s="56">
        <f t="shared" ref="AR4" si="9">L4+M4+O4+Q4</f>
        <v>31685.39</v>
      </c>
      <c r="AS4" s="56">
        <f t="shared" ref="AS4" si="10">J4+Z4</f>
        <v>157878.7113693</v>
      </c>
      <c r="AT4" s="56">
        <f t="shared" ref="AT4" si="11">I4+Y4</f>
        <v>123333.51706790001</v>
      </c>
      <c r="AU4" s="65">
        <f>AN4/AK4</f>
        <v>0.22130408034576809</v>
      </c>
      <c r="AV4" s="65">
        <f>AE4/(AK4+AN4+AO4+AP4+AQ4+AR4+AS4+AT4)</f>
        <v>0.17153000860538137</v>
      </c>
      <c r="AW4" s="55">
        <v>250</v>
      </c>
      <c r="AX4" s="55">
        <v>350</v>
      </c>
      <c r="AY4" s="55">
        <v>20</v>
      </c>
      <c r="AZ4" s="55">
        <v>200</v>
      </c>
      <c r="BA4" s="55">
        <v>300</v>
      </c>
      <c r="BB4" s="65">
        <v>3.8</v>
      </c>
      <c r="BC4" s="65">
        <f t="shared" ref="BC4" si="12">IF(((N4+V4)/AM4)&gt;0.09,((N4+V4)/AM4),0.1)</f>
        <v>0.286397078006633</v>
      </c>
      <c r="BD4" s="65">
        <v>0.65</v>
      </c>
      <c r="BE4" s="65">
        <f t="shared" ref="BE4" si="13">Z4/AC4</f>
        <v>2.7775407656659579E-2</v>
      </c>
      <c r="BF4" s="65">
        <f t="shared" ref="BF4" si="14">Y4/AB4</f>
        <v>1.5086106148328253E-2</v>
      </c>
      <c r="BG4" s="65">
        <f t="shared" ref="BG4" si="15">(T4+U4+V4)/(AM4+AN4)</f>
        <v>8.0528882373009078E-2</v>
      </c>
      <c r="BH4" s="68">
        <v>3.5000000000000003E-2</v>
      </c>
      <c r="BI4" s="68">
        <v>0.21129999999999999</v>
      </c>
      <c r="BJ4" s="68">
        <v>0.04</v>
      </c>
      <c r="BK4" s="49">
        <v>1.1000000000000001</v>
      </c>
      <c r="BL4" s="49">
        <f t="shared" ref="BL4" si="16">(D4+T4)/(AN4)</f>
        <v>0.25526408859567679</v>
      </c>
      <c r="BM4" s="65">
        <v>0.95</v>
      </c>
      <c r="BN4" s="65"/>
      <c r="BO4" s="65"/>
      <c r="BP4" s="65"/>
      <c r="BQ4" s="65"/>
      <c r="BR4" s="72"/>
      <c r="BS4" s="65"/>
      <c r="BT4" s="65"/>
      <c r="BU4" s="65"/>
      <c r="BV4" s="65"/>
      <c r="BW4" s="55">
        <f t="shared" ref="BW4" si="17">AW4</f>
        <v>250</v>
      </c>
      <c r="BX4" s="55">
        <f t="shared" ref="BX4" si="18">AX4</f>
        <v>350</v>
      </c>
      <c r="BY4" s="55">
        <f t="shared" ref="BY4:BY35" si="19">BW4*0.8</f>
        <v>200</v>
      </c>
      <c r="BZ4" s="55">
        <f t="shared" ref="BZ4:BZ35" si="20">BX4*0.8</f>
        <v>280</v>
      </c>
      <c r="CA4" s="55">
        <f>((BW4*N4)+(P4*BY4))/(N4+P4)</f>
        <v>238.76095384179308</v>
      </c>
      <c r="CB4" s="55">
        <f t="shared" ref="CB4" si="21">(((L4+M4)*BX4)+(BZ4*O4))/(M4+O4+L4)</f>
        <v>341.82926965361747</v>
      </c>
      <c r="CC4" s="66">
        <f>(BW4-AY4)/(BB4*365)</f>
        <v>0.1658255227108868</v>
      </c>
      <c r="CD4" s="66">
        <f>(BX4-AY4)/(BB4*365)</f>
        <v>0.23792357606344627</v>
      </c>
      <c r="CE4" s="66">
        <f t="shared" ref="CE4" si="22">CC4</f>
        <v>0.1658255227108868</v>
      </c>
      <c r="CF4" s="66">
        <f t="shared" ref="CF4" si="23">CD4</f>
        <v>0.23792357606344627</v>
      </c>
      <c r="CG4" s="67">
        <f>CC4</f>
        <v>0.1658255227108868</v>
      </c>
      <c r="CH4" s="67">
        <f>CF4</f>
        <v>0.23792357606344627</v>
      </c>
    </row>
    <row r="5" spans="1:86">
      <c r="A5" s="19">
        <v>1</v>
      </c>
      <c r="B5" s="3" t="s">
        <v>258</v>
      </c>
      <c r="C5" s="3" t="s">
        <v>78</v>
      </c>
      <c r="D5" s="54">
        <v>3184.1742549999999</v>
      </c>
      <c r="E5" s="54">
        <v>8698.5295409999999</v>
      </c>
      <c r="F5" s="54">
        <v>48963.607730000003</v>
      </c>
      <c r="G5" s="54">
        <v>857.99322510000002</v>
      </c>
      <c r="H5" s="54">
        <v>17274.663240000002</v>
      </c>
      <c r="I5" s="54">
        <v>14600.88492</v>
      </c>
      <c r="J5" s="54">
        <v>19073.24713</v>
      </c>
      <c r="K5" s="54">
        <f t="shared" si="1"/>
        <v>112653.10004110001</v>
      </c>
      <c r="L5" s="54">
        <v>2826.06</v>
      </c>
      <c r="M5" s="54">
        <v>1482.43</v>
      </c>
      <c r="N5" s="54">
        <v>5322.14</v>
      </c>
      <c r="O5" s="54">
        <v>1429.3</v>
      </c>
      <c r="P5" s="54">
        <v>663.19500000000005</v>
      </c>
      <c r="Q5" s="54">
        <v>1051.4100000000001</v>
      </c>
      <c r="R5" s="54">
        <v>497.39600000000002</v>
      </c>
      <c r="S5" s="54">
        <v>13271.9</v>
      </c>
      <c r="T5" s="54">
        <v>0</v>
      </c>
      <c r="U5" s="54">
        <v>0</v>
      </c>
      <c r="V5" s="54">
        <v>3785.74</v>
      </c>
      <c r="W5" s="54">
        <v>0</v>
      </c>
      <c r="X5" s="54">
        <v>696.35400000000004</v>
      </c>
      <c r="Y5" s="54">
        <v>331.59699999999998</v>
      </c>
      <c r="Z5" s="54">
        <v>497.39600000000002</v>
      </c>
      <c r="AA5" s="57">
        <v>5311.08</v>
      </c>
      <c r="AB5" s="54">
        <v>19287.900000000001</v>
      </c>
      <c r="AC5" s="54">
        <v>15229.2</v>
      </c>
      <c r="AD5" s="57">
        <v>34517.1</v>
      </c>
      <c r="AE5" s="82">
        <v>23737.2064785</v>
      </c>
      <c r="AF5" s="82">
        <v>275</v>
      </c>
      <c r="AG5" s="61">
        <v>9.1542254718585276</v>
      </c>
      <c r="AH5" s="54">
        <f>AE5*AF5*AG5</f>
        <v>59756328.548468739</v>
      </c>
      <c r="AI5" s="54">
        <f t="shared" si="2"/>
        <v>96732.992991100007</v>
      </c>
      <c r="AJ5" s="54">
        <f t="shared" ref="AJ5:AJ35" si="24">SUM(AL5:AT5)</f>
        <v>131236.11804110001</v>
      </c>
      <c r="AK5" s="54">
        <v>52749.347730000001</v>
      </c>
      <c r="AL5" s="54">
        <f t="shared" si="3"/>
        <v>29012.141251500001</v>
      </c>
      <c r="AM5" s="54">
        <f t="shared" si="4"/>
        <v>23737.2064785</v>
      </c>
      <c r="AN5" s="54">
        <f t="shared" ref="AN5:AN35" si="25">D5+E5+T5+U5</f>
        <v>11882.703796</v>
      </c>
      <c r="AO5" s="57">
        <f t="shared" ref="AO5:AO35" si="26">H5+X5</f>
        <v>17971.017240000001</v>
      </c>
      <c r="AP5" s="57">
        <f t="shared" ref="AP5:AP35" si="27">G5+W5</f>
        <v>857.99322510000002</v>
      </c>
      <c r="AQ5" s="57">
        <f t="shared" ref="AQ5:AQ35" si="28">N5+P5+R5</f>
        <v>6482.7309999999998</v>
      </c>
      <c r="AR5" s="57">
        <f t="shared" ref="AR5:AR35" si="29">L5+M5+O5+Q5</f>
        <v>6789.2</v>
      </c>
      <c r="AS5" s="57">
        <f t="shared" ref="AS5:AS35" si="30">J5+Z5</f>
        <v>19570.64313</v>
      </c>
      <c r="AT5" s="57">
        <f t="shared" ref="AT5:AT35" si="31">I5+Y5</f>
        <v>14932.48192</v>
      </c>
      <c r="AU5" s="58">
        <f>AN5/AK5</f>
        <v>0.22526731243810205</v>
      </c>
      <c r="AV5" s="58">
        <f>AE5/(AK5+AN5+AO5+AP5+AQ5+AR5+AS5+AT5)</f>
        <v>0.18087403706246535</v>
      </c>
      <c r="AW5" s="54">
        <v>250</v>
      </c>
      <c r="AX5" s="54">
        <v>350</v>
      </c>
      <c r="AY5" s="54">
        <v>20</v>
      </c>
      <c r="AZ5" s="54">
        <v>200</v>
      </c>
      <c r="BA5" s="54">
        <v>300</v>
      </c>
      <c r="BB5" s="58">
        <v>3.8</v>
      </c>
      <c r="BC5" s="58">
        <f t="shared" ref="BC5:BC12" si="32">IF(((N5+V5)/AM5)&gt;0.09,((N5+V5)/AM5),0.1)</f>
        <v>0.38369637169603227</v>
      </c>
      <c r="BD5" s="58">
        <v>0.65</v>
      </c>
      <c r="BE5" s="58">
        <f>Z5/AC5</f>
        <v>3.2660678170882251E-2</v>
      </c>
      <c r="BF5" s="58">
        <f>Y5/AB5</f>
        <v>1.7191970095241055E-2</v>
      </c>
      <c r="BG5" s="58">
        <f t="shared" ref="BG5:BG12" si="33">(T5+U5+V5)/(AM5+AN5)</f>
        <v>0.10628157035842339</v>
      </c>
      <c r="BH5" s="60">
        <v>3.5000000000000003E-2</v>
      </c>
      <c r="BI5" s="60">
        <v>0.21129999999999999</v>
      </c>
      <c r="BJ5" s="60">
        <v>0.04</v>
      </c>
      <c r="BK5" s="22">
        <v>1.1000000000000001</v>
      </c>
      <c r="BL5" s="22">
        <f>(D5+T5)/(AN5)</f>
        <v>0.26796714869488447</v>
      </c>
      <c r="BM5" s="58">
        <v>0.95</v>
      </c>
      <c r="BN5" s="58">
        <v>0.53874999999999995</v>
      </c>
      <c r="BO5" s="58">
        <v>0.51434000000000002</v>
      </c>
      <c r="BP5" s="58">
        <v>13.6328</v>
      </c>
      <c r="BQ5" s="58">
        <v>13.055680000000001</v>
      </c>
      <c r="BR5" s="61">
        <v>18.603999999999999</v>
      </c>
      <c r="BS5" s="58">
        <v>0</v>
      </c>
      <c r="BT5" s="58">
        <v>0.75</v>
      </c>
      <c r="BU5" s="58">
        <v>0</v>
      </c>
      <c r="BV5" s="58">
        <v>0.25</v>
      </c>
      <c r="BW5" s="54">
        <f t="shared" ref="BW5:BW35" si="34">AW5</f>
        <v>250</v>
      </c>
      <c r="BX5" s="54">
        <f t="shared" ref="BX5:BX35" si="35">AX5</f>
        <v>350</v>
      </c>
      <c r="BY5" s="54">
        <f t="shared" si="19"/>
        <v>200</v>
      </c>
      <c r="BZ5" s="54">
        <f t="shared" si="20"/>
        <v>280</v>
      </c>
      <c r="CA5" s="54">
        <f>((BW5*N5)+(P5*BY5))/(N5+P5)</f>
        <v>244.45983391071678</v>
      </c>
      <c r="CB5" s="54">
        <f>(((L5+M5)*BX5)+(BZ5*O5))/(M5+O5+L5)</f>
        <v>332.56279856878695</v>
      </c>
      <c r="CC5" s="59">
        <f>(BW5-AY5)/(BB5*365)</f>
        <v>0.1658255227108868</v>
      </c>
      <c r="CD5" s="59">
        <f>(BX5-AY5)/(BB5*365)</f>
        <v>0.23792357606344627</v>
      </c>
      <c r="CE5" s="59">
        <f t="shared" ref="CE5" si="36">CC5</f>
        <v>0.1658255227108868</v>
      </c>
      <c r="CF5" s="59">
        <f t="shared" ref="CF5" si="37">CD5</f>
        <v>0.23792357606344627</v>
      </c>
      <c r="CG5" s="85">
        <f t="shared" ref="CG5" si="38">CC5</f>
        <v>0.1658255227108868</v>
      </c>
      <c r="CH5" s="85">
        <f t="shared" ref="CH5" si="39">CF5</f>
        <v>0.23792357606344627</v>
      </c>
    </row>
    <row r="6" spans="1:86">
      <c r="A6" s="19">
        <v>2</v>
      </c>
      <c r="B6" s="3" t="s">
        <v>259</v>
      </c>
      <c r="C6" s="3" t="s">
        <v>79</v>
      </c>
      <c r="D6" s="54">
        <v>3176.5283199999999</v>
      </c>
      <c r="E6" s="54">
        <v>2774.991211</v>
      </c>
      <c r="F6" s="54">
        <v>10125.58496</v>
      </c>
      <c r="G6" s="54">
        <v>3403.296875</v>
      </c>
      <c r="H6" s="54">
        <v>4846.908203</v>
      </c>
      <c r="I6" s="54">
        <v>3671.0654300000001</v>
      </c>
      <c r="J6" s="54">
        <v>12189.80762</v>
      </c>
      <c r="K6" s="54">
        <f t="shared" si="1"/>
        <v>40188.182618999999</v>
      </c>
      <c r="L6" s="54">
        <v>0</v>
      </c>
      <c r="M6" s="54">
        <v>529.42100000000005</v>
      </c>
      <c r="N6" s="54">
        <v>1058.8399999999999</v>
      </c>
      <c r="O6" s="54">
        <v>847.07399999999996</v>
      </c>
      <c r="P6" s="54">
        <v>0</v>
      </c>
      <c r="Q6" s="54">
        <v>0</v>
      </c>
      <c r="R6" s="54">
        <v>0</v>
      </c>
      <c r="S6" s="54">
        <v>2435.34</v>
      </c>
      <c r="T6" s="54">
        <v>211.76900000000001</v>
      </c>
      <c r="U6" s="54">
        <v>211.76900000000001</v>
      </c>
      <c r="V6" s="54">
        <v>741.19</v>
      </c>
      <c r="W6" s="54">
        <v>0</v>
      </c>
      <c r="X6" s="54">
        <v>0</v>
      </c>
      <c r="Y6" s="54">
        <v>0</v>
      </c>
      <c r="Z6" s="54">
        <v>0</v>
      </c>
      <c r="AA6" s="57">
        <v>1164.73</v>
      </c>
      <c r="AB6" s="54">
        <v>6035.4</v>
      </c>
      <c r="AC6" s="54">
        <v>3600.07</v>
      </c>
      <c r="AD6" s="57">
        <v>9635.4699999999993</v>
      </c>
      <c r="AE6" s="82">
        <v>4890.0487320000002</v>
      </c>
      <c r="AF6" s="82">
        <v>275</v>
      </c>
      <c r="AG6" s="61">
        <v>12.640669962369955</v>
      </c>
      <c r="AH6" s="54">
        <f t="shared" ref="AH6:AH35" si="40">AE6*AF6*AG6</f>
        <v>16998710.333307363</v>
      </c>
      <c r="AI6" s="54">
        <f t="shared" si="2"/>
        <v>27927.372568999999</v>
      </c>
      <c r="AJ6" s="54">
        <f t="shared" si="24"/>
        <v>43788.245619000001</v>
      </c>
      <c r="AK6" s="54">
        <v>10866.774960000001</v>
      </c>
      <c r="AL6" s="54">
        <f t="shared" si="3"/>
        <v>5976.7262280000004</v>
      </c>
      <c r="AM6" s="54">
        <f t="shared" si="4"/>
        <v>4890.0487320000002</v>
      </c>
      <c r="AN6" s="54">
        <f t="shared" si="25"/>
        <v>6375.0575310000004</v>
      </c>
      <c r="AO6" s="57">
        <f t="shared" si="26"/>
        <v>4846.908203</v>
      </c>
      <c r="AP6" s="57">
        <f t="shared" si="27"/>
        <v>3403.296875</v>
      </c>
      <c r="AQ6" s="57">
        <f t="shared" si="28"/>
        <v>1058.8399999999999</v>
      </c>
      <c r="AR6" s="57">
        <f t="shared" si="29"/>
        <v>1376.4949999999999</v>
      </c>
      <c r="AS6" s="57">
        <f t="shared" si="30"/>
        <v>12189.80762</v>
      </c>
      <c r="AT6" s="57">
        <f t="shared" si="31"/>
        <v>3671.0654300000001</v>
      </c>
      <c r="AU6" s="58">
        <f t="shared" ref="AU6:AU35" si="41">AN6/AK6</f>
        <v>0.58665588957774828</v>
      </c>
      <c r="AV6" s="58">
        <f t="shared" ref="AV6:AV35" si="42">AE6/(AK6+AN6+AO6+AP6+AQ6+AR6+AS6+AT6)</f>
        <v>0.11167491784320714</v>
      </c>
      <c r="AW6" s="54">
        <v>250</v>
      </c>
      <c r="AX6" s="54">
        <v>350</v>
      </c>
      <c r="AY6" s="54">
        <v>20</v>
      </c>
      <c r="AZ6" s="54">
        <v>200</v>
      </c>
      <c r="BA6" s="54">
        <v>300</v>
      </c>
      <c r="BB6" s="58">
        <v>3.8</v>
      </c>
      <c r="BC6" s="58">
        <f t="shared" si="32"/>
        <v>0.36810062611866828</v>
      </c>
      <c r="BD6" s="58">
        <v>0.65</v>
      </c>
      <c r="BE6" s="58">
        <f>Z6/AC6</f>
        <v>0</v>
      </c>
      <c r="BF6" s="58">
        <f>Y6/AB6</f>
        <v>0</v>
      </c>
      <c r="BG6" s="58">
        <f t="shared" si="33"/>
        <v>0.1033925444472303</v>
      </c>
      <c r="BH6" s="60">
        <v>3.5000000000000003E-2</v>
      </c>
      <c r="BI6" s="60">
        <v>0.21129999999999999</v>
      </c>
      <c r="BJ6" s="60">
        <v>0.04</v>
      </c>
      <c r="BK6" s="22">
        <v>1.1000000000000001</v>
      </c>
      <c r="BL6" s="22">
        <f>(D6+T6)/(AN6)</f>
        <v>0.53149282238218587</v>
      </c>
      <c r="BM6" s="58">
        <v>0.95</v>
      </c>
      <c r="BN6" s="58">
        <v>0.58235999999999999</v>
      </c>
      <c r="BO6" s="58">
        <v>0.52346000000000004</v>
      </c>
      <c r="BP6" s="58">
        <v>15.020800000000001</v>
      </c>
      <c r="BQ6" s="58">
        <v>13.415999999999997</v>
      </c>
      <c r="BR6" s="61">
        <v>18.489999999999998</v>
      </c>
      <c r="BS6" s="58">
        <v>0</v>
      </c>
      <c r="BT6" s="58">
        <v>0</v>
      </c>
      <c r="BU6" s="58">
        <v>0.6</v>
      </c>
      <c r="BV6" s="58">
        <v>0.4</v>
      </c>
      <c r="BW6" s="54">
        <f t="shared" si="34"/>
        <v>250</v>
      </c>
      <c r="BX6" s="54">
        <f t="shared" si="35"/>
        <v>350</v>
      </c>
      <c r="BY6" s="54">
        <f t="shared" si="19"/>
        <v>200</v>
      </c>
      <c r="BZ6" s="54">
        <f t="shared" si="20"/>
        <v>280</v>
      </c>
      <c r="CA6" s="54">
        <f>((BW6*N6)+(P6*BY6))/(N6+P6)</f>
        <v>250.00000000000003</v>
      </c>
      <c r="CB6" s="54">
        <f>(((L6+M6)*BX6)+(BZ6*O6))/(M6+O6+L6)</f>
        <v>306.92306909941556</v>
      </c>
      <c r="CC6" s="59">
        <f t="shared" ref="CC6:CC35" si="43">(BW6-AY6)/(BB6*365)</f>
        <v>0.1658255227108868</v>
      </c>
      <c r="CD6" s="59">
        <f t="shared" ref="CD6:CD35" si="44">(BX6-AY6)/(BB6*365)</f>
        <v>0.23792357606344627</v>
      </c>
      <c r="CE6" s="59">
        <f t="shared" ref="CE6:CE35" si="45">CC6</f>
        <v>0.1658255227108868</v>
      </c>
      <c r="CF6" s="59">
        <f t="shared" ref="CF6:CF35" si="46">CD6</f>
        <v>0.23792357606344627</v>
      </c>
      <c r="CG6" s="85">
        <f t="shared" ref="CG6:CG35" si="47">CC6</f>
        <v>0.1658255227108868</v>
      </c>
      <c r="CH6" s="85">
        <f t="shared" ref="CH6:CH35" si="48">CF6</f>
        <v>0.23792357606344627</v>
      </c>
    </row>
    <row r="7" spans="1:86">
      <c r="A7" s="19">
        <v>3</v>
      </c>
      <c r="B7" s="3" t="s">
        <v>260</v>
      </c>
      <c r="C7" s="3" t="s">
        <v>80</v>
      </c>
      <c r="D7" s="54">
        <v>1095.596802</v>
      </c>
      <c r="E7" s="54">
        <v>1885.994629</v>
      </c>
      <c r="F7" s="54">
        <v>2388.1934809999998</v>
      </c>
      <c r="G7" s="54">
        <v>51</v>
      </c>
      <c r="H7" s="54">
        <v>1535.795715</v>
      </c>
      <c r="I7" s="54">
        <v>418.19891360000003</v>
      </c>
      <c r="J7" s="54">
        <v>794.39782709999997</v>
      </c>
      <c r="K7" s="54">
        <f t="shared" si="1"/>
        <v>8169.1773676999992</v>
      </c>
      <c r="L7" s="54">
        <v>0</v>
      </c>
      <c r="M7" s="54">
        <v>469.541</v>
      </c>
      <c r="N7" s="54">
        <v>0</v>
      </c>
      <c r="O7" s="54">
        <v>0</v>
      </c>
      <c r="P7" s="54">
        <v>0</v>
      </c>
      <c r="Q7" s="54">
        <v>0</v>
      </c>
      <c r="R7" s="54">
        <v>0</v>
      </c>
      <c r="S7" s="54">
        <v>469.541</v>
      </c>
      <c r="T7" s="54">
        <v>0</v>
      </c>
      <c r="U7" s="54">
        <v>0</v>
      </c>
      <c r="V7" s="54">
        <v>0</v>
      </c>
      <c r="W7" s="54">
        <v>0</v>
      </c>
      <c r="X7" s="54">
        <v>365.19900000000001</v>
      </c>
      <c r="Y7" s="54">
        <v>0</v>
      </c>
      <c r="Z7" s="54">
        <v>0</v>
      </c>
      <c r="AA7" s="57">
        <v>365.19900000000001</v>
      </c>
      <c r="AB7" s="54">
        <v>730.39800000000002</v>
      </c>
      <c r="AC7" s="54">
        <v>365.19900000000001</v>
      </c>
      <c r="AD7" s="57">
        <v>1095.5999999999999</v>
      </c>
      <c r="AE7" s="82">
        <v>1074.68706645</v>
      </c>
      <c r="AF7" s="82">
        <v>275</v>
      </c>
      <c r="AG7" s="61">
        <v>7.7106452890867141</v>
      </c>
      <c r="AH7" s="54">
        <f t="shared" si="40"/>
        <v>2278795.9606954064</v>
      </c>
      <c r="AI7" s="54">
        <f t="shared" si="2"/>
        <v>7791.3206269999991</v>
      </c>
      <c r="AJ7" s="54">
        <f t="shared" si="24"/>
        <v>9003.9173676999981</v>
      </c>
      <c r="AK7" s="54">
        <v>2388.1934809999998</v>
      </c>
      <c r="AL7" s="54">
        <f t="shared" si="3"/>
        <v>1313.5064145499998</v>
      </c>
      <c r="AM7" s="54">
        <f t="shared" si="4"/>
        <v>1074.68706645</v>
      </c>
      <c r="AN7" s="54">
        <f t="shared" si="25"/>
        <v>2981.5914309999998</v>
      </c>
      <c r="AO7" s="57">
        <f t="shared" si="26"/>
        <v>1900.994715</v>
      </c>
      <c r="AP7" s="57">
        <f t="shared" si="27"/>
        <v>51</v>
      </c>
      <c r="AQ7" s="57">
        <f>N7+P7+R7</f>
        <v>0</v>
      </c>
      <c r="AR7" s="57">
        <f t="shared" si="29"/>
        <v>469.541</v>
      </c>
      <c r="AS7" s="57">
        <f t="shared" si="30"/>
        <v>794.39782709999997</v>
      </c>
      <c r="AT7" s="57">
        <f t="shared" si="31"/>
        <v>418.19891360000003</v>
      </c>
      <c r="AU7" s="58">
        <f t="shared" si="41"/>
        <v>1.2484714721487007</v>
      </c>
      <c r="AV7" s="58">
        <f t="shared" si="42"/>
        <v>0.11935772204054811</v>
      </c>
      <c r="AW7" s="54">
        <v>250</v>
      </c>
      <c r="AX7" s="54">
        <v>350</v>
      </c>
      <c r="AY7" s="54">
        <v>20</v>
      </c>
      <c r="AZ7" s="54">
        <v>200</v>
      </c>
      <c r="BA7" s="54">
        <v>300</v>
      </c>
      <c r="BB7" s="58">
        <v>3.8</v>
      </c>
      <c r="BC7" s="58">
        <f t="shared" si="32"/>
        <v>0.1</v>
      </c>
      <c r="BD7" s="58">
        <v>0.65</v>
      </c>
      <c r="BE7" s="58">
        <f>Z7/AC7</f>
        <v>0</v>
      </c>
      <c r="BF7" s="58">
        <f>Y7/AB7</f>
        <v>0</v>
      </c>
      <c r="BG7" s="58">
        <f t="shared" si="33"/>
        <v>0</v>
      </c>
      <c r="BH7" s="60">
        <v>3.5000000000000003E-2</v>
      </c>
      <c r="BI7" s="60">
        <v>0.21129999999999999</v>
      </c>
      <c r="BJ7" s="60">
        <v>0.04</v>
      </c>
      <c r="BK7" s="22">
        <v>1.1000000000000001</v>
      </c>
      <c r="BL7" s="22">
        <f>(D7+T7)/(AN7)</f>
        <v>0.36745369959442981</v>
      </c>
      <c r="BM7" s="58">
        <v>0.95</v>
      </c>
      <c r="BN7" s="58">
        <v>0.52944999999999998</v>
      </c>
      <c r="BO7" s="58">
        <v>0.51286999999999994</v>
      </c>
      <c r="BP7" s="58">
        <v>11.304</v>
      </c>
      <c r="BQ7" s="58">
        <v>12.990400000000001</v>
      </c>
      <c r="BR7" s="61">
        <v>18.46</v>
      </c>
      <c r="BS7" s="58">
        <v>0.2</v>
      </c>
      <c r="BT7" s="58">
        <v>0</v>
      </c>
      <c r="BU7" s="58">
        <v>0.48</v>
      </c>
      <c r="BV7" s="58">
        <v>0.32</v>
      </c>
      <c r="BW7" s="54">
        <f t="shared" si="34"/>
        <v>250</v>
      </c>
      <c r="BX7" s="54">
        <f t="shared" si="35"/>
        <v>350</v>
      </c>
      <c r="BY7" s="54">
        <f t="shared" si="19"/>
        <v>200</v>
      </c>
      <c r="BZ7" s="54">
        <f t="shared" si="20"/>
        <v>280</v>
      </c>
      <c r="CA7" s="54"/>
      <c r="CB7" s="54">
        <f>(((L7+M7)*BX7)+(BZ7*O7))/(M7+O7+L7)</f>
        <v>350</v>
      </c>
      <c r="CC7" s="59">
        <f t="shared" si="43"/>
        <v>0.1658255227108868</v>
      </c>
      <c r="CD7" s="59">
        <f t="shared" si="44"/>
        <v>0.23792357606344627</v>
      </c>
      <c r="CE7" s="59">
        <f t="shared" si="45"/>
        <v>0.1658255227108868</v>
      </c>
      <c r="CF7" s="59">
        <f t="shared" si="46"/>
        <v>0.23792357606344627</v>
      </c>
      <c r="CG7" s="85">
        <f t="shared" si="47"/>
        <v>0.1658255227108868</v>
      </c>
      <c r="CH7" s="85">
        <f t="shared" si="48"/>
        <v>0.23792357606344627</v>
      </c>
    </row>
    <row r="8" spans="1:86">
      <c r="A8" s="19">
        <v>4</v>
      </c>
      <c r="B8" s="3" t="s">
        <v>261</v>
      </c>
      <c r="C8" s="3" t="s">
        <v>79</v>
      </c>
      <c r="D8" s="54">
        <v>0</v>
      </c>
      <c r="E8" s="54">
        <v>0</v>
      </c>
      <c r="F8" s="54">
        <v>15</v>
      </c>
      <c r="G8" s="54">
        <v>0</v>
      </c>
      <c r="H8" s="54">
        <v>0</v>
      </c>
      <c r="I8" s="54">
        <v>10</v>
      </c>
      <c r="J8" s="54">
        <v>15</v>
      </c>
      <c r="K8" s="54">
        <f t="shared" si="1"/>
        <v>40</v>
      </c>
      <c r="L8" s="54">
        <v>0</v>
      </c>
      <c r="M8" s="54">
        <v>0</v>
      </c>
      <c r="N8" s="54">
        <v>0</v>
      </c>
      <c r="O8" s="54">
        <v>0</v>
      </c>
      <c r="P8" s="54">
        <v>0</v>
      </c>
      <c r="Q8" s="54">
        <v>0</v>
      </c>
      <c r="R8" s="54">
        <v>0</v>
      </c>
      <c r="S8" s="54">
        <v>0</v>
      </c>
      <c r="T8" s="54">
        <v>0</v>
      </c>
      <c r="U8" s="54">
        <v>0</v>
      </c>
      <c r="V8" s="54">
        <v>0</v>
      </c>
      <c r="W8" s="54">
        <v>0</v>
      </c>
      <c r="X8" s="54">
        <v>0</v>
      </c>
      <c r="Y8" s="54">
        <v>0</v>
      </c>
      <c r="Z8" s="54">
        <v>0</v>
      </c>
      <c r="AA8" s="57">
        <v>0</v>
      </c>
      <c r="AB8" s="54">
        <v>0</v>
      </c>
      <c r="AC8" s="54">
        <v>0</v>
      </c>
      <c r="AD8" s="57">
        <v>0</v>
      </c>
      <c r="AE8" s="82">
        <v>6.75</v>
      </c>
      <c r="AF8" s="82">
        <v>275</v>
      </c>
      <c r="AG8" s="61">
        <v>2.5555404486743711</v>
      </c>
      <c r="AH8" s="54">
        <f t="shared" si="40"/>
        <v>4743.7219578518016</v>
      </c>
      <c r="AI8" s="54">
        <f t="shared" si="2"/>
        <v>15</v>
      </c>
      <c r="AJ8" s="54">
        <f t="shared" si="24"/>
        <v>40</v>
      </c>
      <c r="AK8" s="54">
        <v>15</v>
      </c>
      <c r="AL8" s="54">
        <f t="shared" si="3"/>
        <v>8.25</v>
      </c>
      <c r="AM8" s="54">
        <f t="shared" si="4"/>
        <v>6.75</v>
      </c>
      <c r="AN8" s="54">
        <f t="shared" si="25"/>
        <v>0</v>
      </c>
      <c r="AO8" s="57">
        <f t="shared" si="26"/>
        <v>0</v>
      </c>
      <c r="AP8" s="57">
        <f t="shared" si="27"/>
        <v>0</v>
      </c>
      <c r="AQ8" s="57">
        <f t="shared" si="28"/>
        <v>0</v>
      </c>
      <c r="AR8" s="57">
        <f t="shared" si="29"/>
        <v>0</v>
      </c>
      <c r="AS8" s="57">
        <f t="shared" si="30"/>
        <v>15</v>
      </c>
      <c r="AT8" s="57">
        <f t="shared" si="31"/>
        <v>10</v>
      </c>
      <c r="AU8" s="58">
        <f t="shared" si="41"/>
        <v>0</v>
      </c>
      <c r="AV8" s="58">
        <f t="shared" si="42"/>
        <v>0.16875000000000001</v>
      </c>
      <c r="AW8" s="54">
        <v>250</v>
      </c>
      <c r="AX8" s="54">
        <v>350</v>
      </c>
      <c r="AY8" s="54">
        <v>20</v>
      </c>
      <c r="AZ8" s="54">
        <v>200</v>
      </c>
      <c r="BA8" s="54">
        <v>300</v>
      </c>
      <c r="BB8" s="58">
        <v>3.8</v>
      </c>
      <c r="BC8" s="58">
        <f t="shared" si="32"/>
        <v>0.1</v>
      </c>
      <c r="BD8" s="58">
        <v>0.65</v>
      </c>
      <c r="BE8" s="58"/>
      <c r="BF8" s="58"/>
      <c r="BG8" s="58">
        <f t="shared" si="33"/>
        <v>0</v>
      </c>
      <c r="BH8" s="60">
        <v>3.5000000000000003E-2</v>
      </c>
      <c r="BI8" s="60">
        <v>0.21129999999999999</v>
      </c>
      <c r="BJ8" s="60">
        <v>0.04</v>
      </c>
      <c r="BK8" s="22">
        <v>1.1000000000000001</v>
      </c>
      <c r="BL8" s="22">
        <v>0</v>
      </c>
      <c r="BM8" s="58">
        <v>0.95</v>
      </c>
      <c r="BN8" s="58">
        <v>0.58235999999999999</v>
      </c>
      <c r="BO8" s="58">
        <v>0.52346000000000004</v>
      </c>
      <c r="BP8" s="58">
        <v>15.020800000000001</v>
      </c>
      <c r="BQ8" s="58">
        <v>13.415999999999997</v>
      </c>
      <c r="BR8" s="61">
        <v>18.489999999999998</v>
      </c>
      <c r="BS8" s="58">
        <v>0</v>
      </c>
      <c r="BT8" s="58">
        <v>0</v>
      </c>
      <c r="BU8" s="58">
        <v>0.6</v>
      </c>
      <c r="BV8" s="58">
        <v>0.4</v>
      </c>
      <c r="BW8" s="54">
        <f t="shared" si="34"/>
        <v>250</v>
      </c>
      <c r="BX8" s="54">
        <f t="shared" si="35"/>
        <v>350</v>
      </c>
      <c r="BY8" s="54">
        <f t="shared" si="19"/>
        <v>200</v>
      </c>
      <c r="BZ8" s="54">
        <f t="shared" si="20"/>
        <v>280</v>
      </c>
      <c r="CA8" s="54"/>
      <c r="CB8" s="54"/>
      <c r="CC8" s="59">
        <f t="shared" si="43"/>
        <v>0.1658255227108868</v>
      </c>
      <c r="CD8" s="59">
        <f t="shared" si="44"/>
        <v>0.23792357606344627</v>
      </c>
      <c r="CE8" s="59">
        <f t="shared" si="45"/>
        <v>0.1658255227108868</v>
      </c>
      <c r="CF8" s="59">
        <f t="shared" si="46"/>
        <v>0.23792357606344627</v>
      </c>
      <c r="CG8" s="85">
        <f t="shared" si="47"/>
        <v>0.1658255227108868</v>
      </c>
      <c r="CH8" s="85">
        <f t="shared" si="48"/>
        <v>0.23792357606344627</v>
      </c>
    </row>
    <row r="9" spans="1:86">
      <c r="A9" s="19">
        <v>5</v>
      </c>
      <c r="B9" s="3" t="s">
        <v>262</v>
      </c>
      <c r="C9" s="3" t="s">
        <v>78</v>
      </c>
      <c r="D9" s="54">
        <v>129</v>
      </c>
      <c r="E9" s="54">
        <v>2027.1689449999999</v>
      </c>
      <c r="F9" s="54">
        <v>17523.130860000001</v>
      </c>
      <c r="G9" s="54">
        <v>62</v>
      </c>
      <c r="H9" s="54">
        <v>2238.779297</v>
      </c>
      <c r="I9" s="54">
        <v>4421.7275390000004</v>
      </c>
      <c r="J9" s="54">
        <v>8478.0654300000006</v>
      </c>
      <c r="K9" s="54">
        <f t="shared" si="1"/>
        <v>34879.872071000005</v>
      </c>
      <c r="L9" s="54">
        <v>0</v>
      </c>
      <c r="M9" s="54">
        <v>0</v>
      </c>
      <c r="N9" s="54">
        <v>0</v>
      </c>
      <c r="O9" s="54">
        <v>0</v>
      </c>
      <c r="P9" s="54">
        <v>0</v>
      </c>
      <c r="Q9" s="54">
        <v>0</v>
      </c>
      <c r="R9" s="54">
        <v>0</v>
      </c>
      <c r="S9" s="54">
        <v>0</v>
      </c>
      <c r="T9" s="54">
        <v>0</v>
      </c>
      <c r="U9" s="54">
        <v>0</v>
      </c>
      <c r="V9" s="54">
        <v>707.26800000000003</v>
      </c>
      <c r="W9" s="54">
        <v>0</v>
      </c>
      <c r="X9" s="54">
        <v>0</v>
      </c>
      <c r="Y9" s="54">
        <v>0</v>
      </c>
      <c r="Z9" s="54">
        <v>0</v>
      </c>
      <c r="AA9" s="57">
        <v>707.26800000000003</v>
      </c>
      <c r="AB9" s="54">
        <v>7662.07</v>
      </c>
      <c r="AC9" s="54">
        <v>4125.7299999999996</v>
      </c>
      <c r="AD9" s="57">
        <v>11787.8</v>
      </c>
      <c r="AE9" s="82">
        <v>8203.6794870000012</v>
      </c>
      <c r="AF9" s="82">
        <v>275</v>
      </c>
      <c r="AG9" s="61">
        <v>8.4146079039933781</v>
      </c>
      <c r="AH9" s="54">
        <f t="shared" si="40"/>
        <v>18983455.219613101</v>
      </c>
      <c r="AI9" s="54">
        <f t="shared" si="2"/>
        <v>22687.347102000003</v>
      </c>
      <c r="AJ9" s="54">
        <f t="shared" si="24"/>
        <v>35587.140071000002</v>
      </c>
      <c r="AK9" s="54">
        <v>18230.398860000001</v>
      </c>
      <c r="AL9" s="54">
        <f t="shared" si="3"/>
        <v>10026.719373</v>
      </c>
      <c r="AM9" s="54">
        <f t="shared" si="4"/>
        <v>8203.6794870000012</v>
      </c>
      <c r="AN9" s="54">
        <f t="shared" si="25"/>
        <v>2156.1689449999999</v>
      </c>
      <c r="AO9" s="57">
        <f t="shared" si="26"/>
        <v>2238.779297</v>
      </c>
      <c r="AP9" s="57">
        <f t="shared" si="27"/>
        <v>62</v>
      </c>
      <c r="AQ9" s="57">
        <f t="shared" si="28"/>
        <v>0</v>
      </c>
      <c r="AR9" s="57">
        <f t="shared" si="29"/>
        <v>0</v>
      </c>
      <c r="AS9" s="57">
        <f t="shared" si="30"/>
        <v>8478.0654300000006</v>
      </c>
      <c r="AT9" s="57">
        <f t="shared" si="31"/>
        <v>4421.7275390000004</v>
      </c>
      <c r="AU9" s="58">
        <f t="shared" si="41"/>
        <v>0.11827327320473117</v>
      </c>
      <c r="AV9" s="58">
        <f t="shared" si="42"/>
        <v>0.23052370802016733</v>
      </c>
      <c r="AW9" s="54">
        <v>250</v>
      </c>
      <c r="AX9" s="54">
        <v>350</v>
      </c>
      <c r="AY9" s="54">
        <v>20</v>
      </c>
      <c r="AZ9" s="54">
        <v>200</v>
      </c>
      <c r="BA9" s="54">
        <v>300</v>
      </c>
      <c r="BB9" s="58">
        <v>3.8</v>
      </c>
      <c r="BC9" s="58">
        <f t="shared" si="32"/>
        <v>0.1</v>
      </c>
      <c r="BD9" s="58">
        <v>0.65</v>
      </c>
      <c r="BE9" s="58">
        <f>Z9/AC9</f>
        <v>0</v>
      </c>
      <c r="BF9" s="58">
        <f>Y9/AB9</f>
        <v>0</v>
      </c>
      <c r="BG9" s="58">
        <f t="shared" si="33"/>
        <v>6.8270110768740247E-2</v>
      </c>
      <c r="BH9" s="60">
        <v>3.5000000000000003E-2</v>
      </c>
      <c r="BI9" s="60">
        <v>0.21129999999999999</v>
      </c>
      <c r="BJ9" s="60">
        <v>0.04</v>
      </c>
      <c r="BK9" s="22">
        <v>1.1000000000000001</v>
      </c>
      <c r="BL9" s="22">
        <f>(D9+T9)/(AN9)</f>
        <v>5.9828335947023858E-2</v>
      </c>
      <c r="BM9" s="58">
        <v>0.95</v>
      </c>
      <c r="BN9" s="58">
        <v>0.53874999999999995</v>
      </c>
      <c r="BO9" s="58">
        <v>0.51434000000000002</v>
      </c>
      <c r="BP9" s="58">
        <v>13.6328</v>
      </c>
      <c r="BQ9" s="58">
        <v>13.055680000000001</v>
      </c>
      <c r="BR9" s="61">
        <v>18.603999999999999</v>
      </c>
      <c r="BS9" s="58">
        <v>0</v>
      </c>
      <c r="BT9" s="58">
        <v>0.75</v>
      </c>
      <c r="BU9" s="58">
        <v>0</v>
      </c>
      <c r="BV9" s="58">
        <v>0.25</v>
      </c>
      <c r="BW9" s="54">
        <f t="shared" si="34"/>
        <v>250</v>
      </c>
      <c r="BX9" s="54">
        <f t="shared" si="35"/>
        <v>350</v>
      </c>
      <c r="BY9" s="54">
        <f t="shared" si="19"/>
        <v>200</v>
      </c>
      <c r="BZ9" s="54">
        <f t="shared" si="20"/>
        <v>280</v>
      </c>
      <c r="CA9" s="54"/>
      <c r="CB9" s="54"/>
      <c r="CC9" s="59">
        <f t="shared" si="43"/>
        <v>0.1658255227108868</v>
      </c>
      <c r="CD9" s="59">
        <f t="shared" si="44"/>
        <v>0.23792357606344627</v>
      </c>
      <c r="CE9" s="59">
        <f t="shared" si="45"/>
        <v>0.1658255227108868</v>
      </c>
      <c r="CF9" s="59">
        <f t="shared" si="46"/>
        <v>0.23792357606344627</v>
      </c>
      <c r="CG9" s="85">
        <f t="shared" si="47"/>
        <v>0.1658255227108868</v>
      </c>
      <c r="CH9" s="85">
        <f t="shared" si="48"/>
        <v>0.23792357606344627</v>
      </c>
    </row>
    <row r="10" spans="1:86">
      <c r="A10" s="19">
        <v>6</v>
      </c>
      <c r="B10" s="3" t="s">
        <v>263</v>
      </c>
      <c r="C10" s="3" t="s">
        <v>79</v>
      </c>
      <c r="D10" s="54">
        <v>83</v>
      </c>
      <c r="E10" s="54">
        <v>1322.665894</v>
      </c>
      <c r="F10" s="54">
        <v>19761.654419999999</v>
      </c>
      <c r="G10" s="54">
        <v>3699.9976809999998</v>
      </c>
      <c r="H10" s="54">
        <v>13261.32495</v>
      </c>
      <c r="I10" s="54">
        <v>11897.659180000001</v>
      </c>
      <c r="J10" s="54">
        <v>6140.3294679999999</v>
      </c>
      <c r="K10" s="54">
        <f t="shared" si="1"/>
        <v>56166.631592999998</v>
      </c>
      <c r="L10" s="54">
        <v>0</v>
      </c>
      <c r="M10" s="54">
        <v>3494</v>
      </c>
      <c r="N10" s="54">
        <v>1164.67</v>
      </c>
      <c r="O10" s="54">
        <v>0</v>
      </c>
      <c r="P10" s="54">
        <v>1164.67</v>
      </c>
      <c r="Q10" s="54">
        <v>2911.66</v>
      </c>
      <c r="R10" s="54">
        <v>0</v>
      </c>
      <c r="S10" s="54">
        <v>8734.99</v>
      </c>
      <c r="T10" s="54">
        <v>0</v>
      </c>
      <c r="U10" s="54">
        <v>0</v>
      </c>
      <c r="V10" s="54">
        <v>0</v>
      </c>
      <c r="W10" s="54">
        <v>0</v>
      </c>
      <c r="X10" s="54">
        <v>0</v>
      </c>
      <c r="Y10" s="54">
        <v>0</v>
      </c>
      <c r="Z10" s="54">
        <v>1164.67</v>
      </c>
      <c r="AA10" s="57">
        <v>1164.67</v>
      </c>
      <c r="AB10" s="54">
        <v>5823.33</v>
      </c>
      <c r="AC10" s="54">
        <v>11646.7</v>
      </c>
      <c r="AD10" s="57">
        <v>17470</v>
      </c>
      <c r="AE10" s="82">
        <v>8892.7444890000006</v>
      </c>
      <c r="AF10" s="82">
        <v>275</v>
      </c>
      <c r="AG10" s="61">
        <v>9.7307597047702394</v>
      </c>
      <c r="AH10" s="54">
        <f t="shared" si="40"/>
        <v>23796618.928054176</v>
      </c>
      <c r="AI10" s="54">
        <f t="shared" si="2"/>
        <v>46863.642945</v>
      </c>
      <c r="AJ10" s="54">
        <f t="shared" si="24"/>
        <v>66066.301592999997</v>
      </c>
      <c r="AK10" s="54">
        <v>19761.654419999999</v>
      </c>
      <c r="AL10" s="54">
        <f t="shared" si="3"/>
        <v>10868.909930999998</v>
      </c>
      <c r="AM10" s="54">
        <f t="shared" si="4"/>
        <v>8892.7444890000006</v>
      </c>
      <c r="AN10" s="54">
        <f t="shared" si="25"/>
        <v>1405.665894</v>
      </c>
      <c r="AO10" s="57">
        <f t="shared" si="26"/>
        <v>13261.32495</v>
      </c>
      <c r="AP10" s="57">
        <f t="shared" si="27"/>
        <v>3699.9976809999998</v>
      </c>
      <c r="AQ10" s="57">
        <f t="shared" si="28"/>
        <v>2329.34</v>
      </c>
      <c r="AR10" s="57">
        <f t="shared" si="29"/>
        <v>6405.66</v>
      </c>
      <c r="AS10" s="57">
        <f t="shared" si="30"/>
        <v>7304.999468</v>
      </c>
      <c r="AT10" s="57">
        <f t="shared" si="31"/>
        <v>11897.659180000001</v>
      </c>
      <c r="AU10" s="58">
        <f t="shared" si="41"/>
        <v>7.1130982463562378E-2</v>
      </c>
      <c r="AV10" s="58">
        <f t="shared" si="42"/>
        <v>0.13460333444701594</v>
      </c>
      <c r="AW10" s="54">
        <v>250</v>
      </c>
      <c r="AX10" s="54">
        <v>350</v>
      </c>
      <c r="AY10" s="54">
        <v>20</v>
      </c>
      <c r="AZ10" s="54">
        <v>200</v>
      </c>
      <c r="BA10" s="54">
        <v>300</v>
      </c>
      <c r="BB10" s="58">
        <v>3.8</v>
      </c>
      <c r="BC10" s="58">
        <f t="shared" si="32"/>
        <v>0.13096856672770191</v>
      </c>
      <c r="BD10" s="58">
        <v>0.65</v>
      </c>
      <c r="BE10" s="58">
        <f>Z10/AC10</f>
        <v>0.1</v>
      </c>
      <c r="BF10" s="58">
        <f>Y10/AB10</f>
        <v>0</v>
      </c>
      <c r="BG10" s="58">
        <f t="shared" si="33"/>
        <v>0</v>
      </c>
      <c r="BH10" s="60">
        <v>3.5000000000000003E-2</v>
      </c>
      <c r="BI10" s="60">
        <v>0.21129999999999999</v>
      </c>
      <c r="BJ10" s="60">
        <v>0.04</v>
      </c>
      <c r="BK10" s="22">
        <v>1.1000000000000001</v>
      </c>
      <c r="BL10" s="22">
        <f>(D10+T10)/(AN10)</f>
        <v>5.9046748131458895E-2</v>
      </c>
      <c r="BM10" s="58">
        <v>0.95</v>
      </c>
      <c r="BN10" s="58">
        <v>0.58235999999999999</v>
      </c>
      <c r="BO10" s="58">
        <v>0.52346000000000004</v>
      </c>
      <c r="BP10" s="58">
        <v>15.020800000000001</v>
      </c>
      <c r="BQ10" s="58">
        <v>13.415999999999997</v>
      </c>
      <c r="BR10" s="61">
        <v>18.489999999999998</v>
      </c>
      <c r="BS10" s="58">
        <v>0</v>
      </c>
      <c r="BT10" s="58">
        <v>0</v>
      </c>
      <c r="BU10" s="58">
        <v>0.6</v>
      </c>
      <c r="BV10" s="58">
        <v>0.4</v>
      </c>
      <c r="BW10" s="54">
        <f t="shared" si="34"/>
        <v>250</v>
      </c>
      <c r="BX10" s="54">
        <f t="shared" si="35"/>
        <v>350</v>
      </c>
      <c r="BY10" s="54">
        <f t="shared" si="19"/>
        <v>200</v>
      </c>
      <c r="BZ10" s="54">
        <f t="shared" si="20"/>
        <v>280</v>
      </c>
      <c r="CA10" s="54">
        <f>((BW10*N10)+(P10*BY10))/(N10+P10)</f>
        <v>225</v>
      </c>
      <c r="CB10" s="54">
        <f>(((L10+M10)*BX10)+(BZ10*O10))/(M10+O10+L10)</f>
        <v>350</v>
      </c>
      <c r="CC10" s="59">
        <f t="shared" si="43"/>
        <v>0.1658255227108868</v>
      </c>
      <c r="CD10" s="59">
        <f t="shared" si="44"/>
        <v>0.23792357606344627</v>
      </c>
      <c r="CE10" s="59">
        <f t="shared" si="45"/>
        <v>0.1658255227108868</v>
      </c>
      <c r="CF10" s="59">
        <f t="shared" si="46"/>
        <v>0.23792357606344627</v>
      </c>
      <c r="CG10" s="85">
        <f t="shared" si="47"/>
        <v>0.1658255227108868</v>
      </c>
      <c r="CH10" s="85">
        <f t="shared" si="48"/>
        <v>0.23792357606344627</v>
      </c>
    </row>
    <row r="11" spans="1:86">
      <c r="A11" s="19">
        <v>7</v>
      </c>
      <c r="B11" s="3" t="s">
        <v>264</v>
      </c>
      <c r="C11" s="3" t="s">
        <v>79</v>
      </c>
      <c r="D11" s="54">
        <v>0</v>
      </c>
      <c r="E11" s="54">
        <v>744.64616390000003</v>
      </c>
      <c r="F11" s="54">
        <v>1193.833862</v>
      </c>
      <c r="G11" s="54">
        <v>1</v>
      </c>
      <c r="H11" s="54">
        <v>908.37539670000001</v>
      </c>
      <c r="I11" s="54">
        <v>894.37539670000001</v>
      </c>
      <c r="J11" s="54">
        <v>155.72923280000001</v>
      </c>
      <c r="K11" s="54">
        <f t="shared" si="1"/>
        <v>3897.9600520999998</v>
      </c>
      <c r="L11" s="54"/>
      <c r="M11" s="54">
        <v>0</v>
      </c>
      <c r="N11" s="54">
        <v>247.88200000000001</v>
      </c>
      <c r="O11" s="54"/>
      <c r="P11" s="54">
        <v>297.45800000000003</v>
      </c>
      <c r="Q11" s="54">
        <v>0</v>
      </c>
      <c r="R11" s="54">
        <v>0</v>
      </c>
      <c r="S11" s="54">
        <v>545.34100000000001</v>
      </c>
      <c r="T11" s="54"/>
      <c r="U11" s="54">
        <v>0</v>
      </c>
      <c r="V11" s="54">
        <v>148.72900000000001</v>
      </c>
      <c r="W11" s="54"/>
      <c r="X11" s="54">
        <v>297.45800000000003</v>
      </c>
      <c r="Y11" s="54">
        <v>148.72900000000001</v>
      </c>
      <c r="Z11" s="54">
        <v>0</v>
      </c>
      <c r="AA11" s="57">
        <v>594.91700000000003</v>
      </c>
      <c r="AB11" s="54">
        <v>148.72900000000001</v>
      </c>
      <c r="AC11" s="54">
        <v>892.375</v>
      </c>
      <c r="AD11" s="57">
        <v>1041.0999999999999</v>
      </c>
      <c r="AE11" s="82">
        <v>604.15328790000001</v>
      </c>
      <c r="AF11" s="82">
        <v>275</v>
      </c>
      <c r="AG11" s="61">
        <v>7.3610384759058647</v>
      </c>
      <c r="AH11" s="54">
        <f t="shared" si="40"/>
        <v>1222978.7893336567</v>
      </c>
      <c r="AI11" s="54">
        <f t="shared" si="2"/>
        <v>3839.3824226000006</v>
      </c>
      <c r="AJ11" s="54">
        <f t="shared" si="24"/>
        <v>5038.2160521000005</v>
      </c>
      <c r="AK11" s="54">
        <v>1342.562862</v>
      </c>
      <c r="AL11" s="54">
        <f t="shared" si="3"/>
        <v>738.40957409999999</v>
      </c>
      <c r="AM11" s="54">
        <f t="shared" si="4"/>
        <v>604.15328790000001</v>
      </c>
      <c r="AN11" s="54">
        <f t="shared" si="25"/>
        <v>744.64616390000003</v>
      </c>
      <c r="AO11" s="57">
        <f t="shared" si="26"/>
        <v>1205.8333967000001</v>
      </c>
      <c r="AP11" s="57">
        <f t="shared" si="27"/>
        <v>1</v>
      </c>
      <c r="AQ11" s="57">
        <f t="shared" si="28"/>
        <v>545.34</v>
      </c>
      <c r="AR11" s="57">
        <f t="shared" si="29"/>
        <v>0</v>
      </c>
      <c r="AS11" s="57">
        <f t="shared" si="30"/>
        <v>155.72923280000001</v>
      </c>
      <c r="AT11" s="57">
        <f t="shared" si="31"/>
        <v>1043.1043967000001</v>
      </c>
      <c r="AU11" s="58">
        <f t="shared" si="41"/>
        <v>0.55464528699290061</v>
      </c>
      <c r="AV11" s="58">
        <f t="shared" si="42"/>
        <v>0.11991412866230305</v>
      </c>
      <c r="AW11" s="54">
        <v>250</v>
      </c>
      <c r="AX11" s="54">
        <v>350</v>
      </c>
      <c r="AY11" s="54">
        <v>20</v>
      </c>
      <c r="AZ11" s="54">
        <v>200</v>
      </c>
      <c r="BA11" s="54">
        <v>300</v>
      </c>
      <c r="BB11" s="58">
        <v>3.8</v>
      </c>
      <c r="BC11" s="58">
        <f t="shared" si="32"/>
        <v>0.65647412327854016</v>
      </c>
      <c r="BD11" s="58">
        <v>0.65</v>
      </c>
      <c r="BE11" s="58">
        <f>Z11/AC11</f>
        <v>0</v>
      </c>
      <c r="BF11" s="58">
        <f>Y11/AB11</f>
        <v>1</v>
      </c>
      <c r="BG11" s="58">
        <f t="shared" si="33"/>
        <v>0.11026769013104074</v>
      </c>
      <c r="BH11" s="60">
        <v>3.5000000000000003E-2</v>
      </c>
      <c r="BI11" s="60">
        <v>0.21129999999999999</v>
      </c>
      <c r="BJ11" s="60">
        <v>0.04</v>
      </c>
      <c r="BK11" s="22">
        <v>1.1000000000000001</v>
      </c>
      <c r="BL11" s="22">
        <f>(D11+T11)/(AN11)</f>
        <v>0</v>
      </c>
      <c r="BM11" s="58">
        <v>0.95</v>
      </c>
      <c r="BN11" s="58">
        <v>0.58235999999999999</v>
      </c>
      <c r="BO11" s="58">
        <v>0.52346000000000004</v>
      </c>
      <c r="BP11" s="58">
        <v>15.020800000000001</v>
      </c>
      <c r="BQ11" s="58">
        <v>13.415999999999997</v>
      </c>
      <c r="BR11" s="61">
        <v>18.489999999999998</v>
      </c>
      <c r="BS11" s="58">
        <v>0</v>
      </c>
      <c r="BT11" s="58">
        <v>0</v>
      </c>
      <c r="BU11" s="58">
        <v>0.6</v>
      </c>
      <c r="BV11" s="58">
        <v>0.4</v>
      </c>
      <c r="BW11" s="54">
        <f t="shared" si="34"/>
        <v>250</v>
      </c>
      <c r="BX11" s="54">
        <f t="shared" si="35"/>
        <v>350</v>
      </c>
      <c r="BY11" s="54">
        <f t="shared" si="19"/>
        <v>200</v>
      </c>
      <c r="BZ11" s="54">
        <f t="shared" si="20"/>
        <v>280</v>
      </c>
      <c r="CA11" s="54">
        <f>((BW11*N11)+(P11*BY11))/(N11+P11)</f>
        <v>222.72728939744013</v>
      </c>
      <c r="CB11" s="54"/>
      <c r="CC11" s="59">
        <f t="shared" si="43"/>
        <v>0.1658255227108868</v>
      </c>
      <c r="CD11" s="59">
        <f t="shared" si="44"/>
        <v>0.23792357606344627</v>
      </c>
      <c r="CE11" s="59">
        <f t="shared" si="45"/>
        <v>0.1658255227108868</v>
      </c>
      <c r="CF11" s="59">
        <f t="shared" si="46"/>
        <v>0.23792357606344627</v>
      </c>
      <c r="CG11" s="85">
        <f t="shared" si="47"/>
        <v>0.1658255227108868</v>
      </c>
      <c r="CH11" s="85">
        <f t="shared" si="48"/>
        <v>0.23792357606344627</v>
      </c>
    </row>
    <row r="12" spans="1:86">
      <c r="A12" s="19">
        <v>8</v>
      </c>
      <c r="B12" s="3" t="s">
        <v>265</v>
      </c>
      <c r="C12" s="3" t="s">
        <v>79</v>
      </c>
      <c r="D12" s="54">
        <v>1</v>
      </c>
      <c r="E12" s="54">
        <v>177.0169525</v>
      </c>
      <c r="F12" s="54">
        <v>551.0508423</v>
      </c>
      <c r="G12" s="54">
        <v>4</v>
      </c>
      <c r="H12" s="54">
        <v>448.04237369999998</v>
      </c>
      <c r="I12" s="54">
        <v>8</v>
      </c>
      <c r="J12" s="54">
        <v>272.02542110000002</v>
      </c>
      <c r="K12" s="54">
        <f t="shared" si="1"/>
        <v>1461.1355896</v>
      </c>
      <c r="L12" s="54">
        <v>0</v>
      </c>
      <c r="M12" s="54">
        <v>17.401700000000002</v>
      </c>
      <c r="N12" s="54">
        <v>0</v>
      </c>
      <c r="O12" s="54">
        <v>0</v>
      </c>
      <c r="P12" s="54">
        <v>456.79399999999998</v>
      </c>
      <c r="Q12" s="54">
        <v>0</v>
      </c>
      <c r="R12" s="54">
        <v>0</v>
      </c>
      <c r="S12" s="54">
        <v>474.19600000000003</v>
      </c>
      <c r="T12" s="54">
        <v>0</v>
      </c>
      <c r="U12" s="54">
        <v>0</v>
      </c>
      <c r="V12" s="54">
        <v>0</v>
      </c>
      <c r="W12" s="54">
        <v>0</v>
      </c>
      <c r="X12" s="54">
        <v>0</v>
      </c>
      <c r="Y12" s="54">
        <v>0</v>
      </c>
      <c r="Z12" s="54">
        <v>0</v>
      </c>
      <c r="AA12" s="57">
        <v>0</v>
      </c>
      <c r="AB12" s="54">
        <v>261.02499999999998</v>
      </c>
      <c r="AC12" s="54">
        <v>0</v>
      </c>
      <c r="AD12" s="57">
        <v>261.02499999999998</v>
      </c>
      <c r="AE12" s="82">
        <v>247.97287903500001</v>
      </c>
      <c r="AF12" s="82">
        <v>275</v>
      </c>
      <c r="AG12" s="61">
        <v>5.625</v>
      </c>
      <c r="AH12" s="54">
        <f t="shared" si="40"/>
        <v>383583.04725726566</v>
      </c>
      <c r="AI12" s="54">
        <f t="shared" si="2"/>
        <v>1655.3058684999996</v>
      </c>
      <c r="AJ12" s="54">
        <f t="shared" si="24"/>
        <v>1935.3312895999998</v>
      </c>
      <c r="AK12" s="54">
        <v>551.0508423</v>
      </c>
      <c r="AL12" s="54">
        <f t="shared" si="3"/>
        <v>303.07796326499999</v>
      </c>
      <c r="AM12" s="54">
        <f t="shared" si="4"/>
        <v>247.97287903500001</v>
      </c>
      <c r="AN12" s="54">
        <f t="shared" si="25"/>
        <v>178.0169525</v>
      </c>
      <c r="AO12" s="57">
        <f t="shared" si="26"/>
        <v>448.04237369999998</v>
      </c>
      <c r="AP12" s="57">
        <f t="shared" si="27"/>
        <v>4</v>
      </c>
      <c r="AQ12" s="57">
        <f t="shared" si="28"/>
        <v>456.79399999999998</v>
      </c>
      <c r="AR12" s="57">
        <f t="shared" si="29"/>
        <v>17.401700000000002</v>
      </c>
      <c r="AS12" s="57">
        <f t="shared" si="30"/>
        <v>272.02542110000002</v>
      </c>
      <c r="AT12" s="57">
        <f t="shared" si="31"/>
        <v>8</v>
      </c>
      <c r="AU12" s="58">
        <f t="shared" si="41"/>
        <v>0.32304995988570689</v>
      </c>
      <c r="AV12" s="58">
        <f t="shared" si="42"/>
        <v>0.12812942175199979</v>
      </c>
      <c r="AW12" s="54">
        <v>250</v>
      </c>
      <c r="AX12" s="54">
        <v>350</v>
      </c>
      <c r="AY12" s="54">
        <v>20</v>
      </c>
      <c r="AZ12" s="54">
        <v>200</v>
      </c>
      <c r="BA12" s="54">
        <v>300</v>
      </c>
      <c r="BB12" s="58">
        <v>3.8</v>
      </c>
      <c r="BC12" s="58">
        <f t="shared" si="32"/>
        <v>0.1</v>
      </c>
      <c r="BD12" s="58">
        <v>0.65</v>
      </c>
      <c r="BE12" s="58"/>
      <c r="BF12" s="58">
        <f>Y12/AB12</f>
        <v>0</v>
      </c>
      <c r="BG12" s="58">
        <f t="shared" si="33"/>
        <v>0</v>
      </c>
      <c r="BH12" s="60">
        <v>3.5000000000000003E-2</v>
      </c>
      <c r="BI12" s="60">
        <v>0.21129999999999999</v>
      </c>
      <c r="BJ12" s="60">
        <v>0.04</v>
      </c>
      <c r="BK12" s="22">
        <v>1.1000000000000001</v>
      </c>
      <c r="BL12" s="22">
        <f>(D12+T12)/(AN12)</f>
        <v>5.6174425298062556E-3</v>
      </c>
      <c r="BM12" s="58">
        <v>0.95</v>
      </c>
      <c r="BN12" s="58">
        <v>0.58235999999999999</v>
      </c>
      <c r="BO12" s="58">
        <v>0.52346000000000004</v>
      </c>
      <c r="BP12" s="58">
        <v>15.020800000000001</v>
      </c>
      <c r="BQ12" s="58">
        <v>13.415999999999997</v>
      </c>
      <c r="BR12" s="61">
        <v>18.489999999999998</v>
      </c>
      <c r="BS12" s="58">
        <v>0</v>
      </c>
      <c r="BT12" s="58">
        <v>0</v>
      </c>
      <c r="BU12" s="58">
        <v>0.6</v>
      </c>
      <c r="BV12" s="58">
        <v>0.4</v>
      </c>
      <c r="BW12" s="54">
        <f t="shared" si="34"/>
        <v>250</v>
      </c>
      <c r="BX12" s="54">
        <f t="shared" si="35"/>
        <v>350</v>
      </c>
      <c r="BY12" s="54">
        <f t="shared" si="19"/>
        <v>200</v>
      </c>
      <c r="BZ12" s="54">
        <f t="shared" si="20"/>
        <v>280</v>
      </c>
      <c r="CA12" s="54">
        <f>((BW12*N12)+(P12*BY12))/(N12+P12)</f>
        <v>200</v>
      </c>
      <c r="CB12" s="54">
        <f>(((L12+M12)*BX12)+(BZ12*O12))/(M12+O12+L12)</f>
        <v>350</v>
      </c>
      <c r="CC12" s="59">
        <f t="shared" si="43"/>
        <v>0.1658255227108868</v>
      </c>
      <c r="CD12" s="59">
        <f t="shared" si="44"/>
        <v>0.23792357606344627</v>
      </c>
      <c r="CE12" s="59">
        <f t="shared" si="45"/>
        <v>0.1658255227108868</v>
      </c>
      <c r="CF12" s="59">
        <f t="shared" si="46"/>
        <v>0.23792357606344627</v>
      </c>
      <c r="CG12" s="85">
        <f t="shared" si="47"/>
        <v>0.1658255227108868</v>
      </c>
      <c r="CH12" s="85">
        <f t="shared" si="48"/>
        <v>0.23792357606344627</v>
      </c>
    </row>
    <row r="13" spans="1:86">
      <c r="A13" s="19">
        <v>9</v>
      </c>
      <c r="B13" s="3" t="s">
        <v>266</v>
      </c>
      <c r="C13" s="3" t="s">
        <v>79</v>
      </c>
      <c r="D13" s="54">
        <v>0</v>
      </c>
      <c r="E13" s="54">
        <v>0</v>
      </c>
      <c r="F13" s="54">
        <v>0</v>
      </c>
      <c r="G13" s="54">
        <v>0</v>
      </c>
      <c r="H13" s="54">
        <v>25</v>
      </c>
      <c r="I13" s="54">
        <v>0</v>
      </c>
      <c r="J13" s="54">
        <v>0</v>
      </c>
      <c r="K13" s="54">
        <f t="shared" si="1"/>
        <v>25</v>
      </c>
      <c r="L13" s="54">
        <v>0</v>
      </c>
      <c r="M13" s="54">
        <v>0</v>
      </c>
      <c r="N13" s="54">
        <v>0</v>
      </c>
      <c r="O13" s="54">
        <v>0</v>
      </c>
      <c r="P13" s="54">
        <v>0</v>
      </c>
      <c r="Q13" s="54">
        <v>0</v>
      </c>
      <c r="R13" s="54">
        <v>0</v>
      </c>
      <c r="S13" s="54">
        <v>0</v>
      </c>
      <c r="T13" s="54">
        <v>0</v>
      </c>
      <c r="U13" s="54">
        <v>0</v>
      </c>
      <c r="V13" s="54">
        <v>0</v>
      </c>
      <c r="W13" s="54">
        <v>0</v>
      </c>
      <c r="X13" s="54">
        <v>0</v>
      </c>
      <c r="Y13" s="54">
        <v>0</v>
      </c>
      <c r="Z13" s="54">
        <v>0</v>
      </c>
      <c r="AA13" s="57">
        <v>0</v>
      </c>
      <c r="AB13" s="54">
        <v>0</v>
      </c>
      <c r="AC13" s="54">
        <v>0</v>
      </c>
      <c r="AD13" s="57">
        <v>0</v>
      </c>
      <c r="AE13" s="82">
        <v>0</v>
      </c>
      <c r="AF13" s="82">
        <v>275</v>
      </c>
      <c r="AG13" s="61">
        <v>10.466868120008634</v>
      </c>
      <c r="AH13" s="54">
        <f t="shared" si="40"/>
        <v>0</v>
      </c>
      <c r="AI13" s="54">
        <f t="shared" si="2"/>
        <v>25</v>
      </c>
      <c r="AJ13" s="54">
        <f t="shared" si="24"/>
        <v>25</v>
      </c>
      <c r="AK13" s="54">
        <v>0</v>
      </c>
      <c r="AL13" s="54">
        <f t="shared" si="3"/>
        <v>0</v>
      </c>
      <c r="AM13" s="54">
        <f t="shared" si="4"/>
        <v>0</v>
      </c>
      <c r="AN13" s="54">
        <f t="shared" si="25"/>
        <v>0</v>
      </c>
      <c r="AO13" s="57">
        <f t="shared" si="26"/>
        <v>25</v>
      </c>
      <c r="AP13" s="57">
        <f t="shared" si="27"/>
        <v>0</v>
      </c>
      <c r="AQ13" s="57">
        <f t="shared" si="28"/>
        <v>0</v>
      </c>
      <c r="AR13" s="57">
        <f t="shared" si="29"/>
        <v>0</v>
      </c>
      <c r="AS13" s="57">
        <f t="shared" si="30"/>
        <v>0</v>
      </c>
      <c r="AT13" s="57">
        <f t="shared" si="31"/>
        <v>0</v>
      </c>
      <c r="AU13" s="58">
        <v>0</v>
      </c>
      <c r="AV13" s="58">
        <f t="shared" si="42"/>
        <v>0</v>
      </c>
      <c r="AW13" s="54">
        <v>250</v>
      </c>
      <c r="AX13" s="54">
        <v>350</v>
      </c>
      <c r="AY13" s="54">
        <v>20</v>
      </c>
      <c r="AZ13" s="54">
        <v>200</v>
      </c>
      <c r="BA13" s="54">
        <v>300</v>
      </c>
      <c r="BB13" s="58">
        <v>3.8</v>
      </c>
      <c r="BC13" s="58">
        <v>0</v>
      </c>
      <c r="BD13" s="58">
        <v>0.65</v>
      </c>
      <c r="BE13" s="58"/>
      <c r="BF13" s="58"/>
      <c r="BG13" s="58"/>
      <c r="BH13" s="60">
        <v>3.5000000000000003E-2</v>
      </c>
      <c r="BI13" s="60">
        <v>0.21129999999999999</v>
      </c>
      <c r="BJ13" s="60">
        <v>0.04</v>
      </c>
      <c r="BK13" s="22">
        <v>1.1000000000000001</v>
      </c>
      <c r="BL13" s="22">
        <v>0</v>
      </c>
      <c r="BM13" s="58">
        <v>0.95</v>
      </c>
      <c r="BN13" s="58">
        <v>0.58235999999999999</v>
      </c>
      <c r="BO13" s="58">
        <v>0.52346000000000004</v>
      </c>
      <c r="BP13" s="58">
        <v>15.020800000000001</v>
      </c>
      <c r="BQ13" s="58">
        <v>13.415999999999997</v>
      </c>
      <c r="BR13" s="61">
        <v>18.489999999999998</v>
      </c>
      <c r="BS13" s="58">
        <v>0</v>
      </c>
      <c r="BT13" s="58">
        <v>0</v>
      </c>
      <c r="BU13" s="58">
        <v>0.6</v>
      </c>
      <c r="BV13" s="58">
        <v>0.4</v>
      </c>
      <c r="BW13" s="54">
        <f t="shared" si="34"/>
        <v>250</v>
      </c>
      <c r="BX13" s="54">
        <f t="shared" si="35"/>
        <v>350</v>
      </c>
      <c r="BY13" s="54">
        <f t="shared" si="19"/>
        <v>200</v>
      </c>
      <c r="BZ13" s="54">
        <f t="shared" si="20"/>
        <v>280</v>
      </c>
      <c r="CA13" s="54"/>
      <c r="CB13" s="54"/>
      <c r="CC13" s="59">
        <f t="shared" si="43"/>
        <v>0.1658255227108868</v>
      </c>
      <c r="CD13" s="59">
        <f t="shared" si="44"/>
        <v>0.23792357606344627</v>
      </c>
      <c r="CE13" s="59">
        <f t="shared" si="45"/>
        <v>0.1658255227108868</v>
      </c>
      <c r="CF13" s="59">
        <f t="shared" si="46"/>
        <v>0.23792357606344627</v>
      </c>
      <c r="CG13" s="85">
        <f t="shared" si="47"/>
        <v>0.1658255227108868</v>
      </c>
      <c r="CH13" s="85">
        <f t="shared" si="48"/>
        <v>0.23792357606344627</v>
      </c>
    </row>
    <row r="14" spans="1:86">
      <c r="A14" s="19">
        <v>10</v>
      </c>
      <c r="B14" s="3" t="s">
        <v>267</v>
      </c>
      <c r="C14" s="3" t="s">
        <v>79</v>
      </c>
      <c r="D14" s="54">
        <v>0</v>
      </c>
      <c r="E14" s="54">
        <v>978.43499759999997</v>
      </c>
      <c r="F14" s="54">
        <v>2935.3049930000002</v>
      </c>
      <c r="G14" s="54">
        <v>0</v>
      </c>
      <c r="H14" s="54">
        <v>1956.869995</v>
      </c>
      <c r="I14" s="54">
        <v>0</v>
      </c>
      <c r="J14" s="54">
        <v>978.43499759999997</v>
      </c>
      <c r="K14" s="54">
        <f t="shared" si="1"/>
        <v>6849.0449832000004</v>
      </c>
      <c r="L14" s="54">
        <v>0</v>
      </c>
      <c r="M14" s="54">
        <v>0</v>
      </c>
      <c r="N14" s="54">
        <v>0</v>
      </c>
      <c r="O14" s="54">
        <v>0</v>
      </c>
      <c r="P14" s="54">
        <v>0</v>
      </c>
      <c r="Q14" s="54">
        <v>0</v>
      </c>
      <c r="R14" s="54">
        <v>0</v>
      </c>
      <c r="S14" s="54">
        <v>0</v>
      </c>
      <c r="T14" s="54">
        <v>0</v>
      </c>
      <c r="U14" s="54">
        <v>0</v>
      </c>
      <c r="V14" s="54">
        <v>0</v>
      </c>
      <c r="W14" s="54">
        <v>0</v>
      </c>
      <c r="X14" s="54">
        <v>0</v>
      </c>
      <c r="Y14" s="54">
        <v>0</v>
      </c>
      <c r="Z14" s="54">
        <v>0</v>
      </c>
      <c r="AA14" s="57">
        <v>0</v>
      </c>
      <c r="AB14" s="54">
        <v>978.43499999999995</v>
      </c>
      <c r="AC14" s="54">
        <v>0</v>
      </c>
      <c r="AD14" s="57">
        <v>978.43499999999995</v>
      </c>
      <c r="AE14" s="82">
        <v>1320.8872468500001</v>
      </c>
      <c r="AF14" s="82">
        <v>275</v>
      </c>
      <c r="AG14" s="61">
        <v>5.5070463084253412</v>
      </c>
      <c r="AH14" s="54">
        <f t="shared" si="40"/>
        <v>2000401.4900681362</v>
      </c>
      <c r="AI14" s="54">
        <f t="shared" si="2"/>
        <v>5870.6099856000001</v>
      </c>
      <c r="AJ14" s="54">
        <f t="shared" si="24"/>
        <v>6849.0449832000004</v>
      </c>
      <c r="AK14" s="54">
        <v>2935.3049930000002</v>
      </c>
      <c r="AL14" s="54">
        <f t="shared" si="3"/>
        <v>1614.4177461500001</v>
      </c>
      <c r="AM14" s="54">
        <f t="shared" si="4"/>
        <v>1320.8872468500001</v>
      </c>
      <c r="AN14" s="54">
        <f t="shared" si="25"/>
        <v>978.43499759999997</v>
      </c>
      <c r="AO14" s="57">
        <f t="shared" si="26"/>
        <v>1956.869995</v>
      </c>
      <c r="AP14" s="57">
        <f t="shared" si="27"/>
        <v>0</v>
      </c>
      <c r="AQ14" s="57">
        <f t="shared" si="28"/>
        <v>0</v>
      </c>
      <c r="AR14" s="57">
        <f t="shared" si="29"/>
        <v>0</v>
      </c>
      <c r="AS14" s="57">
        <f t="shared" si="30"/>
        <v>978.43499759999997</v>
      </c>
      <c r="AT14" s="57">
        <f t="shared" si="31"/>
        <v>0</v>
      </c>
      <c r="AU14" s="58">
        <f t="shared" si="41"/>
        <v>0.33333333331062132</v>
      </c>
      <c r="AV14" s="58">
        <f t="shared" si="42"/>
        <v>0.19285714287028338</v>
      </c>
      <c r="AW14" s="54">
        <v>250</v>
      </c>
      <c r="AX14" s="54">
        <v>350</v>
      </c>
      <c r="AY14" s="54">
        <v>20</v>
      </c>
      <c r="AZ14" s="54">
        <v>200</v>
      </c>
      <c r="BA14" s="54">
        <v>300</v>
      </c>
      <c r="BB14" s="58">
        <v>3.8</v>
      </c>
      <c r="BC14" s="58">
        <f t="shared" ref="BC14:BC35" si="49">IF(((N14+V14)/AM14)&gt;0.09,((N14+V14)/AM14),0.1)</f>
        <v>0.1</v>
      </c>
      <c r="BD14" s="58">
        <v>0.65</v>
      </c>
      <c r="BE14" s="58"/>
      <c r="BF14" s="58">
        <f>Y14/AB14</f>
        <v>0</v>
      </c>
      <c r="BG14" s="58">
        <f t="shared" ref="BG14:BG35" si="50">(T14+U14+V14)/(AM14+AN14)</f>
        <v>0</v>
      </c>
      <c r="BH14" s="60">
        <v>3.5000000000000003E-2</v>
      </c>
      <c r="BI14" s="60">
        <v>0.21129999999999999</v>
      </c>
      <c r="BJ14" s="60">
        <v>0.04</v>
      </c>
      <c r="BK14" s="22">
        <v>1.1000000000000001</v>
      </c>
      <c r="BL14" s="22">
        <f>(D14+T14)/(AN14)</f>
        <v>0</v>
      </c>
      <c r="BM14" s="58">
        <v>0.95</v>
      </c>
      <c r="BN14" s="58">
        <v>0.58235999999999999</v>
      </c>
      <c r="BO14" s="58">
        <v>0.52346000000000004</v>
      </c>
      <c r="BP14" s="58">
        <v>15.020800000000001</v>
      </c>
      <c r="BQ14" s="58">
        <v>13.415999999999997</v>
      </c>
      <c r="BR14" s="61">
        <v>18.489999999999998</v>
      </c>
      <c r="BS14" s="58">
        <v>0</v>
      </c>
      <c r="BT14" s="58">
        <v>0</v>
      </c>
      <c r="BU14" s="58">
        <v>0.6</v>
      </c>
      <c r="BV14" s="58">
        <v>0.4</v>
      </c>
      <c r="BW14" s="54">
        <f t="shared" si="34"/>
        <v>250</v>
      </c>
      <c r="BX14" s="54">
        <f t="shared" si="35"/>
        <v>350</v>
      </c>
      <c r="BY14" s="54">
        <f t="shared" si="19"/>
        <v>200</v>
      </c>
      <c r="BZ14" s="54">
        <f t="shared" si="20"/>
        <v>280</v>
      </c>
      <c r="CA14" s="54"/>
      <c r="CB14" s="54"/>
      <c r="CC14" s="59">
        <f t="shared" si="43"/>
        <v>0.1658255227108868</v>
      </c>
      <c r="CD14" s="59">
        <f t="shared" si="44"/>
        <v>0.23792357606344627</v>
      </c>
      <c r="CE14" s="59">
        <f t="shared" si="45"/>
        <v>0.1658255227108868</v>
      </c>
      <c r="CF14" s="59">
        <f t="shared" si="46"/>
        <v>0.23792357606344627</v>
      </c>
      <c r="CG14" s="85">
        <f t="shared" si="47"/>
        <v>0.1658255227108868</v>
      </c>
      <c r="CH14" s="85">
        <f t="shared" si="48"/>
        <v>0.23792357606344627</v>
      </c>
    </row>
    <row r="15" spans="1:86">
      <c r="A15" s="19">
        <v>11</v>
      </c>
      <c r="B15" s="3" t="s">
        <v>268</v>
      </c>
      <c r="C15" s="3" t="s">
        <v>79</v>
      </c>
      <c r="D15" s="54">
        <v>506.19332889999998</v>
      </c>
      <c r="E15" s="54">
        <v>5596.4167020000004</v>
      </c>
      <c r="F15" s="54">
        <v>27470.793180000001</v>
      </c>
      <c r="G15" s="54">
        <v>294.09666440000001</v>
      </c>
      <c r="H15" s="54">
        <v>13648.89653</v>
      </c>
      <c r="I15" s="54">
        <v>10350.44656</v>
      </c>
      <c r="J15" s="54">
        <v>8851.770004</v>
      </c>
      <c r="K15" s="54">
        <f t="shared" si="1"/>
        <v>66718.612969300011</v>
      </c>
      <c r="L15" s="54">
        <v>222.09700000000001</v>
      </c>
      <c r="M15" s="54">
        <v>888.38699999999994</v>
      </c>
      <c r="N15" s="54">
        <v>2220.9699999999998</v>
      </c>
      <c r="O15" s="54">
        <v>0</v>
      </c>
      <c r="P15" s="54">
        <v>666.29</v>
      </c>
      <c r="Q15" s="54">
        <v>455.88299999999998</v>
      </c>
      <c r="R15" s="54">
        <v>0</v>
      </c>
      <c r="S15" s="54">
        <v>4453.62</v>
      </c>
      <c r="T15" s="54">
        <v>1776.77</v>
      </c>
      <c r="U15" s="54">
        <v>0</v>
      </c>
      <c r="V15" s="54">
        <v>517.58199999999999</v>
      </c>
      <c r="W15" s="54">
        <v>0</v>
      </c>
      <c r="X15" s="54">
        <v>0</v>
      </c>
      <c r="Y15" s="54">
        <v>0</v>
      </c>
      <c r="Z15" s="54">
        <v>74.032200000000003</v>
      </c>
      <c r="AA15" s="57">
        <v>2368.39</v>
      </c>
      <c r="AB15" s="54">
        <v>8661.77</v>
      </c>
      <c r="AC15" s="54">
        <v>10216.4</v>
      </c>
      <c r="AD15" s="57">
        <v>18878.2</v>
      </c>
      <c r="AE15" s="82">
        <v>12594.768830999999</v>
      </c>
      <c r="AF15" s="82">
        <v>275</v>
      </c>
      <c r="AG15" s="61">
        <v>8</v>
      </c>
      <c r="AH15" s="54">
        <f t="shared" si="40"/>
        <v>27708491.428199999</v>
      </c>
      <c r="AI15" s="54">
        <f t="shared" si="2"/>
        <v>54264.375405299994</v>
      </c>
      <c r="AJ15" s="54">
        <f t="shared" si="24"/>
        <v>73540.62416929999</v>
      </c>
      <c r="AK15" s="54">
        <v>27988.375179999999</v>
      </c>
      <c r="AL15" s="54">
        <f t="shared" si="3"/>
        <v>15393.606349</v>
      </c>
      <c r="AM15" s="54">
        <f t="shared" si="4"/>
        <v>12594.768830999999</v>
      </c>
      <c r="AN15" s="54">
        <f t="shared" si="25"/>
        <v>7879.3800308999998</v>
      </c>
      <c r="AO15" s="57">
        <f t="shared" si="26"/>
        <v>13648.89653</v>
      </c>
      <c r="AP15" s="57">
        <f t="shared" si="27"/>
        <v>294.09666440000001</v>
      </c>
      <c r="AQ15" s="57">
        <f t="shared" si="28"/>
        <v>2887.2599999999998</v>
      </c>
      <c r="AR15" s="57">
        <f t="shared" si="29"/>
        <v>1566.367</v>
      </c>
      <c r="AS15" s="57">
        <f t="shared" si="30"/>
        <v>8925.8022039999996</v>
      </c>
      <c r="AT15" s="57">
        <f t="shared" si="31"/>
        <v>10350.44656</v>
      </c>
      <c r="AU15" s="58">
        <f t="shared" si="41"/>
        <v>0.28152331031100608</v>
      </c>
      <c r="AV15" s="58">
        <f t="shared" si="42"/>
        <v>0.1712627404685228</v>
      </c>
      <c r="AW15" s="54">
        <v>250</v>
      </c>
      <c r="AX15" s="54">
        <v>350</v>
      </c>
      <c r="AY15" s="54">
        <v>20</v>
      </c>
      <c r="AZ15" s="54">
        <v>200</v>
      </c>
      <c r="BA15" s="54">
        <v>300</v>
      </c>
      <c r="BB15" s="58">
        <v>3.8</v>
      </c>
      <c r="BC15" s="58">
        <f t="shared" si="49"/>
        <v>0.21743567005846856</v>
      </c>
      <c r="BD15" s="58">
        <v>0.65</v>
      </c>
      <c r="BE15" s="58">
        <f>Z15/AC15</f>
        <v>7.2464077365804007E-3</v>
      </c>
      <c r="BF15" s="58">
        <f>Y15/AB15</f>
        <v>0</v>
      </c>
      <c r="BG15" s="58">
        <f t="shared" si="50"/>
        <v>0.11206092206692513</v>
      </c>
      <c r="BH15" s="60">
        <v>3.5000000000000003E-2</v>
      </c>
      <c r="BI15" s="60">
        <v>0.21129999999999999</v>
      </c>
      <c r="BJ15" s="60">
        <v>0.04</v>
      </c>
      <c r="BK15" s="22">
        <v>1.1000000000000001</v>
      </c>
      <c r="BL15" s="22">
        <f>(D15+T15)/(AN15)</f>
        <v>0.28973895407342537</v>
      </c>
      <c r="BM15" s="58">
        <v>0.95</v>
      </c>
      <c r="BN15" s="58">
        <v>0.58235999999999999</v>
      </c>
      <c r="BO15" s="58">
        <v>0.52346000000000004</v>
      </c>
      <c r="BP15" s="58">
        <v>15.020800000000001</v>
      </c>
      <c r="BQ15" s="58">
        <v>13.415999999999997</v>
      </c>
      <c r="BR15" s="61">
        <v>18.489999999999998</v>
      </c>
      <c r="BS15" s="58">
        <v>0</v>
      </c>
      <c r="BT15" s="58">
        <v>0</v>
      </c>
      <c r="BU15" s="58">
        <v>0.6</v>
      </c>
      <c r="BV15" s="58">
        <v>0.4</v>
      </c>
      <c r="BW15" s="54">
        <f t="shared" si="34"/>
        <v>250</v>
      </c>
      <c r="BX15" s="54">
        <f t="shared" si="35"/>
        <v>350</v>
      </c>
      <c r="BY15" s="54">
        <f t="shared" si="19"/>
        <v>200</v>
      </c>
      <c r="BZ15" s="54">
        <f t="shared" si="20"/>
        <v>280</v>
      </c>
      <c r="CA15" s="54">
        <f>((BW15*N15)+(P15*BY15))/(N15+P15)</f>
        <v>238.461551782659</v>
      </c>
      <c r="CB15" s="54">
        <f>(((L15+M15)*BX15)+(BZ15*O15))/(M15+O15+L15)</f>
        <v>350</v>
      </c>
      <c r="CC15" s="59">
        <f t="shared" si="43"/>
        <v>0.1658255227108868</v>
      </c>
      <c r="CD15" s="59">
        <f t="shared" si="44"/>
        <v>0.23792357606344627</v>
      </c>
      <c r="CE15" s="59">
        <f t="shared" si="45"/>
        <v>0.1658255227108868</v>
      </c>
      <c r="CF15" s="59">
        <f t="shared" si="46"/>
        <v>0.23792357606344627</v>
      </c>
      <c r="CG15" s="85">
        <f t="shared" si="47"/>
        <v>0.1658255227108868</v>
      </c>
      <c r="CH15" s="85">
        <f t="shared" si="48"/>
        <v>0.23792357606344627</v>
      </c>
    </row>
    <row r="16" spans="1:86">
      <c r="A16" s="19">
        <v>12</v>
      </c>
      <c r="B16" s="3" t="s">
        <v>269</v>
      </c>
      <c r="C16" s="3" t="s">
        <v>79</v>
      </c>
      <c r="D16" s="54">
        <v>0</v>
      </c>
      <c r="E16" s="54">
        <v>1320.375092</v>
      </c>
      <c r="F16" s="54">
        <v>2934.16687</v>
      </c>
      <c r="G16" s="54">
        <v>146.70834350000001</v>
      </c>
      <c r="H16" s="54">
        <v>1907.208466</v>
      </c>
      <c r="I16" s="54">
        <v>880.25006099999996</v>
      </c>
      <c r="J16" s="54">
        <v>586.83337400000005</v>
      </c>
      <c r="K16" s="54">
        <f t="shared" si="1"/>
        <v>7775.5422065000002</v>
      </c>
      <c r="L16" s="54">
        <v>0</v>
      </c>
      <c r="M16" s="54">
        <v>0</v>
      </c>
      <c r="N16" s="54">
        <v>0</v>
      </c>
      <c r="O16" s="54">
        <v>0</v>
      </c>
      <c r="P16" s="54">
        <v>0</v>
      </c>
      <c r="Q16" s="54">
        <v>586.83299999999997</v>
      </c>
      <c r="R16" s="54">
        <v>146.708</v>
      </c>
      <c r="S16" s="54">
        <v>733.54200000000003</v>
      </c>
      <c r="T16" s="54">
        <v>0</v>
      </c>
      <c r="U16" s="54">
        <v>0</v>
      </c>
      <c r="V16" s="54">
        <v>244.51400000000001</v>
      </c>
      <c r="W16" s="54">
        <v>0</v>
      </c>
      <c r="X16" s="54">
        <v>0</v>
      </c>
      <c r="Y16" s="54">
        <v>48.902799999999999</v>
      </c>
      <c r="Z16" s="54">
        <v>146.708</v>
      </c>
      <c r="AA16" s="57">
        <v>440.125</v>
      </c>
      <c r="AB16" s="54">
        <v>586.83299999999997</v>
      </c>
      <c r="AC16" s="54">
        <v>880.25</v>
      </c>
      <c r="AD16" s="57">
        <v>1467.08</v>
      </c>
      <c r="AE16" s="82">
        <v>1430.4063915000002</v>
      </c>
      <c r="AF16" s="82">
        <v>275</v>
      </c>
      <c r="AG16" s="61">
        <v>10</v>
      </c>
      <c r="AH16" s="54">
        <f t="shared" si="40"/>
        <v>3933617.5766250002</v>
      </c>
      <c r="AI16" s="54">
        <f t="shared" si="2"/>
        <v>7286.5137715000001</v>
      </c>
      <c r="AJ16" s="54">
        <f t="shared" si="24"/>
        <v>8949.2080065000009</v>
      </c>
      <c r="AK16" s="54">
        <v>3178.6808700000001</v>
      </c>
      <c r="AL16" s="54">
        <f t="shared" si="3"/>
        <v>1748.2744785</v>
      </c>
      <c r="AM16" s="54">
        <f t="shared" si="4"/>
        <v>1430.4063915000002</v>
      </c>
      <c r="AN16" s="54">
        <f t="shared" si="25"/>
        <v>1320.375092</v>
      </c>
      <c r="AO16" s="57">
        <f t="shared" si="26"/>
        <v>1907.208466</v>
      </c>
      <c r="AP16" s="57">
        <f t="shared" si="27"/>
        <v>146.70834350000001</v>
      </c>
      <c r="AQ16" s="57">
        <f t="shared" si="28"/>
        <v>146.708</v>
      </c>
      <c r="AR16" s="57">
        <f t="shared" si="29"/>
        <v>586.83299999999997</v>
      </c>
      <c r="AS16" s="57">
        <f t="shared" si="30"/>
        <v>733.54137400000002</v>
      </c>
      <c r="AT16" s="57">
        <f t="shared" si="31"/>
        <v>929.15286099999992</v>
      </c>
      <c r="AU16" s="58">
        <f t="shared" si="41"/>
        <v>0.41538460323637333</v>
      </c>
      <c r="AV16" s="58">
        <f t="shared" si="42"/>
        <v>0.1598360872225861</v>
      </c>
      <c r="AW16" s="54">
        <v>250</v>
      </c>
      <c r="AX16" s="54">
        <v>350</v>
      </c>
      <c r="AY16" s="54">
        <v>20</v>
      </c>
      <c r="AZ16" s="54">
        <v>200</v>
      </c>
      <c r="BA16" s="54">
        <v>300</v>
      </c>
      <c r="BB16" s="58">
        <v>3.8</v>
      </c>
      <c r="BC16" s="58">
        <f t="shared" si="49"/>
        <v>0.17094023170826972</v>
      </c>
      <c r="BD16" s="58">
        <v>0.65</v>
      </c>
      <c r="BE16" s="58">
        <f>Z16/AC16</f>
        <v>0.16666628798636751</v>
      </c>
      <c r="BF16" s="58">
        <f>Y16/AB16</f>
        <v>8.3333418536449044E-2</v>
      </c>
      <c r="BG16" s="58">
        <f t="shared" si="50"/>
        <v>8.8888921736120161E-2</v>
      </c>
      <c r="BH16" s="60">
        <v>3.5000000000000003E-2</v>
      </c>
      <c r="BI16" s="60">
        <v>0.21129999999999999</v>
      </c>
      <c r="BJ16" s="60">
        <v>0.04</v>
      </c>
      <c r="BK16" s="22">
        <v>1.1000000000000001</v>
      </c>
      <c r="BL16" s="22">
        <f>(D16+T16)/(AN16)</f>
        <v>0</v>
      </c>
      <c r="BM16" s="58">
        <v>0.95</v>
      </c>
      <c r="BN16" s="58">
        <v>0.58235999999999999</v>
      </c>
      <c r="BO16" s="58">
        <v>0.52346000000000004</v>
      </c>
      <c r="BP16" s="58">
        <v>15.020800000000001</v>
      </c>
      <c r="BQ16" s="58">
        <v>13.415999999999997</v>
      </c>
      <c r="BR16" s="61">
        <v>18.489999999999998</v>
      </c>
      <c r="BS16" s="58">
        <v>0</v>
      </c>
      <c r="BT16" s="58">
        <v>0</v>
      </c>
      <c r="BU16" s="58">
        <v>0.6</v>
      </c>
      <c r="BV16" s="58">
        <v>0.4</v>
      </c>
      <c r="BW16" s="54">
        <f t="shared" si="34"/>
        <v>250</v>
      </c>
      <c r="BX16" s="54">
        <f t="shared" si="35"/>
        <v>350</v>
      </c>
      <c r="BY16" s="54">
        <f t="shared" si="19"/>
        <v>200</v>
      </c>
      <c r="BZ16" s="54">
        <f t="shared" si="20"/>
        <v>280</v>
      </c>
      <c r="CA16" s="54"/>
      <c r="CB16" s="54"/>
      <c r="CC16" s="59">
        <f t="shared" si="43"/>
        <v>0.1658255227108868</v>
      </c>
      <c r="CD16" s="59">
        <f t="shared" si="44"/>
        <v>0.23792357606344627</v>
      </c>
      <c r="CE16" s="59">
        <f t="shared" si="45"/>
        <v>0.1658255227108868</v>
      </c>
      <c r="CF16" s="59">
        <f t="shared" si="46"/>
        <v>0.23792357606344627</v>
      </c>
      <c r="CG16" s="85">
        <f t="shared" si="47"/>
        <v>0.1658255227108868</v>
      </c>
      <c r="CH16" s="85">
        <f t="shared" si="48"/>
        <v>0.23792357606344627</v>
      </c>
    </row>
    <row r="17" spans="1:86">
      <c r="A17" s="19">
        <v>13</v>
      </c>
      <c r="B17" s="3" t="s">
        <v>270</v>
      </c>
      <c r="C17" s="3" t="s">
        <v>79</v>
      </c>
      <c r="D17" s="54">
        <v>0</v>
      </c>
      <c r="E17" s="54">
        <v>236.46820829999999</v>
      </c>
      <c r="F17" s="54">
        <v>1687.2774429999999</v>
      </c>
      <c r="G17" s="54">
        <v>235.46820070000001</v>
      </c>
      <c r="H17" s="54">
        <v>651.91522220000002</v>
      </c>
      <c r="I17" s="54">
        <v>708.40461730000004</v>
      </c>
      <c r="J17" s="54">
        <v>793.89402770000004</v>
      </c>
      <c r="K17" s="54">
        <f t="shared" si="1"/>
        <v>4313.4277192</v>
      </c>
      <c r="L17" s="54">
        <v>0</v>
      </c>
      <c r="M17" s="54">
        <v>78.489400000000003</v>
      </c>
      <c r="N17" s="54">
        <v>104.65300000000001</v>
      </c>
      <c r="O17" s="54">
        <v>0</v>
      </c>
      <c r="P17" s="54">
        <v>0</v>
      </c>
      <c r="Q17" s="54">
        <v>0</v>
      </c>
      <c r="R17" s="54">
        <v>0</v>
      </c>
      <c r="S17" s="54">
        <v>183.142</v>
      </c>
      <c r="T17" s="54">
        <v>0</v>
      </c>
      <c r="U17" s="54">
        <v>0</v>
      </c>
      <c r="V17" s="54">
        <v>183.142</v>
      </c>
      <c r="W17" s="54">
        <v>78.489400000000003</v>
      </c>
      <c r="X17" s="54">
        <v>78.489400000000003</v>
      </c>
      <c r="Y17" s="54">
        <v>0</v>
      </c>
      <c r="Z17" s="54">
        <v>0</v>
      </c>
      <c r="AA17" s="57">
        <v>340.12099999999998</v>
      </c>
      <c r="AB17" s="54">
        <v>863.38300000000004</v>
      </c>
      <c r="AC17" s="54">
        <v>722.10199999999998</v>
      </c>
      <c r="AD17" s="57">
        <v>1585.49</v>
      </c>
      <c r="AE17" s="82">
        <v>841.68874934999997</v>
      </c>
      <c r="AF17" s="82">
        <v>275</v>
      </c>
      <c r="AG17" s="61">
        <v>6.9583222723652778</v>
      </c>
      <c r="AH17" s="54">
        <f t="shared" si="40"/>
        <v>1610603.9320253795</v>
      </c>
      <c r="AI17" s="54">
        <f t="shared" si="2"/>
        <v>3334.3922741999995</v>
      </c>
      <c r="AJ17" s="54">
        <f t="shared" si="24"/>
        <v>4836.6909191999994</v>
      </c>
      <c r="AK17" s="54">
        <v>1870.419443</v>
      </c>
      <c r="AL17" s="54">
        <f t="shared" si="3"/>
        <v>1028.7306936499999</v>
      </c>
      <c r="AM17" s="54">
        <f t="shared" si="4"/>
        <v>841.68874934999997</v>
      </c>
      <c r="AN17" s="54">
        <f t="shared" si="25"/>
        <v>236.46820829999999</v>
      </c>
      <c r="AO17" s="57">
        <f t="shared" si="26"/>
        <v>730.40462220000006</v>
      </c>
      <c r="AP17" s="57">
        <f t="shared" si="27"/>
        <v>313.9576007</v>
      </c>
      <c r="AQ17" s="57">
        <f t="shared" si="28"/>
        <v>104.65300000000001</v>
      </c>
      <c r="AR17" s="57">
        <f t="shared" si="29"/>
        <v>78.489400000000003</v>
      </c>
      <c r="AS17" s="57">
        <f t="shared" si="30"/>
        <v>793.89402770000004</v>
      </c>
      <c r="AT17" s="57">
        <f t="shared" si="31"/>
        <v>708.40461730000004</v>
      </c>
      <c r="AU17" s="58">
        <f t="shared" si="41"/>
        <v>0.12642523001189737</v>
      </c>
      <c r="AV17" s="58">
        <f t="shared" si="42"/>
        <v>0.17402161176121161</v>
      </c>
      <c r="AW17" s="54">
        <v>250</v>
      </c>
      <c r="AX17" s="54">
        <v>350</v>
      </c>
      <c r="AY17" s="54">
        <v>20</v>
      </c>
      <c r="AZ17" s="54">
        <v>200</v>
      </c>
      <c r="BA17" s="54">
        <v>300</v>
      </c>
      <c r="BB17" s="58">
        <v>3.8</v>
      </c>
      <c r="BC17" s="58">
        <f t="shared" si="49"/>
        <v>0.34192568241199817</v>
      </c>
      <c r="BD17" s="58">
        <v>0.65</v>
      </c>
      <c r="BE17" s="58">
        <f>Z17/AC17</f>
        <v>0</v>
      </c>
      <c r="BF17" s="58">
        <f>Y17/AB17</f>
        <v>0</v>
      </c>
      <c r="BG17" s="58">
        <f t="shared" si="50"/>
        <v>0.16986580543818469</v>
      </c>
      <c r="BH17" s="60">
        <v>3.5000000000000003E-2</v>
      </c>
      <c r="BI17" s="60">
        <v>0.21129999999999999</v>
      </c>
      <c r="BJ17" s="60">
        <v>0.04</v>
      </c>
      <c r="BK17" s="22">
        <v>1.1000000000000001</v>
      </c>
      <c r="BL17" s="22">
        <f>(D17+T17)/(AN17)</f>
        <v>0</v>
      </c>
      <c r="BM17" s="58">
        <v>0.95</v>
      </c>
      <c r="BN17" s="58">
        <v>0.58235999999999999</v>
      </c>
      <c r="BO17" s="58">
        <v>0.52346000000000004</v>
      </c>
      <c r="BP17" s="58">
        <v>15.020800000000001</v>
      </c>
      <c r="BQ17" s="58">
        <v>13.415999999999997</v>
      </c>
      <c r="BR17" s="61">
        <v>18.489999999999998</v>
      </c>
      <c r="BS17" s="58">
        <v>0</v>
      </c>
      <c r="BT17" s="58">
        <v>0</v>
      </c>
      <c r="BU17" s="58">
        <v>0.6</v>
      </c>
      <c r="BV17" s="58">
        <v>0.4</v>
      </c>
      <c r="BW17" s="54">
        <f t="shared" si="34"/>
        <v>250</v>
      </c>
      <c r="BX17" s="54">
        <f t="shared" si="35"/>
        <v>350</v>
      </c>
      <c r="BY17" s="54">
        <f t="shared" si="19"/>
        <v>200</v>
      </c>
      <c r="BZ17" s="54">
        <f t="shared" si="20"/>
        <v>280</v>
      </c>
      <c r="CA17" s="54">
        <f>((BW17*N17)+(P17*BY17))/(N17+P17)</f>
        <v>250</v>
      </c>
      <c r="CB17" s="54">
        <f>(((L17+M17)*BX17)+(BZ17*O17))/(M17+O17+L17)</f>
        <v>350</v>
      </c>
      <c r="CC17" s="59">
        <f t="shared" si="43"/>
        <v>0.1658255227108868</v>
      </c>
      <c r="CD17" s="59">
        <f t="shared" si="44"/>
        <v>0.23792357606344627</v>
      </c>
      <c r="CE17" s="59">
        <f t="shared" si="45"/>
        <v>0.1658255227108868</v>
      </c>
      <c r="CF17" s="59">
        <f t="shared" si="46"/>
        <v>0.23792357606344627</v>
      </c>
      <c r="CG17" s="85">
        <f t="shared" si="47"/>
        <v>0.1658255227108868</v>
      </c>
      <c r="CH17" s="85">
        <f t="shared" si="48"/>
        <v>0.23792357606344627</v>
      </c>
    </row>
    <row r="18" spans="1:86">
      <c r="A18" s="19">
        <v>14</v>
      </c>
      <c r="B18" s="3" t="s">
        <v>271</v>
      </c>
      <c r="C18" s="3" t="s">
        <v>79</v>
      </c>
      <c r="D18" s="54">
        <v>0</v>
      </c>
      <c r="E18" s="54">
        <v>0</v>
      </c>
      <c r="F18" s="54">
        <v>962.70367429999999</v>
      </c>
      <c r="G18" s="54">
        <v>0</v>
      </c>
      <c r="H18" s="54">
        <v>49</v>
      </c>
      <c r="I18" s="54">
        <v>2</v>
      </c>
      <c r="J18" s="54">
        <v>3</v>
      </c>
      <c r="K18" s="54">
        <f t="shared" si="1"/>
        <v>1016.7036743</v>
      </c>
      <c r="L18" s="54">
        <v>0</v>
      </c>
      <c r="M18" s="54">
        <v>0</v>
      </c>
      <c r="N18" s="54">
        <v>0</v>
      </c>
      <c r="O18" s="54">
        <v>0</v>
      </c>
      <c r="P18" s="54">
        <v>0</v>
      </c>
      <c r="Q18" s="54">
        <v>0</v>
      </c>
      <c r="R18" s="54">
        <v>0</v>
      </c>
      <c r="S18" s="54">
        <v>0</v>
      </c>
      <c r="T18" s="54">
        <v>0</v>
      </c>
      <c r="U18" s="54">
        <v>0</v>
      </c>
      <c r="V18" s="54">
        <v>0</v>
      </c>
      <c r="W18" s="54">
        <v>0</v>
      </c>
      <c r="X18" s="54">
        <v>0</v>
      </c>
      <c r="Y18" s="54">
        <v>0</v>
      </c>
      <c r="Z18" s="54">
        <v>0</v>
      </c>
      <c r="AA18" s="57">
        <v>0</v>
      </c>
      <c r="AB18" s="54">
        <v>0</v>
      </c>
      <c r="AC18" s="54">
        <v>0</v>
      </c>
      <c r="AD18" s="57">
        <v>0</v>
      </c>
      <c r="AE18" s="82">
        <v>433.21665343500001</v>
      </c>
      <c r="AF18" s="82">
        <v>275</v>
      </c>
      <c r="AG18" s="61">
        <v>5</v>
      </c>
      <c r="AH18" s="54">
        <f t="shared" si="40"/>
        <v>595672.89847312507</v>
      </c>
      <c r="AI18" s="54">
        <f t="shared" si="2"/>
        <v>1011.7036743</v>
      </c>
      <c r="AJ18" s="54">
        <f t="shared" si="24"/>
        <v>1016.7036743</v>
      </c>
      <c r="AK18" s="54">
        <v>962.70367429999999</v>
      </c>
      <c r="AL18" s="54">
        <f t="shared" si="3"/>
        <v>529.48702086499998</v>
      </c>
      <c r="AM18" s="54">
        <f t="shared" si="4"/>
        <v>433.21665343500001</v>
      </c>
      <c r="AN18" s="54">
        <f t="shared" si="25"/>
        <v>0</v>
      </c>
      <c r="AO18" s="57">
        <f t="shared" si="26"/>
        <v>49</v>
      </c>
      <c r="AP18" s="57">
        <f t="shared" si="27"/>
        <v>0</v>
      </c>
      <c r="AQ18" s="57">
        <f t="shared" si="28"/>
        <v>0</v>
      </c>
      <c r="AR18" s="57">
        <f t="shared" si="29"/>
        <v>0</v>
      </c>
      <c r="AS18" s="57">
        <f t="shared" si="30"/>
        <v>3</v>
      </c>
      <c r="AT18" s="57">
        <f t="shared" si="31"/>
        <v>2</v>
      </c>
      <c r="AU18" s="58">
        <f t="shared" si="41"/>
        <v>0</v>
      </c>
      <c r="AV18" s="58">
        <f t="shared" si="42"/>
        <v>0.42609923066646677</v>
      </c>
      <c r="AW18" s="54">
        <v>250</v>
      </c>
      <c r="AX18" s="54">
        <v>350</v>
      </c>
      <c r="AY18" s="54">
        <v>20</v>
      </c>
      <c r="AZ18" s="54">
        <v>200</v>
      </c>
      <c r="BA18" s="54">
        <v>300</v>
      </c>
      <c r="BB18" s="58">
        <v>3.8</v>
      </c>
      <c r="BC18" s="58">
        <f t="shared" si="49"/>
        <v>0.1</v>
      </c>
      <c r="BD18" s="58">
        <v>0.65</v>
      </c>
      <c r="BE18" s="58"/>
      <c r="BF18" s="58"/>
      <c r="BG18" s="58">
        <f t="shared" si="50"/>
        <v>0</v>
      </c>
      <c r="BH18" s="60">
        <v>3.5000000000000003E-2</v>
      </c>
      <c r="BI18" s="60">
        <v>0.21129999999999999</v>
      </c>
      <c r="BJ18" s="60">
        <v>0.04</v>
      </c>
      <c r="BK18" s="22">
        <v>1.1000000000000001</v>
      </c>
      <c r="BL18" s="22">
        <v>0</v>
      </c>
      <c r="BM18" s="58">
        <v>0.95</v>
      </c>
      <c r="BN18" s="58">
        <v>0.58235999999999999</v>
      </c>
      <c r="BO18" s="58">
        <v>0.52346000000000004</v>
      </c>
      <c r="BP18" s="58">
        <v>15.020800000000001</v>
      </c>
      <c r="BQ18" s="58">
        <v>13.415999999999997</v>
      </c>
      <c r="BR18" s="61">
        <v>18.489999999999998</v>
      </c>
      <c r="BS18" s="58">
        <v>0</v>
      </c>
      <c r="BT18" s="58">
        <v>0</v>
      </c>
      <c r="BU18" s="58">
        <v>0.6</v>
      </c>
      <c r="BV18" s="58">
        <v>0.4</v>
      </c>
      <c r="BW18" s="54">
        <f t="shared" si="34"/>
        <v>250</v>
      </c>
      <c r="BX18" s="54">
        <f t="shared" si="35"/>
        <v>350</v>
      </c>
      <c r="BY18" s="54">
        <f t="shared" si="19"/>
        <v>200</v>
      </c>
      <c r="BZ18" s="54">
        <f t="shared" si="20"/>
        <v>280</v>
      </c>
      <c r="CA18" s="54"/>
      <c r="CB18" s="54"/>
      <c r="CC18" s="59">
        <f t="shared" si="43"/>
        <v>0.1658255227108868</v>
      </c>
      <c r="CD18" s="59">
        <f t="shared" si="44"/>
        <v>0.23792357606344627</v>
      </c>
      <c r="CE18" s="59">
        <f t="shared" si="45"/>
        <v>0.1658255227108868</v>
      </c>
      <c r="CF18" s="59">
        <f t="shared" si="46"/>
        <v>0.23792357606344627</v>
      </c>
      <c r="CG18" s="85">
        <f t="shared" si="47"/>
        <v>0.1658255227108868</v>
      </c>
      <c r="CH18" s="85">
        <f t="shared" si="48"/>
        <v>0.23792357606344627</v>
      </c>
    </row>
    <row r="19" spans="1:86">
      <c r="A19" s="19">
        <v>15</v>
      </c>
      <c r="B19" s="3" t="s">
        <v>272</v>
      </c>
      <c r="C19" s="3" t="s">
        <v>80</v>
      </c>
      <c r="D19" s="54">
        <v>484.02645869999998</v>
      </c>
      <c r="E19" s="54">
        <v>5062.777771</v>
      </c>
      <c r="F19" s="54">
        <v>16987.925930000001</v>
      </c>
      <c r="G19" s="54">
        <v>962.05291750000004</v>
      </c>
      <c r="H19" s="54">
        <v>4899.2645869999997</v>
      </c>
      <c r="I19" s="54">
        <v>8232.449783</v>
      </c>
      <c r="J19" s="54">
        <v>8522.9630429999997</v>
      </c>
      <c r="K19" s="54">
        <f t="shared" si="1"/>
        <v>45151.460490199999</v>
      </c>
      <c r="L19" s="54">
        <v>0</v>
      </c>
      <c r="M19" s="54">
        <v>481.02600000000001</v>
      </c>
      <c r="N19" s="54">
        <v>681.45399999999995</v>
      </c>
      <c r="O19" s="54">
        <v>0</v>
      </c>
      <c r="P19" s="54">
        <v>962.053</v>
      </c>
      <c r="Q19" s="54">
        <v>0</v>
      </c>
      <c r="R19" s="54">
        <v>0</v>
      </c>
      <c r="S19" s="54">
        <v>2124.5300000000002</v>
      </c>
      <c r="T19" s="54">
        <v>0</v>
      </c>
      <c r="U19" s="54">
        <v>0</v>
      </c>
      <c r="V19" s="54">
        <v>721.54</v>
      </c>
      <c r="W19" s="54">
        <v>0</v>
      </c>
      <c r="X19" s="54">
        <v>0</v>
      </c>
      <c r="Y19" s="54">
        <v>0</v>
      </c>
      <c r="Z19" s="54">
        <v>0</v>
      </c>
      <c r="AA19" s="57">
        <v>721.54</v>
      </c>
      <c r="AB19" s="54">
        <v>8417.9599999999991</v>
      </c>
      <c r="AC19" s="54">
        <v>8177.45</v>
      </c>
      <c r="AD19" s="57">
        <v>16595.400000000001</v>
      </c>
      <c r="AE19" s="82">
        <v>7969.2596685000008</v>
      </c>
      <c r="AF19" s="82">
        <v>275</v>
      </c>
      <c r="AG19" s="61">
        <v>7.504716703602738</v>
      </c>
      <c r="AH19" s="54">
        <f t="shared" si="40"/>
        <v>16446934.941123381</v>
      </c>
      <c r="AI19" s="54">
        <f t="shared" si="2"/>
        <v>31242.120664200007</v>
      </c>
      <c r="AJ19" s="54">
        <f t="shared" si="24"/>
        <v>47997.533490200003</v>
      </c>
      <c r="AK19" s="54">
        <v>17709.465930000002</v>
      </c>
      <c r="AL19" s="54">
        <f t="shared" si="3"/>
        <v>9740.2062615000013</v>
      </c>
      <c r="AM19" s="54">
        <f t="shared" si="4"/>
        <v>7969.2596685000008</v>
      </c>
      <c r="AN19" s="54">
        <f t="shared" si="25"/>
        <v>5546.8042297000002</v>
      </c>
      <c r="AO19" s="57">
        <f t="shared" si="26"/>
        <v>4899.2645869999997</v>
      </c>
      <c r="AP19" s="57">
        <f t="shared" si="27"/>
        <v>962.05291750000004</v>
      </c>
      <c r="AQ19" s="57">
        <f t="shared" si="28"/>
        <v>1643.5070000000001</v>
      </c>
      <c r="AR19" s="57">
        <f t="shared" si="29"/>
        <v>481.02600000000001</v>
      </c>
      <c r="AS19" s="57">
        <f t="shared" si="30"/>
        <v>8522.9630429999997</v>
      </c>
      <c r="AT19" s="57">
        <f t="shared" si="31"/>
        <v>8232.449783</v>
      </c>
      <c r="AU19" s="58">
        <f t="shared" si="41"/>
        <v>0.31321126518579318</v>
      </c>
      <c r="AV19" s="58">
        <f t="shared" si="42"/>
        <v>0.16603477489373783</v>
      </c>
      <c r="AW19" s="54">
        <v>250</v>
      </c>
      <c r="AX19" s="54">
        <v>350</v>
      </c>
      <c r="AY19" s="54">
        <v>20</v>
      </c>
      <c r="AZ19" s="54">
        <v>200</v>
      </c>
      <c r="BA19" s="54">
        <v>300</v>
      </c>
      <c r="BB19" s="58">
        <v>3.8</v>
      </c>
      <c r="BC19" s="58">
        <f t="shared" si="49"/>
        <v>0.17605073223371023</v>
      </c>
      <c r="BD19" s="58">
        <v>0.65</v>
      </c>
      <c r="BE19" s="58">
        <f>Z19/AC19</f>
        <v>0</v>
      </c>
      <c r="BF19" s="58">
        <f>Y19/AB19</f>
        <v>0</v>
      </c>
      <c r="BG19" s="58">
        <f t="shared" si="50"/>
        <v>5.3383884941243201E-2</v>
      </c>
      <c r="BH19" s="60">
        <v>3.5000000000000003E-2</v>
      </c>
      <c r="BI19" s="60">
        <v>0.21129999999999999</v>
      </c>
      <c r="BJ19" s="60">
        <v>0.04</v>
      </c>
      <c r="BK19" s="22">
        <v>1.1000000000000001</v>
      </c>
      <c r="BL19" s="22">
        <f t="shared" ref="BL19:BL30" si="51">(D19+T19)/(AN19)</f>
        <v>8.7262221390167691E-2</v>
      </c>
      <c r="BM19" s="58">
        <v>0.95</v>
      </c>
      <c r="BN19" s="58">
        <v>0.52944999999999998</v>
      </c>
      <c r="BO19" s="58">
        <v>0.51286999999999994</v>
      </c>
      <c r="BP19" s="58">
        <v>11.304</v>
      </c>
      <c r="BQ19" s="58">
        <v>12.990400000000001</v>
      </c>
      <c r="BR19" s="61">
        <v>18.46</v>
      </c>
      <c r="BS19" s="58">
        <v>0.2</v>
      </c>
      <c r="BT19" s="58">
        <v>0</v>
      </c>
      <c r="BU19" s="58">
        <v>0.48</v>
      </c>
      <c r="BV19" s="58">
        <v>0.32</v>
      </c>
      <c r="BW19" s="54">
        <f t="shared" si="34"/>
        <v>250</v>
      </c>
      <c r="BX19" s="54">
        <f t="shared" si="35"/>
        <v>350</v>
      </c>
      <c r="BY19" s="54">
        <f t="shared" si="19"/>
        <v>200</v>
      </c>
      <c r="BZ19" s="54">
        <f t="shared" si="20"/>
        <v>280</v>
      </c>
      <c r="CA19" s="54">
        <f>((BW19*N19)+(P19*BY19))/(N19+P19)</f>
        <v>220.73170360698188</v>
      </c>
      <c r="CB19" s="54">
        <f>(((L19+M19)*BX19)+(BZ19*O19))/(M19+O19+L19)</f>
        <v>350</v>
      </c>
      <c r="CC19" s="59">
        <f t="shared" si="43"/>
        <v>0.1658255227108868</v>
      </c>
      <c r="CD19" s="59">
        <f t="shared" si="44"/>
        <v>0.23792357606344627</v>
      </c>
      <c r="CE19" s="59">
        <f t="shared" si="45"/>
        <v>0.1658255227108868</v>
      </c>
      <c r="CF19" s="59">
        <f t="shared" si="46"/>
        <v>0.23792357606344627</v>
      </c>
      <c r="CG19" s="85">
        <f t="shared" si="47"/>
        <v>0.1658255227108868</v>
      </c>
      <c r="CH19" s="85">
        <f t="shared" si="48"/>
        <v>0.23792357606344627</v>
      </c>
    </row>
    <row r="20" spans="1:86">
      <c r="A20" s="19">
        <v>16</v>
      </c>
      <c r="B20" s="3" t="s">
        <v>273</v>
      </c>
      <c r="C20" s="3" t="s">
        <v>80</v>
      </c>
      <c r="D20" s="54">
        <v>20</v>
      </c>
      <c r="E20" s="54">
        <v>1196.347992</v>
      </c>
      <c r="F20" s="54">
        <v>2730.5329280000001</v>
      </c>
      <c r="G20" s="54">
        <v>80</v>
      </c>
      <c r="H20" s="54">
        <v>508.8370056</v>
      </c>
      <c r="I20" s="54">
        <v>649.6740112</v>
      </c>
      <c r="J20" s="54">
        <v>690.6740112</v>
      </c>
      <c r="K20" s="54">
        <f t="shared" si="1"/>
        <v>5876.0659479999995</v>
      </c>
      <c r="L20" s="54">
        <v>0</v>
      </c>
      <c r="M20" s="54">
        <v>0</v>
      </c>
      <c r="N20" s="54">
        <v>0</v>
      </c>
      <c r="O20" s="54">
        <v>0</v>
      </c>
      <c r="P20" s="54">
        <v>0</v>
      </c>
      <c r="Q20" s="54">
        <v>0</v>
      </c>
      <c r="R20" s="54">
        <v>0</v>
      </c>
      <c r="S20" s="54">
        <v>0</v>
      </c>
      <c r="T20" s="54">
        <v>0</v>
      </c>
      <c r="U20" s="54">
        <v>61.519300000000001</v>
      </c>
      <c r="V20" s="54">
        <v>0</v>
      </c>
      <c r="W20" s="54">
        <v>0</v>
      </c>
      <c r="X20" s="54">
        <v>0</v>
      </c>
      <c r="Y20" s="54">
        <v>0</v>
      </c>
      <c r="Z20" s="54">
        <v>0</v>
      </c>
      <c r="AA20" s="57">
        <v>61.519300000000001</v>
      </c>
      <c r="AB20" s="54">
        <v>553.67399999999998</v>
      </c>
      <c r="AC20" s="54">
        <v>553.67399999999998</v>
      </c>
      <c r="AD20" s="57">
        <v>1107.3499999999999</v>
      </c>
      <c r="AE20" s="82">
        <v>1228.7398176000002</v>
      </c>
      <c r="AF20" s="82">
        <v>275</v>
      </c>
      <c r="AG20" s="61">
        <v>9.0577283779089957</v>
      </c>
      <c r="AH20" s="54">
        <f t="shared" si="40"/>
        <v>3060637.6666091168</v>
      </c>
      <c r="AI20" s="54">
        <f t="shared" si="2"/>
        <v>4597.2372255999999</v>
      </c>
      <c r="AJ20" s="54">
        <f t="shared" si="24"/>
        <v>5937.5852479999994</v>
      </c>
      <c r="AK20" s="54">
        <v>2730.5329280000001</v>
      </c>
      <c r="AL20" s="54">
        <f t="shared" si="3"/>
        <v>1501.7931103999999</v>
      </c>
      <c r="AM20" s="54">
        <f t="shared" si="4"/>
        <v>1228.7398176000002</v>
      </c>
      <c r="AN20" s="54">
        <f t="shared" si="25"/>
        <v>1277.8672919999999</v>
      </c>
      <c r="AO20" s="57">
        <f t="shared" si="26"/>
        <v>508.8370056</v>
      </c>
      <c r="AP20" s="57">
        <f t="shared" si="27"/>
        <v>80</v>
      </c>
      <c r="AQ20" s="57">
        <f t="shared" si="28"/>
        <v>0</v>
      </c>
      <c r="AR20" s="57">
        <f t="shared" si="29"/>
        <v>0</v>
      </c>
      <c r="AS20" s="57">
        <f t="shared" si="30"/>
        <v>690.6740112</v>
      </c>
      <c r="AT20" s="57">
        <f t="shared" si="31"/>
        <v>649.6740112</v>
      </c>
      <c r="AU20" s="58">
        <f t="shared" si="41"/>
        <v>0.46799189963842835</v>
      </c>
      <c r="AV20" s="58">
        <f t="shared" si="42"/>
        <v>0.20694268229898435</v>
      </c>
      <c r="AW20" s="54">
        <v>250</v>
      </c>
      <c r="AX20" s="54">
        <v>350</v>
      </c>
      <c r="AY20" s="54">
        <v>20</v>
      </c>
      <c r="AZ20" s="54">
        <v>200</v>
      </c>
      <c r="BA20" s="54">
        <v>300</v>
      </c>
      <c r="BB20" s="58">
        <v>3.8</v>
      </c>
      <c r="BC20" s="58">
        <f t="shared" si="49"/>
        <v>0.1</v>
      </c>
      <c r="BD20" s="58">
        <v>0.65</v>
      </c>
      <c r="BE20" s="58">
        <f>Z20/AC20</f>
        <v>0</v>
      </c>
      <c r="BF20" s="58">
        <f>Y20/AB20</f>
        <v>0</v>
      </c>
      <c r="BG20" s="58">
        <f t="shared" si="50"/>
        <v>2.4542857061399279E-2</v>
      </c>
      <c r="BH20" s="60">
        <v>3.5000000000000003E-2</v>
      </c>
      <c r="BI20" s="60">
        <v>0.21129999999999999</v>
      </c>
      <c r="BJ20" s="60">
        <v>0.04</v>
      </c>
      <c r="BK20" s="22">
        <v>1.1000000000000001</v>
      </c>
      <c r="BL20" s="22">
        <f t="shared" si="51"/>
        <v>1.5651077482934747E-2</v>
      </c>
      <c r="BM20" s="58">
        <v>0.95</v>
      </c>
      <c r="BN20" s="58">
        <v>0.52944999999999998</v>
      </c>
      <c r="BO20" s="58">
        <v>0.51286999999999994</v>
      </c>
      <c r="BP20" s="58">
        <v>11.304</v>
      </c>
      <c r="BQ20" s="58">
        <v>12.990400000000001</v>
      </c>
      <c r="BR20" s="61">
        <v>18.46</v>
      </c>
      <c r="BS20" s="58">
        <v>0.2</v>
      </c>
      <c r="BT20" s="58">
        <v>0</v>
      </c>
      <c r="BU20" s="58">
        <v>0.48</v>
      </c>
      <c r="BV20" s="58">
        <v>0.32</v>
      </c>
      <c r="BW20" s="54">
        <f t="shared" si="34"/>
        <v>250</v>
      </c>
      <c r="BX20" s="54">
        <f t="shared" si="35"/>
        <v>350</v>
      </c>
      <c r="BY20" s="54">
        <f t="shared" si="19"/>
        <v>200</v>
      </c>
      <c r="BZ20" s="54">
        <f t="shared" si="20"/>
        <v>280</v>
      </c>
      <c r="CA20" s="54"/>
      <c r="CB20" s="54"/>
      <c r="CC20" s="59">
        <f t="shared" si="43"/>
        <v>0.1658255227108868</v>
      </c>
      <c r="CD20" s="59">
        <f t="shared" si="44"/>
        <v>0.23792357606344627</v>
      </c>
      <c r="CE20" s="59">
        <f t="shared" si="45"/>
        <v>0.1658255227108868</v>
      </c>
      <c r="CF20" s="59">
        <f t="shared" si="46"/>
        <v>0.23792357606344627</v>
      </c>
      <c r="CG20" s="85">
        <f t="shared" si="47"/>
        <v>0.1658255227108868</v>
      </c>
      <c r="CH20" s="85">
        <f t="shared" si="48"/>
        <v>0.23792357606344627</v>
      </c>
    </row>
    <row r="21" spans="1:86">
      <c r="A21" s="19">
        <v>17</v>
      </c>
      <c r="B21" s="3" t="s">
        <v>274</v>
      </c>
      <c r="C21" s="3" t="s">
        <v>78</v>
      </c>
      <c r="D21" s="54">
        <v>1493.492737</v>
      </c>
      <c r="E21" s="54">
        <v>5860.0693970000002</v>
      </c>
      <c r="F21" s="54">
        <v>35897.810579999998</v>
      </c>
      <c r="G21" s="54">
        <v>1665.591248</v>
      </c>
      <c r="H21" s="54">
        <v>13316.730009999999</v>
      </c>
      <c r="I21" s="54">
        <v>10814.84317</v>
      </c>
      <c r="J21" s="54">
        <v>20492.292079999999</v>
      </c>
      <c r="K21" s="54">
        <f t="shared" si="1"/>
        <v>89540.829221999986</v>
      </c>
      <c r="L21" s="54">
        <v>0</v>
      </c>
      <c r="M21" s="54">
        <v>275.09899999999999</v>
      </c>
      <c r="N21" s="54">
        <v>4309.88</v>
      </c>
      <c r="O21" s="54">
        <v>0</v>
      </c>
      <c r="P21" s="54">
        <v>0</v>
      </c>
      <c r="Q21" s="54">
        <v>1100.3900000000001</v>
      </c>
      <c r="R21" s="54">
        <v>550.197</v>
      </c>
      <c r="S21" s="54">
        <v>6235.57</v>
      </c>
      <c r="T21" s="54">
        <v>0</v>
      </c>
      <c r="U21" s="54">
        <v>275.09899999999999</v>
      </c>
      <c r="V21" s="54">
        <v>3576.28</v>
      </c>
      <c r="W21" s="54">
        <v>0</v>
      </c>
      <c r="X21" s="54">
        <v>550.197</v>
      </c>
      <c r="Y21" s="54">
        <v>825.29600000000005</v>
      </c>
      <c r="Z21" s="54">
        <v>0</v>
      </c>
      <c r="AA21" s="57">
        <v>5226.87</v>
      </c>
      <c r="AB21" s="54">
        <v>21110.799999999999</v>
      </c>
      <c r="AC21" s="54">
        <v>11003.9</v>
      </c>
      <c r="AD21" s="57">
        <v>32114.799999999999</v>
      </c>
      <c r="AE21" s="82">
        <v>17763.340760999999</v>
      </c>
      <c r="AF21" s="82">
        <v>275</v>
      </c>
      <c r="AG21" s="61">
        <v>8.7796596594129674</v>
      </c>
      <c r="AH21" s="54">
        <f t="shared" si="40"/>
        <v>42887923.731333375</v>
      </c>
      <c r="AI21" s="54">
        <f t="shared" si="2"/>
        <v>68870.835972000001</v>
      </c>
      <c r="AJ21" s="54">
        <f t="shared" si="24"/>
        <v>101003.26722199999</v>
      </c>
      <c r="AK21" s="54">
        <v>39474.090579999996</v>
      </c>
      <c r="AL21" s="54">
        <f t="shared" si="3"/>
        <v>21710.749818999997</v>
      </c>
      <c r="AM21" s="54">
        <f t="shared" si="4"/>
        <v>17763.340760999999</v>
      </c>
      <c r="AN21" s="54">
        <f t="shared" si="25"/>
        <v>7628.6611339999999</v>
      </c>
      <c r="AO21" s="57">
        <f t="shared" si="26"/>
        <v>13866.927009999999</v>
      </c>
      <c r="AP21" s="57">
        <f t="shared" si="27"/>
        <v>1665.591248</v>
      </c>
      <c r="AQ21" s="57">
        <f t="shared" si="28"/>
        <v>4860.0770000000002</v>
      </c>
      <c r="AR21" s="57">
        <f t="shared" si="29"/>
        <v>1375.489</v>
      </c>
      <c r="AS21" s="57">
        <f t="shared" si="30"/>
        <v>20492.292079999999</v>
      </c>
      <c r="AT21" s="57">
        <f t="shared" si="31"/>
        <v>11640.13917</v>
      </c>
      <c r="AU21" s="58">
        <f t="shared" si="41"/>
        <v>0.19325742586873298</v>
      </c>
      <c r="AV21" s="58">
        <f t="shared" si="42"/>
        <v>0.17586897186164374</v>
      </c>
      <c r="AW21" s="54">
        <v>250</v>
      </c>
      <c r="AX21" s="54">
        <v>350</v>
      </c>
      <c r="AY21" s="54">
        <v>20</v>
      </c>
      <c r="AZ21" s="54">
        <v>200</v>
      </c>
      <c r="BA21" s="54">
        <v>300</v>
      </c>
      <c r="BB21" s="58">
        <v>3.8</v>
      </c>
      <c r="BC21" s="58">
        <f t="shared" si="49"/>
        <v>0.44395702959852712</v>
      </c>
      <c r="BD21" s="58">
        <v>0.65</v>
      </c>
      <c r="BE21" s="58">
        <f>Z21/AC21</f>
        <v>0</v>
      </c>
      <c r="BF21" s="58">
        <f>Y21/AB21</f>
        <v>3.9093544536445805E-2</v>
      </c>
      <c r="BG21" s="58">
        <f t="shared" si="50"/>
        <v>0.15167685541006456</v>
      </c>
      <c r="BH21" s="60">
        <v>3.5000000000000003E-2</v>
      </c>
      <c r="BI21" s="60">
        <v>0.21129999999999999</v>
      </c>
      <c r="BJ21" s="60">
        <v>0.04</v>
      </c>
      <c r="BK21" s="22">
        <v>1.1000000000000001</v>
      </c>
      <c r="BL21" s="22">
        <f t="shared" si="51"/>
        <v>0.19577389934698861</v>
      </c>
      <c r="BM21" s="58">
        <v>0.95</v>
      </c>
      <c r="BN21" s="58">
        <v>0.53874999999999995</v>
      </c>
      <c r="BO21" s="58">
        <v>0.51434000000000002</v>
      </c>
      <c r="BP21" s="58">
        <v>13.6328</v>
      </c>
      <c r="BQ21" s="58">
        <v>13.055680000000001</v>
      </c>
      <c r="BR21" s="61">
        <v>18.603999999999999</v>
      </c>
      <c r="BS21" s="58">
        <v>0</v>
      </c>
      <c r="BT21" s="58">
        <v>0.75</v>
      </c>
      <c r="BU21" s="58">
        <v>0</v>
      </c>
      <c r="BV21" s="58">
        <v>0.25</v>
      </c>
      <c r="BW21" s="54">
        <f t="shared" si="34"/>
        <v>250</v>
      </c>
      <c r="BX21" s="54">
        <f t="shared" si="35"/>
        <v>350</v>
      </c>
      <c r="BY21" s="54">
        <f t="shared" si="19"/>
        <v>200</v>
      </c>
      <c r="BZ21" s="54">
        <f t="shared" si="20"/>
        <v>280</v>
      </c>
      <c r="CA21" s="54">
        <f>((BW21*N21)+(P21*BY21))/(N21+P21)</f>
        <v>250</v>
      </c>
      <c r="CB21" s="54">
        <f>(((L21+M21)*BX21)+(BZ21*O21))/(M21+O21+L21)</f>
        <v>350</v>
      </c>
      <c r="CC21" s="59">
        <f t="shared" si="43"/>
        <v>0.1658255227108868</v>
      </c>
      <c r="CD21" s="59">
        <f t="shared" si="44"/>
        <v>0.23792357606344627</v>
      </c>
      <c r="CE21" s="59">
        <f t="shared" si="45"/>
        <v>0.1658255227108868</v>
      </c>
      <c r="CF21" s="59">
        <f t="shared" si="46"/>
        <v>0.23792357606344627</v>
      </c>
      <c r="CG21" s="85">
        <f t="shared" si="47"/>
        <v>0.1658255227108868</v>
      </c>
      <c r="CH21" s="85">
        <f t="shared" si="48"/>
        <v>0.23792357606344627</v>
      </c>
    </row>
    <row r="22" spans="1:86">
      <c r="A22" s="19">
        <v>18</v>
      </c>
      <c r="B22" s="3" t="s">
        <v>275</v>
      </c>
      <c r="C22" s="3" t="s">
        <v>79</v>
      </c>
      <c r="D22" s="54">
        <v>225.67350769999999</v>
      </c>
      <c r="E22" s="54">
        <v>564.18376920000003</v>
      </c>
      <c r="F22" s="54">
        <v>4407.6335369999997</v>
      </c>
      <c r="G22" s="54">
        <v>789.85729979999996</v>
      </c>
      <c r="H22" s="54">
        <v>3615.7761540000001</v>
      </c>
      <c r="I22" s="54">
        <v>906.69405359999996</v>
      </c>
      <c r="J22" s="54">
        <v>1810.388107</v>
      </c>
      <c r="K22" s="54">
        <f t="shared" si="1"/>
        <v>12320.206428300002</v>
      </c>
      <c r="L22" s="54">
        <v>0</v>
      </c>
      <c r="M22" s="54">
        <v>112.837</v>
      </c>
      <c r="N22" s="54">
        <v>1579.71</v>
      </c>
      <c r="O22" s="54">
        <v>338.51</v>
      </c>
      <c r="P22" s="54">
        <v>225.67400000000001</v>
      </c>
      <c r="Q22" s="54">
        <v>0</v>
      </c>
      <c r="R22" s="54">
        <v>0</v>
      </c>
      <c r="S22" s="54">
        <v>2256.7399999999998</v>
      </c>
      <c r="T22" s="54">
        <v>0</v>
      </c>
      <c r="U22" s="54">
        <v>0</v>
      </c>
      <c r="V22" s="54">
        <v>338.51</v>
      </c>
      <c r="W22" s="54">
        <v>0</v>
      </c>
      <c r="X22" s="54">
        <v>451.34699999999998</v>
      </c>
      <c r="Y22" s="54">
        <v>0</v>
      </c>
      <c r="Z22" s="54">
        <v>169.255</v>
      </c>
      <c r="AA22" s="57">
        <v>959.11199999999997</v>
      </c>
      <c r="AB22" s="54">
        <v>2031.06</v>
      </c>
      <c r="AC22" s="54">
        <v>789.85699999999997</v>
      </c>
      <c r="AD22" s="57">
        <v>2820.92</v>
      </c>
      <c r="AE22" s="82">
        <v>2135.7645916500001</v>
      </c>
      <c r="AF22" s="82">
        <v>275</v>
      </c>
      <c r="AG22" s="61">
        <v>9.5211584071901143</v>
      </c>
      <c r="AH22" s="54">
        <f t="shared" si="40"/>
        <v>5592112.0743310237</v>
      </c>
      <c r="AI22" s="54">
        <f t="shared" si="2"/>
        <v>12649.712267699999</v>
      </c>
      <c r="AJ22" s="54">
        <f t="shared" si="24"/>
        <v>15536.049428299999</v>
      </c>
      <c r="AK22" s="54">
        <v>4746.1435369999999</v>
      </c>
      <c r="AL22" s="54">
        <f t="shared" si="3"/>
        <v>2610.3789453499999</v>
      </c>
      <c r="AM22" s="54">
        <f t="shared" si="4"/>
        <v>2135.7645916500001</v>
      </c>
      <c r="AN22" s="54">
        <f t="shared" si="25"/>
        <v>789.85727689999999</v>
      </c>
      <c r="AO22" s="57">
        <f t="shared" si="26"/>
        <v>4067.1231539999999</v>
      </c>
      <c r="AP22" s="57">
        <f t="shared" si="27"/>
        <v>789.85729979999996</v>
      </c>
      <c r="AQ22" s="57">
        <f t="shared" si="28"/>
        <v>1805.384</v>
      </c>
      <c r="AR22" s="57">
        <f t="shared" si="29"/>
        <v>451.34699999999998</v>
      </c>
      <c r="AS22" s="57">
        <f t="shared" si="30"/>
        <v>1979.6431069999999</v>
      </c>
      <c r="AT22" s="57">
        <f t="shared" si="31"/>
        <v>906.69405359999996</v>
      </c>
      <c r="AU22" s="58">
        <f t="shared" si="41"/>
        <v>0.16642085742717813</v>
      </c>
      <c r="AV22" s="58">
        <f t="shared" si="42"/>
        <v>0.13747153686055838</v>
      </c>
      <c r="AW22" s="54">
        <v>250</v>
      </c>
      <c r="AX22" s="54">
        <v>350</v>
      </c>
      <c r="AY22" s="54">
        <v>20</v>
      </c>
      <c r="AZ22" s="54">
        <v>200</v>
      </c>
      <c r="BA22" s="54">
        <v>300</v>
      </c>
      <c r="BB22" s="58">
        <v>3.8</v>
      </c>
      <c r="BC22" s="58">
        <f t="shared" si="49"/>
        <v>0.89814205530866376</v>
      </c>
      <c r="BD22" s="58">
        <v>0.65</v>
      </c>
      <c r="BE22" s="58">
        <f>Z22/AC22</f>
        <v>0.21428562385343169</v>
      </c>
      <c r="BF22" s="58">
        <f>Y22/AB22</f>
        <v>0</v>
      </c>
      <c r="BG22" s="58">
        <f t="shared" si="50"/>
        <v>0.11570531504393379</v>
      </c>
      <c r="BH22" s="60">
        <v>3.5000000000000003E-2</v>
      </c>
      <c r="BI22" s="60">
        <v>0.21129999999999999</v>
      </c>
      <c r="BJ22" s="60">
        <v>0.04</v>
      </c>
      <c r="BK22" s="22">
        <v>1.1000000000000001</v>
      </c>
      <c r="BL22" s="22">
        <f t="shared" si="51"/>
        <v>0.28571428573237218</v>
      </c>
      <c r="BM22" s="58">
        <v>0.95</v>
      </c>
      <c r="BN22" s="58">
        <v>0.58235999999999999</v>
      </c>
      <c r="BO22" s="58">
        <v>0.52346000000000004</v>
      </c>
      <c r="BP22" s="58">
        <v>15.020800000000001</v>
      </c>
      <c r="BQ22" s="58">
        <v>13.415999999999997</v>
      </c>
      <c r="BR22" s="61">
        <v>18.489999999999998</v>
      </c>
      <c r="BS22" s="58">
        <v>0</v>
      </c>
      <c r="BT22" s="58">
        <v>0</v>
      </c>
      <c r="BU22" s="58">
        <v>0.6</v>
      </c>
      <c r="BV22" s="58">
        <v>0.4</v>
      </c>
      <c r="BW22" s="54">
        <f t="shared" si="34"/>
        <v>250</v>
      </c>
      <c r="BX22" s="54">
        <f t="shared" si="35"/>
        <v>350</v>
      </c>
      <c r="BY22" s="54">
        <f t="shared" si="19"/>
        <v>200</v>
      </c>
      <c r="BZ22" s="54">
        <f t="shared" si="20"/>
        <v>280</v>
      </c>
      <c r="CA22" s="54">
        <f>((BW22*N22)+(P22*BY22))/(N22+P22)</f>
        <v>243.74997230506085</v>
      </c>
      <c r="CB22" s="54">
        <f>(((L22+M22)*BX22)+(BZ22*O22))/(M22+O22+L22)</f>
        <v>297.50003877282887</v>
      </c>
      <c r="CC22" s="59">
        <f t="shared" si="43"/>
        <v>0.1658255227108868</v>
      </c>
      <c r="CD22" s="59">
        <f t="shared" si="44"/>
        <v>0.23792357606344627</v>
      </c>
      <c r="CE22" s="59">
        <f t="shared" si="45"/>
        <v>0.1658255227108868</v>
      </c>
      <c r="CF22" s="59">
        <f t="shared" si="46"/>
        <v>0.23792357606344627</v>
      </c>
      <c r="CG22" s="85">
        <f t="shared" si="47"/>
        <v>0.1658255227108868</v>
      </c>
      <c r="CH22" s="85">
        <f t="shared" si="48"/>
        <v>0.23792357606344627</v>
      </c>
    </row>
    <row r="23" spans="1:86">
      <c r="A23" s="19">
        <v>19</v>
      </c>
      <c r="B23" s="3" t="s">
        <v>276</v>
      </c>
      <c r="C23" s="3" t="s">
        <v>79</v>
      </c>
      <c r="D23" s="54">
        <v>1428.9017329999999</v>
      </c>
      <c r="E23" s="54">
        <v>1266.9017329999999</v>
      </c>
      <c r="F23" s="54">
        <v>7595.4103999999998</v>
      </c>
      <c r="G23" s="54">
        <v>1800.352539</v>
      </c>
      <c r="H23" s="54">
        <v>2781.8034670000002</v>
      </c>
      <c r="I23" s="54">
        <v>735.45086670000001</v>
      </c>
      <c r="J23" s="54">
        <v>3720.7051390000001</v>
      </c>
      <c r="K23" s="54">
        <f t="shared" si="1"/>
        <v>19329.525877700002</v>
      </c>
      <c r="L23" s="54">
        <v>0</v>
      </c>
      <c r="M23" s="54">
        <v>297.72500000000002</v>
      </c>
      <c r="N23" s="54">
        <v>476.36099999999999</v>
      </c>
      <c r="O23" s="54">
        <v>0</v>
      </c>
      <c r="P23" s="54">
        <v>595.45100000000002</v>
      </c>
      <c r="Q23" s="54">
        <v>1190.9000000000001</v>
      </c>
      <c r="R23" s="54">
        <v>0</v>
      </c>
      <c r="S23" s="54">
        <v>2560.44</v>
      </c>
      <c r="T23" s="54">
        <v>0</v>
      </c>
      <c r="U23" s="54">
        <v>148.863</v>
      </c>
      <c r="V23" s="54">
        <v>0</v>
      </c>
      <c r="W23" s="54">
        <v>0</v>
      </c>
      <c r="X23" s="54">
        <v>0</v>
      </c>
      <c r="Y23" s="54">
        <v>0</v>
      </c>
      <c r="Z23" s="54">
        <v>0</v>
      </c>
      <c r="AA23" s="57">
        <v>148.863</v>
      </c>
      <c r="AB23" s="54">
        <v>5259.82</v>
      </c>
      <c r="AC23" s="54">
        <v>595.45100000000002</v>
      </c>
      <c r="AD23" s="57">
        <v>5855.27</v>
      </c>
      <c r="AE23" s="82">
        <v>3417.9346799999998</v>
      </c>
      <c r="AF23" s="82">
        <v>275</v>
      </c>
      <c r="AG23" s="61">
        <v>10.511935703146866</v>
      </c>
      <c r="AH23" s="54">
        <f t="shared" si="40"/>
        <v>9880505.1382718608</v>
      </c>
      <c r="AI23" s="54">
        <f t="shared" si="2"/>
        <v>17582.669871999999</v>
      </c>
      <c r="AJ23" s="54">
        <f t="shared" si="24"/>
        <v>22038.825877700001</v>
      </c>
      <c r="AK23" s="54">
        <v>7595.4103999999998</v>
      </c>
      <c r="AL23" s="54">
        <f t="shared" si="3"/>
        <v>4177.4757200000004</v>
      </c>
      <c r="AM23" s="54">
        <f t="shared" si="4"/>
        <v>3417.9346799999998</v>
      </c>
      <c r="AN23" s="54">
        <f t="shared" si="25"/>
        <v>2844.6664659999997</v>
      </c>
      <c r="AO23" s="57">
        <f t="shared" si="26"/>
        <v>2781.8034670000002</v>
      </c>
      <c r="AP23" s="57">
        <f t="shared" si="27"/>
        <v>1800.352539</v>
      </c>
      <c r="AQ23" s="57">
        <f t="shared" si="28"/>
        <v>1071.8119999999999</v>
      </c>
      <c r="AR23" s="57">
        <f t="shared" si="29"/>
        <v>1488.625</v>
      </c>
      <c r="AS23" s="57">
        <f t="shared" si="30"/>
        <v>3720.7051390000001</v>
      </c>
      <c r="AT23" s="57">
        <f t="shared" si="31"/>
        <v>735.45086670000001</v>
      </c>
      <c r="AU23" s="58">
        <f t="shared" si="41"/>
        <v>0.37452439251998809</v>
      </c>
      <c r="AV23" s="58">
        <f t="shared" si="42"/>
        <v>0.15508696783427284</v>
      </c>
      <c r="AW23" s="54">
        <v>250</v>
      </c>
      <c r="AX23" s="54">
        <v>350</v>
      </c>
      <c r="AY23" s="54">
        <v>20</v>
      </c>
      <c r="AZ23" s="54">
        <v>200</v>
      </c>
      <c r="BA23" s="54">
        <v>300</v>
      </c>
      <c r="BB23" s="58">
        <v>3.8</v>
      </c>
      <c r="BC23" s="58">
        <f t="shared" si="49"/>
        <v>0.1393710075231748</v>
      </c>
      <c r="BD23" s="58">
        <v>0.65</v>
      </c>
      <c r="BE23" s="58">
        <f>Z23/AC23</f>
        <v>0</v>
      </c>
      <c r="BF23" s="58">
        <f>Y23/AB23</f>
        <v>0</v>
      </c>
      <c r="BG23" s="58">
        <f t="shared" si="50"/>
        <v>2.3770155009006224E-2</v>
      </c>
      <c r="BH23" s="60">
        <v>3.5000000000000003E-2</v>
      </c>
      <c r="BI23" s="60">
        <v>0.21129999999999999</v>
      </c>
      <c r="BJ23" s="60">
        <v>0.04</v>
      </c>
      <c r="BK23" s="22">
        <v>1.1000000000000001</v>
      </c>
      <c r="BL23" s="22">
        <f t="shared" si="51"/>
        <v>0.50230905804898673</v>
      </c>
      <c r="BM23" s="58">
        <v>0.95</v>
      </c>
      <c r="BN23" s="58">
        <v>0.58235999999999999</v>
      </c>
      <c r="BO23" s="58">
        <v>0.52346000000000004</v>
      </c>
      <c r="BP23" s="58">
        <v>15.020800000000001</v>
      </c>
      <c r="BQ23" s="58">
        <v>13.415999999999997</v>
      </c>
      <c r="BR23" s="61">
        <v>18.489999999999998</v>
      </c>
      <c r="BS23" s="58">
        <v>0</v>
      </c>
      <c r="BT23" s="58">
        <v>0</v>
      </c>
      <c r="BU23" s="58">
        <v>0.6</v>
      </c>
      <c r="BV23" s="58">
        <v>0.4</v>
      </c>
      <c r="BW23" s="54">
        <f t="shared" si="34"/>
        <v>250</v>
      </c>
      <c r="BX23" s="54">
        <f t="shared" si="35"/>
        <v>350</v>
      </c>
      <c r="BY23" s="54">
        <f t="shared" si="19"/>
        <v>200</v>
      </c>
      <c r="BZ23" s="54">
        <f t="shared" si="20"/>
        <v>280</v>
      </c>
      <c r="CA23" s="54">
        <f>((BW23*N23)+(P23*BY23))/(N23+P23)</f>
        <v>222.2222274055525</v>
      </c>
      <c r="CB23" s="54">
        <f>(((L23+M23)*BX23)+(BZ23*O23))/(M23+O23+L23)</f>
        <v>350</v>
      </c>
      <c r="CC23" s="59">
        <f t="shared" si="43"/>
        <v>0.1658255227108868</v>
      </c>
      <c r="CD23" s="59">
        <f t="shared" si="44"/>
        <v>0.23792357606344627</v>
      </c>
      <c r="CE23" s="59">
        <f t="shared" si="45"/>
        <v>0.1658255227108868</v>
      </c>
      <c r="CF23" s="59">
        <f t="shared" si="46"/>
        <v>0.23792357606344627</v>
      </c>
      <c r="CG23" s="85">
        <f t="shared" si="47"/>
        <v>0.1658255227108868</v>
      </c>
      <c r="CH23" s="85">
        <f t="shared" si="48"/>
        <v>0.23792357606344627</v>
      </c>
    </row>
    <row r="24" spans="1:86">
      <c r="A24" s="19">
        <v>20</v>
      </c>
      <c r="B24" s="3" t="s">
        <v>277</v>
      </c>
      <c r="C24" s="3" t="s">
        <v>79</v>
      </c>
      <c r="D24" s="54">
        <v>62</v>
      </c>
      <c r="E24" s="54">
        <v>1534.6186520000001</v>
      </c>
      <c r="F24" s="54">
        <v>3148.2373050000001</v>
      </c>
      <c r="G24" s="54">
        <v>32</v>
      </c>
      <c r="H24" s="54">
        <v>4646.8559569999998</v>
      </c>
      <c r="I24" s="54">
        <v>78</v>
      </c>
      <c r="J24" s="54">
        <v>68</v>
      </c>
      <c r="K24" s="54">
        <f t="shared" si="1"/>
        <v>9569.7119139999995</v>
      </c>
      <c r="L24" s="54">
        <v>0</v>
      </c>
      <c r="M24" s="54">
        <v>1525.62</v>
      </c>
      <c r="N24" s="54">
        <v>3051.24</v>
      </c>
      <c r="O24" s="54">
        <v>0</v>
      </c>
      <c r="P24" s="54">
        <v>0</v>
      </c>
      <c r="Q24" s="54">
        <v>0</v>
      </c>
      <c r="R24" s="54">
        <v>0</v>
      </c>
      <c r="S24" s="54">
        <v>4576.8599999999997</v>
      </c>
      <c r="T24" s="54">
        <v>0</v>
      </c>
      <c r="U24" s="54">
        <v>0</v>
      </c>
      <c r="V24" s="54">
        <v>0</v>
      </c>
      <c r="W24" s="54">
        <v>0</v>
      </c>
      <c r="X24" s="54">
        <v>0</v>
      </c>
      <c r="Y24" s="54">
        <v>0</v>
      </c>
      <c r="Z24" s="54">
        <v>0</v>
      </c>
      <c r="AA24" s="57">
        <v>0</v>
      </c>
      <c r="AB24" s="54">
        <v>0</v>
      </c>
      <c r="AC24" s="54">
        <v>0</v>
      </c>
      <c r="AD24" s="57">
        <v>0</v>
      </c>
      <c r="AE24" s="82">
        <v>1416.7067872500002</v>
      </c>
      <c r="AF24" s="82">
        <v>275</v>
      </c>
      <c r="AG24" s="61">
        <v>2.2500409634605933</v>
      </c>
      <c r="AH24" s="54">
        <f t="shared" si="40"/>
        <v>876603.2837444169</v>
      </c>
      <c r="AI24" s="54">
        <f t="shared" si="2"/>
        <v>14000.571914</v>
      </c>
      <c r="AJ24" s="54">
        <f t="shared" si="24"/>
        <v>14146.571914</v>
      </c>
      <c r="AK24" s="54">
        <v>3148.2373050000001</v>
      </c>
      <c r="AL24" s="54">
        <f t="shared" si="3"/>
        <v>1731.5305177499999</v>
      </c>
      <c r="AM24" s="54">
        <f t="shared" si="4"/>
        <v>1416.7067872500002</v>
      </c>
      <c r="AN24" s="54">
        <f t="shared" si="25"/>
        <v>1596.6186520000001</v>
      </c>
      <c r="AO24" s="57">
        <f t="shared" si="26"/>
        <v>4646.8559569999998</v>
      </c>
      <c r="AP24" s="57">
        <f t="shared" si="27"/>
        <v>32</v>
      </c>
      <c r="AQ24" s="57">
        <f t="shared" si="28"/>
        <v>3051.24</v>
      </c>
      <c r="AR24" s="57">
        <f t="shared" si="29"/>
        <v>1525.62</v>
      </c>
      <c r="AS24" s="57">
        <f t="shared" si="30"/>
        <v>68</v>
      </c>
      <c r="AT24" s="57">
        <f t="shared" si="31"/>
        <v>78</v>
      </c>
      <c r="AU24" s="58">
        <f t="shared" si="41"/>
        <v>0.50714685626279377</v>
      </c>
      <c r="AV24" s="58">
        <f t="shared" si="42"/>
        <v>0.10014488286366903</v>
      </c>
      <c r="AW24" s="54">
        <v>250</v>
      </c>
      <c r="AX24" s="54">
        <v>350</v>
      </c>
      <c r="AY24" s="54">
        <v>20</v>
      </c>
      <c r="AZ24" s="54">
        <v>200</v>
      </c>
      <c r="BA24" s="54">
        <v>300</v>
      </c>
      <c r="BB24" s="58">
        <v>3.8</v>
      </c>
      <c r="BC24" s="58">
        <f>IF(((N24+V24)/AM24)&gt;0.09,((N24+V24)/AM24),0.1)</f>
        <v>2.1537554753463324</v>
      </c>
      <c r="BD24" s="58">
        <v>0.65</v>
      </c>
      <c r="BE24" s="58"/>
      <c r="BF24" s="58"/>
      <c r="BG24" s="58">
        <f t="shared" si="50"/>
        <v>0</v>
      </c>
      <c r="BH24" s="60">
        <v>3.5000000000000003E-2</v>
      </c>
      <c r="BI24" s="60">
        <v>0.21129999999999999</v>
      </c>
      <c r="BJ24" s="60">
        <v>0.04</v>
      </c>
      <c r="BK24" s="22">
        <v>1.1000000000000001</v>
      </c>
      <c r="BL24" s="22">
        <f t="shared" si="51"/>
        <v>3.8832065454287322E-2</v>
      </c>
      <c r="BM24" s="58">
        <v>0.95</v>
      </c>
      <c r="BN24" s="58">
        <v>0.58235999999999999</v>
      </c>
      <c r="BO24" s="58">
        <v>0.52346000000000004</v>
      </c>
      <c r="BP24" s="58">
        <v>15.020800000000001</v>
      </c>
      <c r="BQ24" s="58">
        <v>13.415999999999997</v>
      </c>
      <c r="BR24" s="61">
        <v>18.489999999999998</v>
      </c>
      <c r="BS24" s="58">
        <v>0</v>
      </c>
      <c r="BT24" s="58">
        <v>0</v>
      </c>
      <c r="BU24" s="58">
        <v>0.6</v>
      </c>
      <c r="BV24" s="58">
        <v>0.4</v>
      </c>
      <c r="BW24" s="54">
        <f t="shared" si="34"/>
        <v>250</v>
      </c>
      <c r="BX24" s="54">
        <f t="shared" si="35"/>
        <v>350</v>
      </c>
      <c r="BY24" s="54">
        <f t="shared" si="19"/>
        <v>200</v>
      </c>
      <c r="BZ24" s="54">
        <f t="shared" si="20"/>
        <v>280</v>
      </c>
      <c r="CA24" s="54">
        <f>((BW24*N24)+(P24*BY24))/(N24+P24)</f>
        <v>250.00000000000003</v>
      </c>
      <c r="CB24" s="54">
        <f>(((L24+M24)*BX24)+(BZ24*O24))/(M24+O24+L24)</f>
        <v>350</v>
      </c>
      <c r="CC24" s="59">
        <f t="shared" si="43"/>
        <v>0.1658255227108868</v>
      </c>
      <c r="CD24" s="59">
        <f t="shared" si="44"/>
        <v>0.23792357606344627</v>
      </c>
      <c r="CE24" s="59">
        <f t="shared" si="45"/>
        <v>0.1658255227108868</v>
      </c>
      <c r="CF24" s="59">
        <f t="shared" si="46"/>
        <v>0.23792357606344627</v>
      </c>
      <c r="CG24" s="85">
        <f t="shared" si="47"/>
        <v>0.1658255227108868</v>
      </c>
      <c r="CH24" s="85">
        <f t="shared" si="48"/>
        <v>0.23792357606344627</v>
      </c>
    </row>
    <row r="25" spans="1:86">
      <c r="A25" s="19">
        <v>21</v>
      </c>
      <c r="B25" s="3" t="s">
        <v>278</v>
      </c>
      <c r="C25" s="3" t="s">
        <v>80</v>
      </c>
      <c r="D25" s="54">
        <v>0</v>
      </c>
      <c r="E25" s="54">
        <v>792.5021362</v>
      </c>
      <c r="F25" s="54">
        <v>3960.51062</v>
      </c>
      <c r="G25" s="54">
        <v>1</v>
      </c>
      <c r="H25" s="54">
        <v>1189.2532040000001</v>
      </c>
      <c r="I25" s="54">
        <v>1584.0042719999999</v>
      </c>
      <c r="J25" s="54">
        <v>1979.755371</v>
      </c>
      <c r="K25" s="54">
        <f t="shared" si="1"/>
        <v>9507.0256031999998</v>
      </c>
      <c r="L25" s="54">
        <v>0</v>
      </c>
      <c r="M25" s="54">
        <v>0</v>
      </c>
      <c r="N25" s="54">
        <v>0</v>
      </c>
      <c r="O25" s="54">
        <v>0</v>
      </c>
      <c r="P25" s="54">
        <v>0</v>
      </c>
      <c r="Q25" s="54">
        <v>0</v>
      </c>
      <c r="R25" s="54">
        <v>0</v>
      </c>
      <c r="S25" s="54">
        <v>0</v>
      </c>
      <c r="T25" s="54">
        <v>0</v>
      </c>
      <c r="U25" s="54">
        <v>0</v>
      </c>
      <c r="V25" s="54">
        <v>0</v>
      </c>
      <c r="W25" s="54">
        <v>0</v>
      </c>
      <c r="X25" s="54">
        <v>0</v>
      </c>
      <c r="Y25" s="54">
        <v>0</v>
      </c>
      <c r="Z25" s="54">
        <v>0</v>
      </c>
      <c r="AA25" s="57">
        <v>0</v>
      </c>
      <c r="AB25" s="54">
        <v>1978.76</v>
      </c>
      <c r="AC25" s="54">
        <v>1583</v>
      </c>
      <c r="AD25" s="57">
        <v>3561.76</v>
      </c>
      <c r="AE25" s="82">
        <v>1782.229779</v>
      </c>
      <c r="AF25" s="82">
        <v>275</v>
      </c>
      <c r="AG25" s="61">
        <v>7.4691321437484399</v>
      </c>
      <c r="AH25" s="54">
        <f t="shared" si="40"/>
        <v>3660720.1757155089</v>
      </c>
      <c r="AI25" s="54">
        <f t="shared" si="2"/>
        <v>5943.2659602000003</v>
      </c>
      <c r="AJ25" s="54">
        <f t="shared" si="24"/>
        <v>9507.0256031999998</v>
      </c>
      <c r="AK25" s="54">
        <v>3960.51062</v>
      </c>
      <c r="AL25" s="54">
        <f t="shared" si="3"/>
        <v>2178.2808409999998</v>
      </c>
      <c r="AM25" s="54">
        <f t="shared" si="4"/>
        <v>1782.229779</v>
      </c>
      <c r="AN25" s="54">
        <f t="shared" si="25"/>
        <v>792.5021362</v>
      </c>
      <c r="AO25" s="57">
        <f t="shared" si="26"/>
        <v>1189.2532040000001</v>
      </c>
      <c r="AP25" s="57">
        <f t="shared" si="27"/>
        <v>1</v>
      </c>
      <c r="AQ25" s="57">
        <f t="shared" si="28"/>
        <v>0</v>
      </c>
      <c r="AR25" s="57">
        <f t="shared" si="29"/>
        <v>0</v>
      </c>
      <c r="AS25" s="57">
        <f t="shared" si="30"/>
        <v>1979.755371</v>
      </c>
      <c r="AT25" s="57">
        <f t="shared" si="31"/>
        <v>1584.0042719999999</v>
      </c>
      <c r="AU25" s="58">
        <f t="shared" si="41"/>
        <v>0.20010100015840887</v>
      </c>
      <c r="AV25" s="58">
        <f t="shared" si="42"/>
        <v>0.18746449766582238</v>
      </c>
      <c r="AW25" s="54">
        <v>250</v>
      </c>
      <c r="AX25" s="54">
        <v>350</v>
      </c>
      <c r="AY25" s="54">
        <v>20</v>
      </c>
      <c r="AZ25" s="54">
        <v>200</v>
      </c>
      <c r="BA25" s="54">
        <v>300</v>
      </c>
      <c r="BB25" s="58">
        <v>3.8</v>
      </c>
      <c r="BC25" s="58">
        <f t="shared" si="49"/>
        <v>0.1</v>
      </c>
      <c r="BD25" s="58">
        <v>0.65</v>
      </c>
      <c r="BE25" s="58">
        <f t="shared" ref="BE25:BE32" si="52">Z25/AC25</f>
        <v>0</v>
      </c>
      <c r="BF25" s="58">
        <f t="shared" ref="BF25:BF35" si="53">Y25/AB25</f>
        <v>0</v>
      </c>
      <c r="BG25" s="58">
        <f t="shared" si="50"/>
        <v>0</v>
      </c>
      <c r="BH25" s="60">
        <v>3.5000000000000003E-2</v>
      </c>
      <c r="BI25" s="60">
        <v>0.21129999999999999</v>
      </c>
      <c r="BJ25" s="60">
        <v>0.04</v>
      </c>
      <c r="BK25" s="22">
        <v>1.1000000000000001</v>
      </c>
      <c r="BL25" s="22">
        <f t="shared" si="51"/>
        <v>0</v>
      </c>
      <c r="BM25" s="58">
        <v>0.95</v>
      </c>
      <c r="BN25" s="58">
        <v>0.52944999999999998</v>
      </c>
      <c r="BO25" s="58">
        <v>0.51286999999999994</v>
      </c>
      <c r="BP25" s="58">
        <v>11.304</v>
      </c>
      <c r="BQ25" s="58">
        <v>12.990400000000001</v>
      </c>
      <c r="BR25" s="61">
        <v>18.46</v>
      </c>
      <c r="BS25" s="58">
        <v>0.2</v>
      </c>
      <c r="BT25" s="58">
        <v>0</v>
      </c>
      <c r="BU25" s="58">
        <v>0.48</v>
      </c>
      <c r="BV25" s="58">
        <v>0.32</v>
      </c>
      <c r="BW25" s="54">
        <f t="shared" si="34"/>
        <v>250</v>
      </c>
      <c r="BX25" s="54">
        <f t="shared" si="35"/>
        <v>350</v>
      </c>
      <c r="BY25" s="54">
        <f t="shared" si="19"/>
        <v>200</v>
      </c>
      <c r="BZ25" s="54">
        <f t="shared" si="20"/>
        <v>280</v>
      </c>
      <c r="CA25" s="54"/>
      <c r="CB25" s="54"/>
      <c r="CC25" s="59">
        <f t="shared" si="43"/>
        <v>0.1658255227108868</v>
      </c>
      <c r="CD25" s="59">
        <f t="shared" si="44"/>
        <v>0.23792357606344627</v>
      </c>
      <c r="CE25" s="59">
        <f t="shared" si="45"/>
        <v>0.1658255227108868</v>
      </c>
      <c r="CF25" s="59">
        <f t="shared" si="46"/>
        <v>0.23792357606344627</v>
      </c>
      <c r="CG25" s="85">
        <f t="shared" si="47"/>
        <v>0.1658255227108868</v>
      </c>
      <c r="CH25" s="85">
        <f t="shared" si="48"/>
        <v>0.23792357606344627</v>
      </c>
    </row>
    <row r="26" spans="1:86">
      <c r="A26" s="19">
        <v>22</v>
      </c>
      <c r="B26" s="3" t="s">
        <v>279</v>
      </c>
      <c r="C26" s="3" t="s">
        <v>78</v>
      </c>
      <c r="D26" s="54">
        <v>65</v>
      </c>
      <c r="E26" s="54">
        <v>1564.1254879999999</v>
      </c>
      <c r="F26" s="54">
        <v>14952.69226</v>
      </c>
      <c r="G26" s="54">
        <v>387.7813721</v>
      </c>
      <c r="H26" s="54">
        <v>3938.813721</v>
      </c>
      <c r="I26" s="54">
        <v>2363.688232</v>
      </c>
      <c r="J26" s="54">
        <v>1960.9068600000001</v>
      </c>
      <c r="K26" s="54">
        <f t="shared" si="1"/>
        <v>25233.007933099998</v>
      </c>
      <c r="L26" s="54">
        <v>0</v>
      </c>
      <c r="M26" s="54">
        <v>0</v>
      </c>
      <c r="N26" s="54">
        <v>386.78100000000001</v>
      </c>
      <c r="O26" s="54">
        <v>0</v>
      </c>
      <c r="P26" s="54">
        <v>0</v>
      </c>
      <c r="Q26" s="54">
        <v>0</v>
      </c>
      <c r="R26" s="54">
        <v>0</v>
      </c>
      <c r="S26" s="54">
        <v>386.78100000000001</v>
      </c>
      <c r="T26" s="54">
        <v>0</v>
      </c>
      <c r="U26" s="54">
        <v>0</v>
      </c>
      <c r="V26" s="54">
        <v>386.78100000000001</v>
      </c>
      <c r="W26" s="54">
        <v>0</v>
      </c>
      <c r="X26" s="54">
        <v>0</v>
      </c>
      <c r="Y26" s="54">
        <v>0</v>
      </c>
      <c r="Z26" s="54">
        <v>0</v>
      </c>
      <c r="AA26" s="57">
        <v>386.78100000000001</v>
      </c>
      <c r="AB26" s="54">
        <v>1676.05</v>
      </c>
      <c r="AC26" s="54">
        <v>2320.69</v>
      </c>
      <c r="AD26" s="57">
        <v>3996.74</v>
      </c>
      <c r="AE26" s="82">
        <v>6902.7629670000006</v>
      </c>
      <c r="AF26" s="82">
        <v>275</v>
      </c>
      <c r="AG26" s="61">
        <v>6.1099975761493095</v>
      </c>
      <c r="AH26" s="54">
        <f t="shared" si="40"/>
        <v>11598362.874203386</v>
      </c>
      <c r="AI26" s="54">
        <f t="shared" si="2"/>
        <v>21681.974841099996</v>
      </c>
      <c r="AJ26" s="54">
        <f t="shared" si="24"/>
        <v>26006.569933099996</v>
      </c>
      <c r="AK26" s="54">
        <v>15339.473260000001</v>
      </c>
      <c r="AL26" s="54">
        <f t="shared" si="3"/>
        <v>8436.7102930000001</v>
      </c>
      <c r="AM26" s="54">
        <f t="shared" si="4"/>
        <v>6902.7629670000006</v>
      </c>
      <c r="AN26" s="54">
        <f t="shared" si="25"/>
        <v>1629.1254879999999</v>
      </c>
      <c r="AO26" s="57">
        <f t="shared" si="26"/>
        <v>3938.813721</v>
      </c>
      <c r="AP26" s="57">
        <f t="shared" si="27"/>
        <v>387.7813721</v>
      </c>
      <c r="AQ26" s="57">
        <f t="shared" si="28"/>
        <v>386.78100000000001</v>
      </c>
      <c r="AR26" s="57">
        <f t="shared" si="29"/>
        <v>0</v>
      </c>
      <c r="AS26" s="57">
        <f t="shared" si="30"/>
        <v>1960.9068600000001</v>
      </c>
      <c r="AT26" s="57">
        <f t="shared" si="31"/>
        <v>2363.688232</v>
      </c>
      <c r="AU26" s="58">
        <f t="shared" si="41"/>
        <v>0.10620478685198345</v>
      </c>
      <c r="AV26" s="58">
        <f t="shared" si="42"/>
        <v>0.26542381347316679</v>
      </c>
      <c r="AW26" s="54">
        <v>250</v>
      </c>
      <c r="AX26" s="54">
        <v>350</v>
      </c>
      <c r="AY26" s="54">
        <v>20</v>
      </c>
      <c r="AZ26" s="54">
        <v>200</v>
      </c>
      <c r="BA26" s="54">
        <v>300</v>
      </c>
      <c r="BB26" s="58">
        <v>3.8</v>
      </c>
      <c r="BC26" s="58">
        <f t="shared" si="49"/>
        <v>0.11206556037026962</v>
      </c>
      <c r="BD26" s="58">
        <v>0.65</v>
      </c>
      <c r="BE26" s="58">
        <f t="shared" si="52"/>
        <v>0</v>
      </c>
      <c r="BF26" s="58">
        <f t="shared" si="53"/>
        <v>0</v>
      </c>
      <c r="BG26" s="58">
        <f t="shared" si="50"/>
        <v>4.5333574394462707E-2</v>
      </c>
      <c r="BH26" s="60">
        <v>3.5000000000000003E-2</v>
      </c>
      <c r="BI26" s="60">
        <v>0.21129999999999999</v>
      </c>
      <c r="BJ26" s="60">
        <v>0.04</v>
      </c>
      <c r="BK26" s="22">
        <v>1.1000000000000001</v>
      </c>
      <c r="BL26" s="22">
        <f t="shared" si="51"/>
        <v>3.9898706685755327E-2</v>
      </c>
      <c r="BM26" s="58">
        <v>0.95</v>
      </c>
      <c r="BN26" s="58">
        <v>0.53874999999999995</v>
      </c>
      <c r="BO26" s="58">
        <v>0.51434000000000002</v>
      </c>
      <c r="BP26" s="58">
        <v>13.6328</v>
      </c>
      <c r="BQ26" s="58">
        <v>13.055680000000001</v>
      </c>
      <c r="BR26" s="61">
        <v>18.603999999999999</v>
      </c>
      <c r="BS26" s="58">
        <v>0</v>
      </c>
      <c r="BT26" s="58">
        <v>0.75</v>
      </c>
      <c r="BU26" s="58">
        <v>0</v>
      </c>
      <c r="BV26" s="58">
        <v>0.25</v>
      </c>
      <c r="BW26" s="54">
        <f t="shared" si="34"/>
        <v>250</v>
      </c>
      <c r="BX26" s="54">
        <f t="shared" si="35"/>
        <v>350</v>
      </c>
      <c r="BY26" s="54">
        <f t="shared" si="19"/>
        <v>200</v>
      </c>
      <c r="BZ26" s="54">
        <f t="shared" si="20"/>
        <v>280</v>
      </c>
      <c r="CA26" s="54">
        <f>((BW26*N26)+(P26*BY26))/(N26+P26)</f>
        <v>250</v>
      </c>
      <c r="CB26" s="54"/>
      <c r="CC26" s="59">
        <f t="shared" si="43"/>
        <v>0.1658255227108868</v>
      </c>
      <c r="CD26" s="59">
        <f t="shared" si="44"/>
        <v>0.23792357606344627</v>
      </c>
      <c r="CE26" s="59">
        <f t="shared" si="45"/>
        <v>0.1658255227108868</v>
      </c>
      <c r="CF26" s="59">
        <f t="shared" si="46"/>
        <v>0.23792357606344627</v>
      </c>
      <c r="CG26" s="85">
        <f t="shared" si="47"/>
        <v>0.1658255227108868</v>
      </c>
      <c r="CH26" s="85">
        <f t="shared" si="48"/>
        <v>0.23792357606344627</v>
      </c>
    </row>
    <row r="27" spans="1:86">
      <c r="A27" s="19">
        <v>23</v>
      </c>
      <c r="B27" s="3" t="s">
        <v>280</v>
      </c>
      <c r="C27" s="3" t="s">
        <v>79</v>
      </c>
      <c r="D27" s="54">
        <v>226.28794859999999</v>
      </c>
      <c r="E27" s="54">
        <v>689.86384580000004</v>
      </c>
      <c r="F27" s="54">
        <v>11340.397349999999</v>
      </c>
      <c r="G27" s="54">
        <v>30</v>
      </c>
      <c r="H27" s="54">
        <v>5224.6228330000004</v>
      </c>
      <c r="I27" s="54">
        <v>1342.727676</v>
      </c>
      <c r="J27" s="54">
        <v>2537.1674349999998</v>
      </c>
      <c r="K27" s="54">
        <f t="shared" si="1"/>
        <v>21391.067088399999</v>
      </c>
      <c r="L27" s="54">
        <v>147.52500000000001</v>
      </c>
      <c r="M27" s="54">
        <v>221.28800000000001</v>
      </c>
      <c r="N27" s="54">
        <v>1062.18</v>
      </c>
      <c r="O27" s="54">
        <v>0</v>
      </c>
      <c r="P27" s="54">
        <v>442.57600000000002</v>
      </c>
      <c r="Q27" s="54">
        <v>221.28800000000001</v>
      </c>
      <c r="R27" s="54">
        <v>0</v>
      </c>
      <c r="S27" s="54">
        <v>2094.86</v>
      </c>
      <c r="T27" s="54">
        <v>0</v>
      </c>
      <c r="U27" s="54">
        <v>0</v>
      </c>
      <c r="V27" s="54">
        <v>442.57600000000002</v>
      </c>
      <c r="W27" s="54">
        <v>0</v>
      </c>
      <c r="X27" s="54">
        <v>221.28800000000001</v>
      </c>
      <c r="Y27" s="54">
        <v>0</v>
      </c>
      <c r="Z27" s="54">
        <v>221.28800000000001</v>
      </c>
      <c r="AA27" s="57">
        <v>885.15200000000004</v>
      </c>
      <c r="AB27" s="54">
        <v>2876.74</v>
      </c>
      <c r="AC27" s="54">
        <v>1549.02</v>
      </c>
      <c r="AD27" s="57">
        <v>4425.76</v>
      </c>
      <c r="AE27" s="82">
        <v>5302.3380075000005</v>
      </c>
      <c r="AF27" s="82">
        <v>275</v>
      </c>
      <c r="AG27" s="61">
        <v>8.2537434237150951</v>
      </c>
      <c r="AH27" s="54">
        <f t="shared" si="40"/>
        <v>12035137.801422376</v>
      </c>
      <c r="AI27" s="54">
        <f t="shared" si="2"/>
        <v>20269.892977400003</v>
      </c>
      <c r="AJ27" s="54">
        <f t="shared" si="24"/>
        <v>24371.076088400001</v>
      </c>
      <c r="AK27" s="54">
        <v>11782.97335</v>
      </c>
      <c r="AL27" s="54">
        <f t="shared" si="3"/>
        <v>6480.6353424999998</v>
      </c>
      <c r="AM27" s="54">
        <f t="shared" si="4"/>
        <v>5302.3380075000005</v>
      </c>
      <c r="AN27" s="54">
        <f t="shared" si="25"/>
        <v>916.15179439999997</v>
      </c>
      <c r="AO27" s="57">
        <f t="shared" si="26"/>
        <v>5445.9108329999999</v>
      </c>
      <c r="AP27" s="57">
        <f t="shared" si="27"/>
        <v>30</v>
      </c>
      <c r="AQ27" s="57">
        <f t="shared" si="28"/>
        <v>1504.7560000000001</v>
      </c>
      <c r="AR27" s="57">
        <f t="shared" si="29"/>
        <v>590.101</v>
      </c>
      <c r="AS27" s="57">
        <f t="shared" si="30"/>
        <v>2758.4554349999999</v>
      </c>
      <c r="AT27" s="57">
        <f t="shared" si="31"/>
        <v>1342.727676</v>
      </c>
      <c r="AU27" s="58">
        <f t="shared" si="41"/>
        <v>7.7752174021508746E-2</v>
      </c>
      <c r="AV27" s="58">
        <f t="shared" si="42"/>
        <v>0.21756683981729372</v>
      </c>
      <c r="AW27" s="54">
        <v>250</v>
      </c>
      <c r="AX27" s="54">
        <v>350</v>
      </c>
      <c r="AY27" s="54">
        <v>20</v>
      </c>
      <c r="AZ27" s="54">
        <v>200</v>
      </c>
      <c r="BA27" s="54">
        <v>300</v>
      </c>
      <c r="BB27" s="58">
        <v>3.8</v>
      </c>
      <c r="BC27" s="58">
        <f t="shared" si="49"/>
        <v>0.28379103668449035</v>
      </c>
      <c r="BD27" s="58">
        <v>0.65</v>
      </c>
      <c r="BE27" s="58">
        <f t="shared" si="52"/>
        <v>0.14285677396031041</v>
      </c>
      <c r="BF27" s="58">
        <f t="shared" si="53"/>
        <v>0</v>
      </c>
      <c r="BG27" s="58">
        <f t="shared" si="50"/>
        <v>7.1170977857803214E-2</v>
      </c>
      <c r="BH27" s="60">
        <v>3.5000000000000003E-2</v>
      </c>
      <c r="BI27" s="60">
        <v>0.21129999999999999</v>
      </c>
      <c r="BJ27" s="60">
        <v>0.04</v>
      </c>
      <c r="BK27" s="22">
        <v>1.1000000000000001</v>
      </c>
      <c r="BL27" s="22">
        <f t="shared" si="51"/>
        <v>0.24699831401650965</v>
      </c>
      <c r="BM27" s="58">
        <v>0.95</v>
      </c>
      <c r="BN27" s="58">
        <v>0.58235999999999999</v>
      </c>
      <c r="BO27" s="58">
        <v>0.52346000000000004</v>
      </c>
      <c r="BP27" s="58">
        <v>15.020800000000001</v>
      </c>
      <c r="BQ27" s="58">
        <v>13.415999999999997</v>
      </c>
      <c r="BR27" s="61">
        <v>18.489999999999998</v>
      </c>
      <c r="BS27" s="58">
        <v>0</v>
      </c>
      <c r="BT27" s="58">
        <v>0</v>
      </c>
      <c r="BU27" s="58">
        <v>0.6</v>
      </c>
      <c r="BV27" s="58">
        <v>0.4</v>
      </c>
      <c r="BW27" s="54">
        <f t="shared" si="34"/>
        <v>250</v>
      </c>
      <c r="BX27" s="54">
        <f t="shared" si="35"/>
        <v>350</v>
      </c>
      <c r="BY27" s="54">
        <f t="shared" si="19"/>
        <v>200</v>
      </c>
      <c r="BZ27" s="54">
        <f t="shared" si="20"/>
        <v>280</v>
      </c>
      <c r="CA27" s="54">
        <f>((BW27*N27)+(P27*BY27))/(N27+P27)</f>
        <v>235.29409419201517</v>
      </c>
      <c r="CB27" s="54">
        <f>(((L27+M27)*BX27)+(BZ27*O27))/(M27+O27+L27)</f>
        <v>350</v>
      </c>
      <c r="CC27" s="59">
        <f t="shared" si="43"/>
        <v>0.1658255227108868</v>
      </c>
      <c r="CD27" s="59">
        <f t="shared" si="44"/>
        <v>0.23792357606344627</v>
      </c>
      <c r="CE27" s="59">
        <f t="shared" si="45"/>
        <v>0.1658255227108868</v>
      </c>
      <c r="CF27" s="59">
        <f t="shared" si="46"/>
        <v>0.23792357606344627</v>
      </c>
      <c r="CG27" s="85">
        <f t="shared" si="47"/>
        <v>0.1658255227108868</v>
      </c>
      <c r="CH27" s="85">
        <f t="shared" si="48"/>
        <v>0.23792357606344627</v>
      </c>
    </row>
    <row r="28" spans="1:86">
      <c r="A28" s="19">
        <v>24</v>
      </c>
      <c r="B28" s="3" t="s">
        <v>281</v>
      </c>
      <c r="C28" s="3" t="s">
        <v>78</v>
      </c>
      <c r="D28" s="54">
        <v>869.83288570000002</v>
      </c>
      <c r="E28" s="54">
        <v>111</v>
      </c>
      <c r="F28" s="54">
        <v>1896.1239929999999</v>
      </c>
      <c r="G28" s="54">
        <v>18</v>
      </c>
      <c r="H28" s="54">
        <v>309.45822140000001</v>
      </c>
      <c r="I28" s="54">
        <v>831.37469480000004</v>
      </c>
      <c r="J28" s="54">
        <v>479.91644289999999</v>
      </c>
      <c r="K28" s="54">
        <f t="shared" si="1"/>
        <v>4515.7062378000001</v>
      </c>
      <c r="L28" s="54">
        <v>0</v>
      </c>
      <c r="M28" s="54">
        <v>0</v>
      </c>
      <c r="N28" s="54">
        <v>0</v>
      </c>
      <c r="O28" s="54">
        <v>0</v>
      </c>
      <c r="P28" s="54">
        <v>0</v>
      </c>
      <c r="Q28" s="54">
        <v>0</v>
      </c>
      <c r="R28" s="54">
        <v>0</v>
      </c>
      <c r="S28" s="54">
        <v>0</v>
      </c>
      <c r="T28" s="54">
        <v>0</v>
      </c>
      <c r="U28" s="54">
        <v>0</v>
      </c>
      <c r="V28" s="54">
        <v>0</v>
      </c>
      <c r="W28" s="54">
        <v>0</v>
      </c>
      <c r="X28" s="54">
        <v>0</v>
      </c>
      <c r="Y28" s="54">
        <v>0</v>
      </c>
      <c r="Z28" s="54">
        <v>0</v>
      </c>
      <c r="AA28" s="57">
        <v>0</v>
      </c>
      <c r="AB28" s="54">
        <v>392.916</v>
      </c>
      <c r="AC28" s="54">
        <v>589.375</v>
      </c>
      <c r="AD28" s="57">
        <v>982.29100000000005</v>
      </c>
      <c r="AE28" s="82">
        <v>853.25579685000002</v>
      </c>
      <c r="AF28" s="82">
        <v>275</v>
      </c>
      <c r="AG28" s="61">
        <v>14.764802754697207</v>
      </c>
      <c r="AH28" s="54">
        <f t="shared" si="40"/>
        <v>3464492.2234428665</v>
      </c>
      <c r="AI28" s="54">
        <f t="shared" si="2"/>
        <v>3204.4151001</v>
      </c>
      <c r="AJ28" s="54">
        <f t="shared" si="24"/>
        <v>4515.7062378000001</v>
      </c>
      <c r="AK28" s="54">
        <v>1896.1239929999999</v>
      </c>
      <c r="AL28" s="54">
        <f t="shared" si="3"/>
        <v>1042.8681961499999</v>
      </c>
      <c r="AM28" s="54">
        <f t="shared" si="4"/>
        <v>853.25579685000002</v>
      </c>
      <c r="AN28" s="54">
        <f t="shared" si="25"/>
        <v>980.83288570000002</v>
      </c>
      <c r="AO28" s="57">
        <f t="shared" si="26"/>
        <v>309.45822140000001</v>
      </c>
      <c r="AP28" s="57">
        <f t="shared" si="27"/>
        <v>18</v>
      </c>
      <c r="AQ28" s="57">
        <f t="shared" si="28"/>
        <v>0</v>
      </c>
      <c r="AR28" s="57">
        <f t="shared" si="29"/>
        <v>0</v>
      </c>
      <c r="AS28" s="57">
        <f t="shared" si="30"/>
        <v>479.91644289999999</v>
      </c>
      <c r="AT28" s="57">
        <f t="shared" si="31"/>
        <v>831.37469480000004</v>
      </c>
      <c r="AU28" s="58">
        <f t="shared" si="41"/>
        <v>0.51728309399648009</v>
      </c>
      <c r="AV28" s="58">
        <f t="shared" si="42"/>
        <v>0.18895290169842766</v>
      </c>
      <c r="AW28" s="54">
        <v>250</v>
      </c>
      <c r="AX28" s="54">
        <v>350</v>
      </c>
      <c r="AY28" s="54">
        <v>20</v>
      </c>
      <c r="AZ28" s="54">
        <v>200</v>
      </c>
      <c r="BA28" s="54">
        <v>300</v>
      </c>
      <c r="BB28" s="58">
        <v>3.8</v>
      </c>
      <c r="BC28" s="58">
        <f t="shared" si="49"/>
        <v>0.1</v>
      </c>
      <c r="BD28" s="58">
        <v>0.65</v>
      </c>
      <c r="BE28" s="58">
        <f t="shared" si="52"/>
        <v>0</v>
      </c>
      <c r="BF28" s="58">
        <f t="shared" si="53"/>
        <v>0</v>
      </c>
      <c r="BG28" s="58">
        <f t="shared" si="50"/>
        <v>0</v>
      </c>
      <c r="BH28" s="60">
        <v>3.5000000000000003E-2</v>
      </c>
      <c r="BI28" s="60">
        <v>0.21129999999999999</v>
      </c>
      <c r="BJ28" s="60">
        <v>0.04</v>
      </c>
      <c r="BK28" s="22">
        <v>1.1000000000000001</v>
      </c>
      <c r="BL28" s="22">
        <f t="shared" si="51"/>
        <v>0.88683087443506581</v>
      </c>
      <c r="BM28" s="58">
        <v>0.95</v>
      </c>
      <c r="BN28" s="58">
        <v>0.53874999999999995</v>
      </c>
      <c r="BO28" s="58">
        <v>0.51434000000000002</v>
      </c>
      <c r="BP28" s="58">
        <v>13.6328</v>
      </c>
      <c r="BQ28" s="58">
        <v>13.055680000000001</v>
      </c>
      <c r="BR28" s="61">
        <v>18.603999999999999</v>
      </c>
      <c r="BS28" s="58">
        <v>0</v>
      </c>
      <c r="BT28" s="58">
        <v>0.75</v>
      </c>
      <c r="BU28" s="58">
        <v>0</v>
      </c>
      <c r="BV28" s="58">
        <v>0.25</v>
      </c>
      <c r="BW28" s="54">
        <f t="shared" si="34"/>
        <v>250</v>
      </c>
      <c r="BX28" s="54">
        <f t="shared" si="35"/>
        <v>350</v>
      </c>
      <c r="BY28" s="54">
        <f t="shared" si="19"/>
        <v>200</v>
      </c>
      <c r="BZ28" s="54">
        <f t="shared" si="20"/>
        <v>280</v>
      </c>
      <c r="CA28" s="54"/>
      <c r="CB28" s="54"/>
      <c r="CC28" s="59">
        <f t="shared" si="43"/>
        <v>0.1658255227108868</v>
      </c>
      <c r="CD28" s="59">
        <f t="shared" si="44"/>
        <v>0.23792357606344627</v>
      </c>
      <c r="CE28" s="59">
        <f t="shared" si="45"/>
        <v>0.1658255227108868</v>
      </c>
      <c r="CF28" s="59">
        <f t="shared" si="46"/>
        <v>0.23792357606344627</v>
      </c>
      <c r="CG28" s="85">
        <f t="shared" si="47"/>
        <v>0.1658255227108868</v>
      </c>
      <c r="CH28" s="85">
        <f t="shared" si="48"/>
        <v>0.23792357606344627</v>
      </c>
    </row>
    <row r="29" spans="1:86">
      <c r="A29" s="19">
        <v>25</v>
      </c>
      <c r="B29" s="3" t="s">
        <v>282</v>
      </c>
      <c r="C29" s="3" t="s">
        <v>79</v>
      </c>
      <c r="D29" s="54">
        <v>2129.1881100000001</v>
      </c>
      <c r="E29" s="54">
        <v>6399.5643309999996</v>
      </c>
      <c r="F29" s="54">
        <v>34757.739260000002</v>
      </c>
      <c r="G29" s="54">
        <v>3543.646851</v>
      </c>
      <c r="H29" s="54">
        <v>12148.39941</v>
      </c>
      <c r="I29" s="54">
        <v>10681.940549999999</v>
      </c>
      <c r="J29" s="54">
        <v>11410.66992</v>
      </c>
      <c r="K29" s="54">
        <f t="shared" si="1"/>
        <v>81071.148432000002</v>
      </c>
      <c r="L29" s="54">
        <v>0</v>
      </c>
      <c r="M29" s="54">
        <v>708.72900000000004</v>
      </c>
      <c r="N29" s="54">
        <v>2480.5500000000002</v>
      </c>
      <c r="O29" s="54">
        <v>0</v>
      </c>
      <c r="P29" s="54">
        <v>0</v>
      </c>
      <c r="Q29" s="54">
        <v>0</v>
      </c>
      <c r="R29" s="54">
        <v>0</v>
      </c>
      <c r="S29" s="54">
        <v>3189.28</v>
      </c>
      <c r="T29" s="54">
        <v>0</v>
      </c>
      <c r="U29" s="54">
        <v>0</v>
      </c>
      <c r="V29" s="54">
        <v>708.72900000000004</v>
      </c>
      <c r="W29" s="54">
        <v>0</v>
      </c>
      <c r="X29" s="54">
        <v>0</v>
      </c>
      <c r="Y29" s="54">
        <v>708.72900000000004</v>
      </c>
      <c r="Z29" s="54">
        <v>0</v>
      </c>
      <c r="AA29" s="57">
        <v>1417.46</v>
      </c>
      <c r="AB29" s="54">
        <v>11339.7</v>
      </c>
      <c r="AC29" s="54">
        <v>12048.4</v>
      </c>
      <c r="AD29" s="57">
        <v>23388.1</v>
      </c>
      <c r="AE29" s="82">
        <v>15959.910717000001</v>
      </c>
      <c r="AF29" s="82">
        <v>275</v>
      </c>
      <c r="AG29" s="61">
        <v>8</v>
      </c>
      <c r="AH29" s="54">
        <f t="shared" si="40"/>
        <v>35111803.577399999</v>
      </c>
      <c r="AI29" s="54">
        <f t="shared" si="2"/>
        <v>62876.545961999997</v>
      </c>
      <c r="AJ29" s="54">
        <f t="shared" si="24"/>
        <v>85677.885431999981</v>
      </c>
      <c r="AK29" s="54">
        <v>35466.468260000001</v>
      </c>
      <c r="AL29" s="54">
        <f t="shared" si="3"/>
        <v>19506.557543000003</v>
      </c>
      <c r="AM29" s="54">
        <f t="shared" si="4"/>
        <v>15959.910717000001</v>
      </c>
      <c r="AN29" s="54">
        <f t="shared" si="25"/>
        <v>8528.7524410000005</v>
      </c>
      <c r="AO29" s="57">
        <f t="shared" si="26"/>
        <v>12148.39941</v>
      </c>
      <c r="AP29" s="57">
        <f t="shared" si="27"/>
        <v>3543.646851</v>
      </c>
      <c r="AQ29" s="57">
        <f t="shared" si="28"/>
        <v>2480.5500000000002</v>
      </c>
      <c r="AR29" s="57">
        <f t="shared" si="29"/>
        <v>708.72900000000004</v>
      </c>
      <c r="AS29" s="57">
        <f t="shared" si="30"/>
        <v>11410.66992</v>
      </c>
      <c r="AT29" s="57">
        <f t="shared" si="31"/>
        <v>11390.669549999999</v>
      </c>
      <c r="AU29" s="58">
        <f t="shared" si="41"/>
        <v>0.24047368851267742</v>
      </c>
      <c r="AV29" s="58">
        <f t="shared" si="42"/>
        <v>0.18627806506343941</v>
      </c>
      <c r="AW29" s="54">
        <v>250</v>
      </c>
      <c r="AX29" s="54">
        <v>350</v>
      </c>
      <c r="AY29" s="54">
        <v>20</v>
      </c>
      <c r="AZ29" s="54">
        <v>200</v>
      </c>
      <c r="BA29" s="54">
        <v>300</v>
      </c>
      <c r="BB29" s="58">
        <v>3.8</v>
      </c>
      <c r="BC29" s="58">
        <f t="shared" si="49"/>
        <v>0.19983062916529223</v>
      </c>
      <c r="BD29" s="58">
        <v>0.65</v>
      </c>
      <c r="BE29" s="58">
        <f t="shared" si="52"/>
        <v>0</v>
      </c>
      <c r="BF29" s="58">
        <f t="shared" si="53"/>
        <v>6.2499801582052435E-2</v>
      </c>
      <c r="BG29" s="58">
        <f t="shared" si="50"/>
        <v>2.8941106152969853E-2</v>
      </c>
      <c r="BH29" s="60">
        <v>3.5000000000000003E-2</v>
      </c>
      <c r="BI29" s="60">
        <v>0.21129999999999999</v>
      </c>
      <c r="BJ29" s="60">
        <v>0.04</v>
      </c>
      <c r="BK29" s="22">
        <v>1.1000000000000001</v>
      </c>
      <c r="BL29" s="22">
        <f t="shared" si="51"/>
        <v>0.2496482486423714</v>
      </c>
      <c r="BM29" s="58">
        <v>0.95</v>
      </c>
      <c r="BN29" s="58">
        <v>0.58235999999999999</v>
      </c>
      <c r="BO29" s="58">
        <v>0.52346000000000004</v>
      </c>
      <c r="BP29" s="58">
        <v>15.020800000000001</v>
      </c>
      <c r="BQ29" s="58">
        <v>13.415999999999997</v>
      </c>
      <c r="BR29" s="61">
        <v>18.489999999999998</v>
      </c>
      <c r="BS29" s="58">
        <v>0</v>
      </c>
      <c r="BT29" s="58">
        <v>0</v>
      </c>
      <c r="BU29" s="58">
        <v>0.6</v>
      </c>
      <c r="BV29" s="58">
        <v>0.4</v>
      </c>
      <c r="BW29" s="54">
        <f t="shared" si="34"/>
        <v>250</v>
      </c>
      <c r="BX29" s="54">
        <f t="shared" si="35"/>
        <v>350</v>
      </c>
      <c r="BY29" s="54">
        <f t="shared" si="19"/>
        <v>200</v>
      </c>
      <c r="BZ29" s="54">
        <f t="shared" si="20"/>
        <v>280</v>
      </c>
      <c r="CA29" s="54">
        <f>((BW29*N29)+(P29*BY29))/(N29+P29)</f>
        <v>249.99999999999997</v>
      </c>
      <c r="CB29" s="54">
        <f>(((L29+M29)*BX29)+(BZ29*O29))/(M29+O29+L29)</f>
        <v>350</v>
      </c>
      <c r="CC29" s="59">
        <f t="shared" si="43"/>
        <v>0.1658255227108868</v>
      </c>
      <c r="CD29" s="59">
        <f t="shared" si="44"/>
        <v>0.23792357606344627</v>
      </c>
      <c r="CE29" s="59">
        <f t="shared" si="45"/>
        <v>0.1658255227108868</v>
      </c>
      <c r="CF29" s="59">
        <f t="shared" si="46"/>
        <v>0.23792357606344627</v>
      </c>
      <c r="CG29" s="85">
        <f t="shared" si="47"/>
        <v>0.1658255227108868</v>
      </c>
      <c r="CH29" s="85">
        <f t="shared" si="48"/>
        <v>0.23792357606344627</v>
      </c>
    </row>
    <row r="30" spans="1:86">
      <c r="A30" s="19">
        <v>26</v>
      </c>
      <c r="B30" s="3" t="s">
        <v>283</v>
      </c>
      <c r="C30" s="3" t="s">
        <v>80</v>
      </c>
      <c r="D30" s="54">
        <v>790.34613039999999</v>
      </c>
      <c r="E30" s="54">
        <v>1317.576935</v>
      </c>
      <c r="F30" s="54">
        <v>3166.3846130000002</v>
      </c>
      <c r="G30" s="54">
        <v>266.115387</v>
      </c>
      <c r="H30" s="54">
        <v>2109.923065</v>
      </c>
      <c r="I30" s="54">
        <v>1578.6922910000001</v>
      </c>
      <c r="J30" s="54">
        <v>1839.8076779999999</v>
      </c>
      <c r="K30" s="54">
        <f t="shared" si="1"/>
        <v>11068.8460994</v>
      </c>
      <c r="L30" s="54">
        <v>0</v>
      </c>
      <c r="M30" s="54">
        <v>786.346</v>
      </c>
      <c r="N30" s="54">
        <v>0</v>
      </c>
      <c r="O30" s="54">
        <v>0</v>
      </c>
      <c r="P30" s="54">
        <v>196.58699999999999</v>
      </c>
      <c r="Q30" s="54">
        <v>0</v>
      </c>
      <c r="R30" s="54">
        <v>0</v>
      </c>
      <c r="S30" s="54">
        <v>982.93299999999999</v>
      </c>
      <c r="T30" s="54">
        <v>0</v>
      </c>
      <c r="U30" s="54">
        <v>0</v>
      </c>
      <c r="V30" s="54">
        <v>786.346</v>
      </c>
      <c r="W30" s="54">
        <v>0</v>
      </c>
      <c r="X30" s="54">
        <v>0</v>
      </c>
      <c r="Y30" s="54">
        <v>0</v>
      </c>
      <c r="Z30" s="54">
        <v>0</v>
      </c>
      <c r="AA30" s="57">
        <v>786.346</v>
      </c>
      <c r="AB30" s="54">
        <v>1834.81</v>
      </c>
      <c r="AC30" s="54">
        <v>1572.69</v>
      </c>
      <c r="AD30" s="57">
        <v>3407.5</v>
      </c>
      <c r="AE30" s="82">
        <v>1778.7287758500001</v>
      </c>
      <c r="AF30" s="82">
        <v>275</v>
      </c>
      <c r="AG30" s="61">
        <v>9.6231892071215306</v>
      </c>
      <c r="AH30" s="54">
        <f t="shared" si="40"/>
        <v>4707186.9784929585</v>
      </c>
      <c r="AI30" s="54">
        <f t="shared" si="2"/>
        <v>9419.6251303999998</v>
      </c>
      <c r="AJ30" s="54">
        <f t="shared" si="24"/>
        <v>12838.125099399998</v>
      </c>
      <c r="AK30" s="54">
        <v>3952.7306130000002</v>
      </c>
      <c r="AL30" s="54">
        <f t="shared" si="3"/>
        <v>2174.00183715</v>
      </c>
      <c r="AM30" s="54">
        <f t="shared" si="4"/>
        <v>1778.7287758500001</v>
      </c>
      <c r="AN30" s="54">
        <f t="shared" si="25"/>
        <v>2107.9230654000003</v>
      </c>
      <c r="AO30" s="57">
        <f t="shared" si="26"/>
        <v>2109.923065</v>
      </c>
      <c r="AP30" s="57">
        <f t="shared" si="27"/>
        <v>266.115387</v>
      </c>
      <c r="AQ30" s="57">
        <f t="shared" si="28"/>
        <v>196.58699999999999</v>
      </c>
      <c r="AR30" s="57">
        <f t="shared" si="29"/>
        <v>786.346</v>
      </c>
      <c r="AS30" s="57">
        <f t="shared" si="30"/>
        <v>1839.8076779999999</v>
      </c>
      <c r="AT30" s="57">
        <f t="shared" si="31"/>
        <v>1578.6922910000001</v>
      </c>
      <c r="AU30" s="58">
        <f t="shared" si="41"/>
        <v>0.53328275356466848</v>
      </c>
      <c r="AV30" s="58">
        <f t="shared" si="42"/>
        <v>0.13855050967941812</v>
      </c>
      <c r="AW30" s="54">
        <v>250</v>
      </c>
      <c r="AX30" s="54">
        <v>350</v>
      </c>
      <c r="AY30" s="54">
        <v>20</v>
      </c>
      <c r="AZ30" s="54">
        <v>200</v>
      </c>
      <c r="BA30" s="54">
        <v>300</v>
      </c>
      <c r="BB30" s="58">
        <v>3.8</v>
      </c>
      <c r="BC30" s="58">
        <f t="shared" si="49"/>
        <v>0.44208313863041276</v>
      </c>
      <c r="BD30" s="58">
        <v>0.65</v>
      </c>
      <c r="BE30" s="58">
        <f t="shared" si="52"/>
        <v>0</v>
      </c>
      <c r="BF30" s="58">
        <f t="shared" si="53"/>
        <v>0</v>
      </c>
      <c r="BG30" s="58">
        <f t="shared" si="50"/>
        <v>0.20231963965856545</v>
      </c>
      <c r="BH30" s="60">
        <v>3.5000000000000003E-2</v>
      </c>
      <c r="BI30" s="60">
        <v>0.21129999999999999</v>
      </c>
      <c r="BJ30" s="60">
        <v>0.04</v>
      </c>
      <c r="BK30" s="22">
        <v>1.1000000000000001</v>
      </c>
      <c r="BL30" s="22">
        <f t="shared" si="51"/>
        <v>0.37494069085013004</v>
      </c>
      <c r="BM30" s="58">
        <v>0.95</v>
      </c>
      <c r="BN30" s="58">
        <v>0.52944999999999998</v>
      </c>
      <c r="BO30" s="58">
        <v>0.51286999999999994</v>
      </c>
      <c r="BP30" s="58">
        <v>11.304</v>
      </c>
      <c r="BQ30" s="58">
        <v>12.990400000000001</v>
      </c>
      <c r="BR30" s="61">
        <v>18.46</v>
      </c>
      <c r="BS30" s="58">
        <v>0.2</v>
      </c>
      <c r="BT30" s="58">
        <v>0</v>
      </c>
      <c r="BU30" s="58">
        <v>0.48</v>
      </c>
      <c r="BV30" s="58">
        <v>0.32</v>
      </c>
      <c r="BW30" s="54">
        <f t="shared" si="34"/>
        <v>250</v>
      </c>
      <c r="BX30" s="54">
        <f t="shared" si="35"/>
        <v>350</v>
      </c>
      <c r="BY30" s="54">
        <f t="shared" si="19"/>
        <v>200</v>
      </c>
      <c r="BZ30" s="54">
        <f t="shared" si="20"/>
        <v>280</v>
      </c>
      <c r="CA30" s="54">
        <f>((BW30*N30)+(P30*BY30))/(N30+P30)</f>
        <v>199.99999999999997</v>
      </c>
      <c r="CB30" s="54">
        <f>(((L30+M30)*BX30)+(BZ30*O30))/(M30+O30+L30)</f>
        <v>349.99999999999994</v>
      </c>
      <c r="CC30" s="59">
        <f t="shared" si="43"/>
        <v>0.1658255227108868</v>
      </c>
      <c r="CD30" s="59">
        <f t="shared" si="44"/>
        <v>0.23792357606344627</v>
      </c>
      <c r="CE30" s="59">
        <f t="shared" si="45"/>
        <v>0.1658255227108868</v>
      </c>
      <c r="CF30" s="59">
        <f t="shared" si="46"/>
        <v>0.23792357606344627</v>
      </c>
      <c r="CG30" s="85">
        <f t="shared" si="47"/>
        <v>0.1658255227108868</v>
      </c>
      <c r="CH30" s="85">
        <f t="shared" si="48"/>
        <v>0.23792357606344627</v>
      </c>
    </row>
    <row r="31" spans="1:86">
      <c r="A31" s="19">
        <v>27</v>
      </c>
      <c r="B31" s="3" t="s">
        <v>284</v>
      </c>
      <c r="C31" s="3" t="s">
        <v>79</v>
      </c>
      <c r="D31" s="54">
        <v>0</v>
      </c>
      <c r="E31" s="54">
        <v>0</v>
      </c>
      <c r="F31" s="54">
        <v>1626.9691769999999</v>
      </c>
      <c r="G31" s="54">
        <v>542.32305910000002</v>
      </c>
      <c r="H31" s="54">
        <v>0</v>
      </c>
      <c r="I31" s="54">
        <v>12744.591609999999</v>
      </c>
      <c r="J31" s="54">
        <v>12202.268550000001</v>
      </c>
      <c r="K31" s="54">
        <f t="shared" si="1"/>
        <v>27116.152396099998</v>
      </c>
      <c r="L31" s="54">
        <v>0</v>
      </c>
      <c r="M31" s="54">
        <v>0</v>
      </c>
      <c r="N31" s="54">
        <v>0</v>
      </c>
      <c r="O31" s="54">
        <v>0</v>
      </c>
      <c r="P31" s="54">
        <v>0</v>
      </c>
      <c r="Q31" s="54">
        <v>0</v>
      </c>
      <c r="R31" s="54">
        <v>0</v>
      </c>
      <c r="S31" s="54">
        <v>0</v>
      </c>
      <c r="T31" s="54">
        <v>0</v>
      </c>
      <c r="U31" s="54">
        <v>0</v>
      </c>
      <c r="V31" s="54">
        <v>0</v>
      </c>
      <c r="W31" s="54">
        <v>0</v>
      </c>
      <c r="X31" s="54">
        <v>0</v>
      </c>
      <c r="Y31" s="54">
        <v>0</v>
      </c>
      <c r="Z31" s="54">
        <v>0</v>
      </c>
      <c r="AA31" s="57">
        <v>0</v>
      </c>
      <c r="AB31" s="54">
        <v>12202.3</v>
      </c>
      <c r="AC31" s="54">
        <v>24339.200000000001</v>
      </c>
      <c r="AD31" s="57">
        <v>36541.4</v>
      </c>
      <c r="AE31" s="82">
        <v>732.13612965000004</v>
      </c>
      <c r="AF31" s="82">
        <v>275</v>
      </c>
      <c r="AG31" s="61">
        <v>6.9796041243320541</v>
      </c>
      <c r="AH31" s="54">
        <f t="shared" si="40"/>
        <v>1405255.5962713531</v>
      </c>
      <c r="AI31" s="54">
        <f t="shared" si="2"/>
        <v>2169.2922361000001</v>
      </c>
      <c r="AJ31" s="54">
        <f t="shared" si="24"/>
        <v>27116.152396099998</v>
      </c>
      <c r="AK31" s="54">
        <v>1626.9691769999999</v>
      </c>
      <c r="AL31" s="54">
        <f t="shared" si="3"/>
        <v>894.8330473499999</v>
      </c>
      <c r="AM31" s="54">
        <f t="shared" si="4"/>
        <v>732.13612965000004</v>
      </c>
      <c r="AN31" s="54">
        <f t="shared" si="25"/>
        <v>0</v>
      </c>
      <c r="AO31" s="57">
        <f t="shared" si="26"/>
        <v>0</v>
      </c>
      <c r="AP31" s="57">
        <f t="shared" si="27"/>
        <v>542.32305910000002</v>
      </c>
      <c r="AQ31" s="57">
        <f t="shared" si="28"/>
        <v>0</v>
      </c>
      <c r="AR31" s="57">
        <f t="shared" si="29"/>
        <v>0</v>
      </c>
      <c r="AS31" s="57">
        <f t="shared" si="30"/>
        <v>12202.268550000001</v>
      </c>
      <c r="AT31" s="57">
        <f t="shared" si="31"/>
        <v>12744.591609999999</v>
      </c>
      <c r="AU31" s="58">
        <f t="shared" si="41"/>
        <v>0</v>
      </c>
      <c r="AV31" s="58">
        <f t="shared" si="42"/>
        <v>2.7000000551527365E-2</v>
      </c>
      <c r="AW31" s="54">
        <v>250</v>
      </c>
      <c r="AX31" s="54">
        <v>350</v>
      </c>
      <c r="AY31" s="54">
        <v>20</v>
      </c>
      <c r="AZ31" s="54">
        <v>200</v>
      </c>
      <c r="BA31" s="54">
        <v>300</v>
      </c>
      <c r="BB31" s="58">
        <v>3.8</v>
      </c>
      <c r="BC31" s="58">
        <f t="shared" si="49"/>
        <v>0.1</v>
      </c>
      <c r="BD31" s="58">
        <v>0.65</v>
      </c>
      <c r="BE31" s="58">
        <f t="shared" si="52"/>
        <v>0</v>
      </c>
      <c r="BF31" s="58">
        <f t="shared" si="53"/>
        <v>0</v>
      </c>
      <c r="BG31" s="58">
        <f t="shared" si="50"/>
        <v>0</v>
      </c>
      <c r="BH31" s="60">
        <v>3.5000000000000003E-2</v>
      </c>
      <c r="BI31" s="60">
        <v>0.21129999999999999</v>
      </c>
      <c r="BJ31" s="60">
        <v>0.04</v>
      </c>
      <c r="BK31" s="22">
        <v>1.1000000000000001</v>
      </c>
      <c r="BL31" s="22">
        <v>0</v>
      </c>
      <c r="BM31" s="58">
        <v>0.95</v>
      </c>
      <c r="BN31" s="58">
        <v>0.58235999999999999</v>
      </c>
      <c r="BO31" s="58">
        <v>0.52346000000000004</v>
      </c>
      <c r="BP31" s="58">
        <v>15.020800000000001</v>
      </c>
      <c r="BQ31" s="58">
        <v>13.415999999999997</v>
      </c>
      <c r="BR31" s="61">
        <v>18.489999999999998</v>
      </c>
      <c r="BS31" s="58">
        <v>0</v>
      </c>
      <c r="BT31" s="58">
        <v>0</v>
      </c>
      <c r="BU31" s="58">
        <v>0.6</v>
      </c>
      <c r="BV31" s="58">
        <v>0.4</v>
      </c>
      <c r="BW31" s="54">
        <f t="shared" si="34"/>
        <v>250</v>
      </c>
      <c r="BX31" s="54">
        <f t="shared" si="35"/>
        <v>350</v>
      </c>
      <c r="BY31" s="54">
        <f t="shared" si="19"/>
        <v>200</v>
      </c>
      <c r="BZ31" s="54">
        <f t="shared" si="20"/>
        <v>280</v>
      </c>
      <c r="CA31" s="54"/>
      <c r="CB31" s="54"/>
      <c r="CC31" s="59">
        <f t="shared" si="43"/>
        <v>0.1658255227108868</v>
      </c>
      <c r="CD31" s="59">
        <f t="shared" si="44"/>
        <v>0.23792357606344627</v>
      </c>
      <c r="CE31" s="59">
        <f t="shared" si="45"/>
        <v>0.1658255227108868</v>
      </c>
      <c r="CF31" s="59">
        <f t="shared" si="46"/>
        <v>0.23792357606344627</v>
      </c>
      <c r="CG31" s="85">
        <f t="shared" si="47"/>
        <v>0.1658255227108868</v>
      </c>
      <c r="CH31" s="85">
        <f t="shared" si="48"/>
        <v>0.23792357606344627</v>
      </c>
    </row>
    <row r="32" spans="1:86">
      <c r="A32" s="19">
        <v>28</v>
      </c>
      <c r="B32" s="3" t="s">
        <v>285</v>
      </c>
      <c r="C32" s="3" t="s">
        <v>80</v>
      </c>
      <c r="D32" s="54">
        <v>2925.6458130000001</v>
      </c>
      <c r="E32" s="54">
        <v>1100.1171569999999</v>
      </c>
      <c r="F32" s="54">
        <v>7684.8200989999996</v>
      </c>
      <c r="G32" s="54">
        <v>365.70571899999999</v>
      </c>
      <c r="H32" s="54">
        <v>1828.528595</v>
      </c>
      <c r="I32" s="54">
        <v>3291.3515010000001</v>
      </c>
      <c r="J32" s="54">
        <v>4025.762909</v>
      </c>
      <c r="K32" s="54">
        <f t="shared" si="1"/>
        <v>21221.931793</v>
      </c>
      <c r="L32" s="54">
        <v>438.84699999999998</v>
      </c>
      <c r="M32" s="54">
        <v>548.55899999999997</v>
      </c>
      <c r="N32" s="54">
        <v>1345.27</v>
      </c>
      <c r="O32" s="54">
        <v>0</v>
      </c>
      <c r="P32" s="54">
        <v>365.70600000000002</v>
      </c>
      <c r="Q32" s="54">
        <v>0</v>
      </c>
      <c r="R32" s="54">
        <v>0</v>
      </c>
      <c r="S32" s="54">
        <v>2698.39</v>
      </c>
      <c r="T32" s="54">
        <v>0</v>
      </c>
      <c r="U32" s="54">
        <v>0</v>
      </c>
      <c r="V32" s="54">
        <v>365.70600000000002</v>
      </c>
      <c r="W32" s="54">
        <v>0</v>
      </c>
      <c r="X32" s="54">
        <v>0</v>
      </c>
      <c r="Y32" s="54">
        <v>182.85300000000001</v>
      </c>
      <c r="Z32" s="54">
        <v>365.70600000000002</v>
      </c>
      <c r="AA32" s="57">
        <v>914.26400000000001</v>
      </c>
      <c r="AB32" s="54">
        <v>4205.62</v>
      </c>
      <c r="AC32" s="54">
        <v>3291.35</v>
      </c>
      <c r="AD32" s="57">
        <v>7496.97</v>
      </c>
      <c r="AE32" s="82">
        <v>3622.7367445499999</v>
      </c>
      <c r="AF32" s="82">
        <v>275</v>
      </c>
      <c r="AG32" s="61">
        <v>5.7337987158429149</v>
      </c>
      <c r="AH32" s="54">
        <f t="shared" si="40"/>
        <v>5712311.9057778763</v>
      </c>
      <c r="AI32" s="54">
        <f t="shared" si="2"/>
        <v>16968.905383000001</v>
      </c>
      <c r="AJ32" s="54">
        <f t="shared" si="24"/>
        <v>24834.578793000001</v>
      </c>
      <c r="AK32" s="54">
        <v>8050.5260989999997</v>
      </c>
      <c r="AL32" s="54">
        <f t="shared" si="3"/>
        <v>4427.7893544500002</v>
      </c>
      <c r="AM32" s="54">
        <f t="shared" si="4"/>
        <v>3622.7367445499999</v>
      </c>
      <c r="AN32" s="54">
        <f t="shared" si="25"/>
        <v>4025.7629699999998</v>
      </c>
      <c r="AO32" s="57">
        <f t="shared" si="26"/>
        <v>1828.528595</v>
      </c>
      <c r="AP32" s="57">
        <f t="shared" si="27"/>
        <v>365.70571899999999</v>
      </c>
      <c r="AQ32" s="57">
        <f t="shared" si="28"/>
        <v>1710.9760000000001</v>
      </c>
      <c r="AR32" s="57">
        <f t="shared" si="29"/>
        <v>987.40599999999995</v>
      </c>
      <c r="AS32" s="57">
        <f t="shared" si="30"/>
        <v>4391.4689090000002</v>
      </c>
      <c r="AT32" s="57">
        <f t="shared" si="31"/>
        <v>3474.2045010000002</v>
      </c>
      <c r="AU32" s="58">
        <f t="shared" si="41"/>
        <v>0.50006209786712719</v>
      </c>
      <c r="AV32" s="58">
        <f t="shared" si="42"/>
        <v>0.14587470054338603</v>
      </c>
      <c r="AW32" s="54">
        <v>250</v>
      </c>
      <c r="AX32" s="54">
        <v>350</v>
      </c>
      <c r="AY32" s="54">
        <v>20</v>
      </c>
      <c r="AZ32" s="54">
        <v>200</v>
      </c>
      <c r="BA32" s="54">
        <v>300</v>
      </c>
      <c r="BB32" s="58">
        <v>3.8</v>
      </c>
      <c r="BC32" s="58">
        <f t="shared" si="49"/>
        <v>0.4722882507468894</v>
      </c>
      <c r="BD32" s="58">
        <v>0.65</v>
      </c>
      <c r="BE32" s="58">
        <f t="shared" si="52"/>
        <v>0.11111124614519878</v>
      </c>
      <c r="BF32" s="58">
        <f t="shared" si="53"/>
        <v>4.3478250531431756E-2</v>
      </c>
      <c r="BG32" s="58">
        <f t="shared" si="50"/>
        <v>4.7814082976862127E-2</v>
      </c>
      <c r="BH32" s="60">
        <v>3.5000000000000003E-2</v>
      </c>
      <c r="BI32" s="60">
        <v>0.21129999999999999</v>
      </c>
      <c r="BJ32" s="60">
        <v>0.04</v>
      </c>
      <c r="BK32" s="22">
        <v>1.1000000000000001</v>
      </c>
      <c r="BL32" s="22">
        <f>(D32+T32)/(AN32)</f>
        <v>0.72673076750964305</v>
      </c>
      <c r="BM32" s="58">
        <v>0.95</v>
      </c>
      <c r="BN32" s="58">
        <v>0.52944999999999998</v>
      </c>
      <c r="BO32" s="58">
        <v>0.51286999999999994</v>
      </c>
      <c r="BP32" s="58">
        <v>11.304</v>
      </c>
      <c r="BQ32" s="58">
        <v>12.990400000000001</v>
      </c>
      <c r="BR32" s="61">
        <v>18.46</v>
      </c>
      <c r="BS32" s="58">
        <v>0.2</v>
      </c>
      <c r="BT32" s="58">
        <v>0</v>
      </c>
      <c r="BU32" s="58">
        <v>0.48</v>
      </c>
      <c r="BV32" s="58">
        <v>0.32</v>
      </c>
      <c r="BW32" s="54">
        <f t="shared" si="34"/>
        <v>250</v>
      </c>
      <c r="BX32" s="54">
        <f t="shared" si="35"/>
        <v>350</v>
      </c>
      <c r="BY32" s="54">
        <f t="shared" si="19"/>
        <v>200</v>
      </c>
      <c r="BZ32" s="54">
        <f t="shared" si="20"/>
        <v>280</v>
      </c>
      <c r="CA32" s="54">
        <f>((BW32*N32)+(P32*BY32))/(N32+P32)</f>
        <v>239.31294185307098</v>
      </c>
      <c r="CB32" s="54">
        <f>(((L32+M32)*BX32)+(BZ32*O32))/(M32+O32+L32)</f>
        <v>350</v>
      </c>
      <c r="CC32" s="59">
        <f t="shared" si="43"/>
        <v>0.1658255227108868</v>
      </c>
      <c r="CD32" s="59">
        <f t="shared" si="44"/>
        <v>0.23792357606344627</v>
      </c>
      <c r="CE32" s="59">
        <f t="shared" si="45"/>
        <v>0.1658255227108868</v>
      </c>
      <c r="CF32" s="59">
        <f t="shared" si="46"/>
        <v>0.23792357606344627</v>
      </c>
      <c r="CG32" s="85">
        <f t="shared" si="47"/>
        <v>0.1658255227108868</v>
      </c>
      <c r="CH32" s="85">
        <f t="shared" si="48"/>
        <v>0.23792357606344627</v>
      </c>
    </row>
    <row r="33" spans="1:86">
      <c r="A33" s="19">
        <v>29</v>
      </c>
      <c r="B33" s="3" t="s">
        <v>286</v>
      </c>
      <c r="C33" s="3" t="s">
        <v>78</v>
      </c>
      <c r="D33" s="54">
        <v>0</v>
      </c>
      <c r="E33" s="54">
        <v>442.49960329999999</v>
      </c>
      <c r="F33" s="54">
        <v>670.24940489999994</v>
      </c>
      <c r="G33" s="54">
        <v>1765.9983830000001</v>
      </c>
      <c r="H33" s="54">
        <v>3</v>
      </c>
      <c r="I33" s="54">
        <v>2</v>
      </c>
      <c r="J33" s="54">
        <v>226.74980160000001</v>
      </c>
      <c r="K33" s="54">
        <f t="shared" si="1"/>
        <v>3110.4971928</v>
      </c>
      <c r="L33" s="54">
        <v>0</v>
      </c>
      <c r="M33" s="54">
        <v>0</v>
      </c>
      <c r="N33" s="54">
        <v>0</v>
      </c>
      <c r="O33" s="54">
        <v>0</v>
      </c>
      <c r="P33" s="54">
        <v>0</v>
      </c>
      <c r="Q33" s="54">
        <v>0</v>
      </c>
      <c r="R33" s="54">
        <v>0</v>
      </c>
      <c r="S33" s="54">
        <v>0</v>
      </c>
      <c r="T33" s="54">
        <v>0</v>
      </c>
      <c r="U33" s="54">
        <v>0</v>
      </c>
      <c r="V33" s="54">
        <v>0</v>
      </c>
      <c r="W33" s="54">
        <v>0</v>
      </c>
      <c r="X33" s="54">
        <v>0</v>
      </c>
      <c r="Y33" s="54">
        <v>0</v>
      </c>
      <c r="Z33" s="54">
        <v>0</v>
      </c>
      <c r="AA33" s="57">
        <v>0</v>
      </c>
      <c r="AB33" s="54">
        <v>441.5</v>
      </c>
      <c r="AC33" s="54">
        <v>0</v>
      </c>
      <c r="AD33" s="57">
        <v>441.5</v>
      </c>
      <c r="AE33" s="82">
        <v>301.612232205</v>
      </c>
      <c r="AF33" s="82">
        <v>275</v>
      </c>
      <c r="AG33" s="61">
        <v>12.818200535309861</v>
      </c>
      <c r="AH33" s="54">
        <f t="shared" si="40"/>
        <v>1063184.6709841867</v>
      </c>
      <c r="AI33" s="54">
        <f t="shared" si="2"/>
        <v>2881.7473912</v>
      </c>
      <c r="AJ33" s="54">
        <f t="shared" si="24"/>
        <v>3110.4971928</v>
      </c>
      <c r="AK33" s="54">
        <v>670.24940489999994</v>
      </c>
      <c r="AL33" s="54">
        <f t="shared" si="3"/>
        <v>368.63717269499995</v>
      </c>
      <c r="AM33" s="54">
        <f t="shared" si="4"/>
        <v>301.612232205</v>
      </c>
      <c r="AN33" s="54">
        <f t="shared" si="25"/>
        <v>442.49960329999999</v>
      </c>
      <c r="AO33" s="57">
        <f t="shared" si="26"/>
        <v>3</v>
      </c>
      <c r="AP33" s="57">
        <f t="shared" si="27"/>
        <v>1765.9983830000001</v>
      </c>
      <c r="AQ33" s="57">
        <f t="shared" si="28"/>
        <v>0</v>
      </c>
      <c r="AR33" s="57">
        <f t="shared" si="29"/>
        <v>0</v>
      </c>
      <c r="AS33" s="57">
        <f t="shared" si="30"/>
        <v>226.74980160000001</v>
      </c>
      <c r="AT33" s="57">
        <f t="shared" si="31"/>
        <v>2</v>
      </c>
      <c r="AU33" s="58">
        <f t="shared" si="41"/>
        <v>0.66020141169095137</v>
      </c>
      <c r="AV33" s="58">
        <f t="shared" si="42"/>
        <v>9.6965923294563536E-2</v>
      </c>
      <c r="AW33" s="54">
        <v>250</v>
      </c>
      <c r="AX33" s="54">
        <v>350</v>
      </c>
      <c r="AY33" s="54">
        <v>20</v>
      </c>
      <c r="AZ33" s="54">
        <v>200</v>
      </c>
      <c r="BA33" s="54">
        <v>300</v>
      </c>
      <c r="BB33" s="58">
        <v>3.8</v>
      </c>
      <c r="BC33" s="58">
        <f t="shared" si="49"/>
        <v>0.1</v>
      </c>
      <c r="BD33" s="58">
        <v>0.65</v>
      </c>
      <c r="BE33" s="58"/>
      <c r="BF33" s="58">
        <f t="shared" si="53"/>
        <v>0</v>
      </c>
      <c r="BG33" s="58">
        <f t="shared" si="50"/>
        <v>0</v>
      </c>
      <c r="BH33" s="60">
        <v>3.5000000000000003E-2</v>
      </c>
      <c r="BI33" s="60">
        <v>0.21129999999999999</v>
      </c>
      <c r="BJ33" s="60">
        <v>0.04</v>
      </c>
      <c r="BK33" s="22">
        <v>1.1000000000000001</v>
      </c>
      <c r="BL33" s="22">
        <f>(D33+T33)/(AN33)</f>
        <v>0</v>
      </c>
      <c r="BM33" s="58">
        <v>0.95</v>
      </c>
      <c r="BN33" s="58">
        <v>0.53874999999999995</v>
      </c>
      <c r="BO33" s="58">
        <v>0.51434000000000002</v>
      </c>
      <c r="BP33" s="58">
        <v>13.6328</v>
      </c>
      <c r="BQ33" s="58">
        <v>13.055680000000001</v>
      </c>
      <c r="BR33" s="61">
        <v>18.603999999999999</v>
      </c>
      <c r="BS33" s="58">
        <v>0</v>
      </c>
      <c r="BT33" s="58">
        <v>0.75</v>
      </c>
      <c r="BU33" s="58">
        <v>0</v>
      </c>
      <c r="BV33" s="58">
        <v>0.25</v>
      </c>
      <c r="BW33" s="54">
        <f t="shared" si="34"/>
        <v>250</v>
      </c>
      <c r="BX33" s="54">
        <f t="shared" si="35"/>
        <v>350</v>
      </c>
      <c r="BY33" s="54">
        <f t="shared" si="19"/>
        <v>200</v>
      </c>
      <c r="BZ33" s="54">
        <f t="shared" si="20"/>
        <v>280</v>
      </c>
      <c r="CA33" s="54"/>
      <c r="CB33" s="54"/>
      <c r="CC33" s="59">
        <f t="shared" si="43"/>
        <v>0.1658255227108868</v>
      </c>
      <c r="CD33" s="59">
        <f t="shared" si="44"/>
        <v>0.23792357606344627</v>
      </c>
      <c r="CE33" s="59">
        <f t="shared" si="45"/>
        <v>0.1658255227108868</v>
      </c>
      <c r="CF33" s="59">
        <f t="shared" si="46"/>
        <v>0.23792357606344627</v>
      </c>
      <c r="CG33" s="85">
        <f t="shared" si="47"/>
        <v>0.1658255227108868</v>
      </c>
      <c r="CH33" s="85">
        <f t="shared" si="48"/>
        <v>0.23792357606344627</v>
      </c>
    </row>
    <row r="34" spans="1:86">
      <c r="A34" s="19">
        <v>30</v>
      </c>
      <c r="B34" s="3" t="s">
        <v>287</v>
      </c>
      <c r="C34" s="3" t="s">
        <v>80</v>
      </c>
      <c r="D34" s="54">
        <v>14</v>
      </c>
      <c r="E34" s="54">
        <v>5</v>
      </c>
      <c r="F34" s="54">
        <v>7605.9050289999996</v>
      </c>
      <c r="G34" s="54">
        <v>42</v>
      </c>
      <c r="H34" s="54">
        <v>924.06597899999997</v>
      </c>
      <c r="I34" s="54">
        <v>1193.754639</v>
      </c>
      <c r="J34" s="54">
        <v>588.37731929999995</v>
      </c>
      <c r="K34" s="54">
        <f t="shared" si="1"/>
        <v>10373.102966300001</v>
      </c>
      <c r="L34" s="54">
        <v>0</v>
      </c>
      <c r="M34" s="54">
        <v>0</v>
      </c>
      <c r="N34" s="54">
        <v>0</v>
      </c>
      <c r="O34" s="54">
        <v>0</v>
      </c>
      <c r="P34" s="54">
        <v>0</v>
      </c>
      <c r="Q34" s="54">
        <v>0</v>
      </c>
      <c r="R34" s="54">
        <v>0</v>
      </c>
      <c r="S34" s="54">
        <v>0</v>
      </c>
      <c r="T34" s="54">
        <v>0</v>
      </c>
      <c r="U34" s="54">
        <v>0</v>
      </c>
      <c r="V34" s="54">
        <v>145.34399999999999</v>
      </c>
      <c r="W34" s="54">
        <v>0</v>
      </c>
      <c r="X34" s="54">
        <v>0</v>
      </c>
      <c r="Y34" s="54">
        <v>0</v>
      </c>
      <c r="Z34" s="54">
        <v>0</v>
      </c>
      <c r="AA34" s="57">
        <v>145.34399999999999</v>
      </c>
      <c r="AB34" s="54">
        <v>581.37699999999995</v>
      </c>
      <c r="AC34" s="54">
        <v>1162.75</v>
      </c>
      <c r="AD34" s="57">
        <v>1744.13</v>
      </c>
      <c r="AE34" s="82">
        <v>3488.0620630499998</v>
      </c>
      <c r="AF34" s="82">
        <v>275</v>
      </c>
      <c r="AG34" s="61">
        <v>5.1724114556854772</v>
      </c>
      <c r="AH34" s="54">
        <f t="shared" si="40"/>
        <v>4961465.3475919776</v>
      </c>
      <c r="AI34" s="54">
        <f t="shared" si="2"/>
        <v>8736.3150079999996</v>
      </c>
      <c r="AJ34" s="54">
        <f t="shared" si="24"/>
        <v>10518.4469663</v>
      </c>
      <c r="AK34" s="54">
        <v>7751.2490289999996</v>
      </c>
      <c r="AL34" s="54">
        <f t="shared" si="3"/>
        <v>4263.1869659499998</v>
      </c>
      <c r="AM34" s="54">
        <f t="shared" si="4"/>
        <v>3488.0620630499998</v>
      </c>
      <c r="AN34" s="54">
        <f t="shared" si="25"/>
        <v>19</v>
      </c>
      <c r="AO34" s="57">
        <f t="shared" si="26"/>
        <v>924.06597899999997</v>
      </c>
      <c r="AP34" s="57">
        <f t="shared" si="27"/>
        <v>42</v>
      </c>
      <c r="AQ34" s="57">
        <f t="shared" si="28"/>
        <v>0</v>
      </c>
      <c r="AR34" s="57">
        <f t="shared" si="29"/>
        <v>0</v>
      </c>
      <c r="AS34" s="57">
        <f t="shared" si="30"/>
        <v>588.37731929999995</v>
      </c>
      <c r="AT34" s="57">
        <f t="shared" si="31"/>
        <v>1193.754639</v>
      </c>
      <c r="AU34" s="58">
        <f t="shared" si="41"/>
        <v>2.4512178526215171E-3</v>
      </c>
      <c r="AV34" s="58">
        <f t="shared" si="42"/>
        <v>0.33161378996589369</v>
      </c>
      <c r="AW34" s="54">
        <v>250</v>
      </c>
      <c r="AX34" s="54">
        <v>350</v>
      </c>
      <c r="AY34" s="54">
        <v>20</v>
      </c>
      <c r="AZ34" s="54">
        <v>200</v>
      </c>
      <c r="BA34" s="54">
        <v>300</v>
      </c>
      <c r="BB34" s="58">
        <v>3.8</v>
      </c>
      <c r="BC34" s="58">
        <f t="shared" si="49"/>
        <v>0.1</v>
      </c>
      <c r="BD34" s="58">
        <v>0.65</v>
      </c>
      <c r="BE34" s="58">
        <f>Z34/AC34</f>
        <v>0</v>
      </c>
      <c r="BF34" s="58">
        <f t="shared" si="53"/>
        <v>0</v>
      </c>
      <c r="BG34" s="58">
        <f t="shared" si="50"/>
        <v>4.1443235787392403E-2</v>
      </c>
      <c r="BH34" s="60">
        <v>3.5000000000000003E-2</v>
      </c>
      <c r="BI34" s="60">
        <v>0.21129999999999999</v>
      </c>
      <c r="BJ34" s="60">
        <v>0.04</v>
      </c>
      <c r="BK34" s="22">
        <v>1.1000000000000001</v>
      </c>
      <c r="BL34" s="22">
        <f>(D34+T34)/(AN34)</f>
        <v>0.73684210526315785</v>
      </c>
      <c r="BM34" s="58">
        <v>0.95</v>
      </c>
      <c r="BN34" s="58">
        <v>0.52944999999999998</v>
      </c>
      <c r="BO34" s="58">
        <v>0.51286999999999994</v>
      </c>
      <c r="BP34" s="58">
        <v>11.304</v>
      </c>
      <c r="BQ34" s="58">
        <v>12.990400000000001</v>
      </c>
      <c r="BR34" s="61">
        <v>18.46</v>
      </c>
      <c r="BS34" s="58">
        <v>0.2</v>
      </c>
      <c r="BT34" s="58">
        <v>0</v>
      </c>
      <c r="BU34" s="58">
        <v>0.48</v>
      </c>
      <c r="BV34" s="58">
        <v>0.32</v>
      </c>
      <c r="BW34" s="54">
        <f t="shared" si="34"/>
        <v>250</v>
      </c>
      <c r="BX34" s="54">
        <f t="shared" si="35"/>
        <v>350</v>
      </c>
      <c r="BY34" s="54">
        <f t="shared" si="19"/>
        <v>200</v>
      </c>
      <c r="BZ34" s="54">
        <f t="shared" si="20"/>
        <v>280</v>
      </c>
      <c r="CA34" s="54"/>
      <c r="CB34" s="54"/>
      <c r="CC34" s="59">
        <f t="shared" si="43"/>
        <v>0.1658255227108868</v>
      </c>
      <c r="CD34" s="59">
        <f t="shared" si="44"/>
        <v>0.23792357606344627</v>
      </c>
      <c r="CE34" s="59">
        <f t="shared" si="45"/>
        <v>0.1658255227108868</v>
      </c>
      <c r="CF34" s="59">
        <f t="shared" si="46"/>
        <v>0.23792357606344627</v>
      </c>
      <c r="CG34" s="85">
        <f t="shared" si="47"/>
        <v>0.1658255227108868</v>
      </c>
      <c r="CH34" s="85">
        <f t="shared" si="48"/>
        <v>0.23792357606344627</v>
      </c>
    </row>
    <row r="35" spans="1:86">
      <c r="A35" s="19">
        <v>31</v>
      </c>
      <c r="B35" s="3" t="s">
        <v>288</v>
      </c>
      <c r="C35" s="3" t="s">
        <v>78</v>
      </c>
      <c r="D35" s="54">
        <v>407.9812622</v>
      </c>
      <c r="E35" s="54">
        <v>7794.5877689999998</v>
      </c>
      <c r="F35" s="54">
        <v>64519.628109999998</v>
      </c>
      <c r="G35" s="54">
        <v>1451.9250489999999</v>
      </c>
      <c r="H35" s="54">
        <v>32738.29523</v>
      </c>
      <c r="I35" s="54">
        <v>16193.1571</v>
      </c>
      <c r="J35" s="54">
        <v>23291.782169999999</v>
      </c>
      <c r="K35" s="54">
        <f t="shared" si="1"/>
        <v>146397.35669019999</v>
      </c>
      <c r="L35" s="54">
        <v>0</v>
      </c>
      <c r="M35" s="54">
        <v>4235.78</v>
      </c>
      <c r="N35" s="54">
        <v>5412.38</v>
      </c>
      <c r="O35" s="54">
        <v>0</v>
      </c>
      <c r="P35" s="54">
        <v>2924.7</v>
      </c>
      <c r="Q35" s="54">
        <v>1764.91</v>
      </c>
      <c r="R35" s="54">
        <v>352.98099999999999</v>
      </c>
      <c r="S35" s="54">
        <v>14690.7</v>
      </c>
      <c r="T35" s="54">
        <v>0</v>
      </c>
      <c r="U35" s="54">
        <v>0</v>
      </c>
      <c r="V35" s="54">
        <v>3903.56</v>
      </c>
      <c r="W35" s="54">
        <v>0</v>
      </c>
      <c r="X35" s="54">
        <v>352.98099999999999</v>
      </c>
      <c r="Y35" s="54">
        <v>0</v>
      </c>
      <c r="Z35" s="54">
        <v>1058.94</v>
      </c>
      <c r="AA35" s="57">
        <v>5315.48</v>
      </c>
      <c r="AB35" s="54">
        <v>22943.8</v>
      </c>
      <c r="AC35" s="54">
        <v>15884.2</v>
      </c>
      <c r="AD35" s="57">
        <v>38827.9</v>
      </c>
      <c r="AE35" s="82">
        <v>30790.434649500003</v>
      </c>
      <c r="AF35" s="82">
        <v>275</v>
      </c>
      <c r="AG35" s="61">
        <v>8.0794746716697929</v>
      </c>
      <c r="AH35" s="54">
        <f t="shared" si="40"/>
        <v>68411897.642093286</v>
      </c>
      <c r="AI35" s="54">
        <f t="shared" si="2"/>
        <v>125859.70942020002</v>
      </c>
      <c r="AJ35" s="54">
        <f t="shared" si="24"/>
        <v>166403.58869020003</v>
      </c>
      <c r="AK35" s="54">
        <v>68423.188110000003</v>
      </c>
      <c r="AL35" s="54">
        <f t="shared" si="3"/>
        <v>37632.753460499996</v>
      </c>
      <c r="AM35" s="54">
        <f t="shared" si="4"/>
        <v>30790.434649500003</v>
      </c>
      <c r="AN35" s="54">
        <f t="shared" si="25"/>
        <v>8202.5690312000006</v>
      </c>
      <c r="AO35" s="57">
        <f t="shared" si="26"/>
        <v>33091.276230000003</v>
      </c>
      <c r="AP35" s="57">
        <f t="shared" si="27"/>
        <v>1451.9250489999999</v>
      </c>
      <c r="AQ35" s="57">
        <f t="shared" si="28"/>
        <v>8690.0609999999997</v>
      </c>
      <c r="AR35" s="57">
        <f t="shared" si="29"/>
        <v>6000.69</v>
      </c>
      <c r="AS35" s="57">
        <f t="shared" si="30"/>
        <v>24350.722169999997</v>
      </c>
      <c r="AT35" s="57">
        <f t="shared" si="31"/>
        <v>16193.1571</v>
      </c>
      <c r="AU35" s="58">
        <f t="shared" si="41"/>
        <v>0.11987995967117471</v>
      </c>
      <c r="AV35" s="58">
        <f t="shared" si="42"/>
        <v>0.18503467919086614</v>
      </c>
      <c r="AW35" s="54">
        <v>250</v>
      </c>
      <c r="AX35" s="54">
        <v>350</v>
      </c>
      <c r="AY35" s="54">
        <v>20</v>
      </c>
      <c r="AZ35" s="54">
        <v>200</v>
      </c>
      <c r="BA35" s="54">
        <v>300</v>
      </c>
      <c r="BB35" s="58">
        <v>3.8</v>
      </c>
      <c r="BC35" s="58">
        <f t="shared" si="49"/>
        <v>0.30255954831580395</v>
      </c>
      <c r="BD35" s="58">
        <v>0.65</v>
      </c>
      <c r="BE35" s="58">
        <f>Z35/AC35</f>
        <v>6.6666246962390305E-2</v>
      </c>
      <c r="BF35" s="58">
        <f t="shared" si="53"/>
        <v>0</v>
      </c>
      <c r="BG35" s="58">
        <f t="shared" si="50"/>
        <v>0.10010924092857479</v>
      </c>
      <c r="BH35" s="60">
        <v>3.5000000000000003E-2</v>
      </c>
      <c r="BI35" s="60">
        <v>0.21129999999999999</v>
      </c>
      <c r="BJ35" s="60">
        <v>0.04</v>
      </c>
      <c r="BK35" s="22">
        <v>1.1000000000000001</v>
      </c>
      <c r="BL35" s="22">
        <f>(D35+T35)/(AN35)</f>
        <v>4.9738229650755417E-2</v>
      </c>
      <c r="BM35" s="58">
        <v>0.95</v>
      </c>
      <c r="BN35" s="58">
        <v>0.53874999999999995</v>
      </c>
      <c r="BO35" s="58">
        <v>0.51434000000000002</v>
      </c>
      <c r="BP35" s="58">
        <v>13.6328</v>
      </c>
      <c r="BQ35" s="58">
        <v>13.055680000000001</v>
      </c>
      <c r="BR35" s="61">
        <v>18.603999999999999</v>
      </c>
      <c r="BS35" s="58">
        <v>0</v>
      </c>
      <c r="BT35" s="58">
        <v>0.75</v>
      </c>
      <c r="BU35" s="58">
        <v>0</v>
      </c>
      <c r="BV35" s="58">
        <v>0.25</v>
      </c>
      <c r="BW35" s="54">
        <f t="shared" si="34"/>
        <v>250</v>
      </c>
      <c r="BX35" s="54">
        <f t="shared" si="35"/>
        <v>350</v>
      </c>
      <c r="BY35" s="54">
        <f t="shared" si="19"/>
        <v>200</v>
      </c>
      <c r="BZ35" s="54">
        <f t="shared" si="20"/>
        <v>280</v>
      </c>
      <c r="CA35" s="54">
        <f>((BW35*N35)+(P35*BY35))/(N35+P35)</f>
        <v>232.45968612511814</v>
      </c>
      <c r="CB35" s="54">
        <f>(((L35+M35)*BX35)+(BZ35*O35))/(M35+O35+L35)</f>
        <v>350</v>
      </c>
      <c r="CC35" s="59">
        <f t="shared" si="43"/>
        <v>0.1658255227108868</v>
      </c>
      <c r="CD35" s="59">
        <f t="shared" si="44"/>
        <v>0.23792357606344627</v>
      </c>
      <c r="CE35" s="59">
        <f t="shared" si="45"/>
        <v>0.1658255227108868</v>
      </c>
      <c r="CF35" s="59">
        <f t="shared" si="46"/>
        <v>0.23792357606344627</v>
      </c>
      <c r="CG35" s="85">
        <f t="shared" si="47"/>
        <v>0.1658255227108868</v>
      </c>
      <c r="CH35" s="85">
        <f t="shared" si="48"/>
        <v>0.23792357606344627</v>
      </c>
    </row>
    <row r="36" spans="1:86">
      <c r="A36" s="6"/>
      <c r="D36" s="2"/>
      <c r="E36" s="2"/>
      <c r="F36" s="2"/>
      <c r="G36" s="2"/>
      <c r="H36" s="2"/>
      <c r="I36" s="2"/>
    </row>
    <row r="37" spans="1:86">
      <c r="A37" s="6"/>
      <c r="D37" s="2"/>
      <c r="E37" s="2"/>
      <c r="F37" s="2"/>
      <c r="G37" s="2"/>
      <c r="H37" s="2"/>
      <c r="I37" s="2"/>
    </row>
    <row r="38" spans="1:86">
      <c r="A38" s="6"/>
      <c r="D38" s="2"/>
      <c r="E38" s="2"/>
      <c r="F38" s="2"/>
      <c r="G38" s="2"/>
      <c r="H38" s="2"/>
      <c r="I38" s="2"/>
    </row>
    <row r="40" spans="1:86">
      <c r="AG40" s="90">
        <f>AVERAGE(AG5,AG9,AG21,AG26,AG28,AG33,AG35)</f>
        <v>9.7315669390130068</v>
      </c>
      <c r="BC40" s="89">
        <f t="shared" ref="BC40:BF40" si="54">AVERAGE(BC5,BC9,BC21,BC26,BC28,BC33,BC35)</f>
        <v>0.22032550142580473</v>
      </c>
      <c r="BD40" s="89">
        <f t="shared" si="54"/>
        <v>0.65</v>
      </c>
      <c r="BE40" s="89">
        <f t="shared" si="54"/>
        <v>1.6554487522212093E-2</v>
      </c>
      <c r="BF40" s="89">
        <f t="shared" si="54"/>
        <v>8.0407878045266942E-3</v>
      </c>
      <c r="BG40" s="89">
        <f>AVERAGE(BG5,BG9,BG21,BG26,BG28,BG33,BG35)</f>
        <v>6.7381621694323671E-2</v>
      </c>
      <c r="BH40" s="89">
        <f t="shared" ref="BH40:BV40" si="55">AVERAGE(BH5,BH9,BH21,BH26,BH28,BH33,BH35)</f>
        <v>3.5000000000000003E-2</v>
      </c>
      <c r="BI40" s="89">
        <f t="shared" si="55"/>
        <v>0.21130000000000002</v>
      </c>
      <c r="BJ40" s="89">
        <f t="shared" si="55"/>
        <v>0.04</v>
      </c>
      <c r="BK40" s="89">
        <f t="shared" si="55"/>
        <v>1.0999999999999999</v>
      </c>
      <c r="BL40" s="89">
        <f t="shared" si="55"/>
        <v>0.21429102782292478</v>
      </c>
      <c r="BM40" s="89">
        <f t="shared" si="55"/>
        <v>0.95000000000000007</v>
      </c>
      <c r="BN40" s="89">
        <f t="shared" si="55"/>
        <v>0.53874999999999995</v>
      </c>
      <c r="BO40" s="89">
        <f t="shared" si="55"/>
        <v>0.51433999999999991</v>
      </c>
      <c r="BP40" s="89">
        <f t="shared" si="55"/>
        <v>13.632800000000001</v>
      </c>
      <c r="BQ40" s="89">
        <f t="shared" si="55"/>
        <v>13.055679999999999</v>
      </c>
      <c r="BR40" s="89">
        <f t="shared" si="55"/>
        <v>18.604000000000003</v>
      </c>
      <c r="BS40" s="89">
        <f t="shared" si="55"/>
        <v>0</v>
      </c>
      <c r="BT40" s="89">
        <f t="shared" si="55"/>
        <v>0.75</v>
      </c>
      <c r="BU40" s="89">
        <f t="shared" si="55"/>
        <v>0</v>
      </c>
      <c r="BV40" s="89">
        <f t="shared" si="55"/>
        <v>0.25</v>
      </c>
    </row>
    <row r="41" spans="1:86">
      <c r="AG41" s="90">
        <f>AVERAGE(AG6,AG8,AG10,AG11,AG12,AG13,AG14,AG15,AG16,AG17,AG18,AG22,AG23,AG24,AG29,AG27,AG31)</f>
        <v>7.6095134067273174</v>
      </c>
      <c r="BC41" s="92">
        <f>AVERAGE(BC6,BC8,BC10,BC11,BC12,BC13,BC14,BC15,BC16,BC17,BC18,BC22,BC23,BC24,BC29,BC27,BC31)</f>
        <v>0.3565138296665647</v>
      </c>
      <c r="BD41" s="92">
        <f t="shared" ref="BD41:BV41" si="56">AVERAGE(BD6,BD8,BD10,BD11,BD12,BD13,BD14,BD15,BD16,BD17,BD18,BD22,BD23,BD24,BD29,BD27,BD31)</f>
        <v>0.65000000000000013</v>
      </c>
      <c r="BE41" s="91">
        <f t="shared" si="56"/>
        <v>5.7368644866971817E-2</v>
      </c>
      <c r="BF41" s="91">
        <f t="shared" si="56"/>
        <v>8.8141016932192423E-2</v>
      </c>
      <c r="BG41" s="91">
        <f t="shared" si="56"/>
        <v>5.1503964867700883E-2</v>
      </c>
      <c r="BH41" s="92">
        <f t="shared" si="56"/>
        <v>3.5000000000000017E-2</v>
      </c>
      <c r="BI41" s="92">
        <f t="shared" si="56"/>
        <v>0.21130000000000002</v>
      </c>
      <c r="BJ41" s="92">
        <f t="shared" si="56"/>
        <v>0.04</v>
      </c>
      <c r="BK41" s="92">
        <f t="shared" si="56"/>
        <v>1.0999999999999999</v>
      </c>
      <c r="BL41" s="92">
        <f t="shared" si="56"/>
        <v>0.12996458464772964</v>
      </c>
      <c r="BM41" s="92">
        <f t="shared" si="56"/>
        <v>0.94999999999999973</v>
      </c>
      <c r="BN41" s="92">
        <f t="shared" si="56"/>
        <v>0.58235999999999977</v>
      </c>
      <c r="BO41" s="92">
        <f t="shared" si="56"/>
        <v>0.52346000000000004</v>
      </c>
      <c r="BP41" s="92">
        <f t="shared" si="56"/>
        <v>15.020800000000007</v>
      </c>
      <c r="BQ41" s="92">
        <f t="shared" si="56"/>
        <v>13.415999999999997</v>
      </c>
      <c r="BR41" s="92">
        <f t="shared" si="56"/>
        <v>18.490000000000002</v>
      </c>
      <c r="BS41" s="92">
        <f t="shared" si="56"/>
        <v>0</v>
      </c>
      <c r="BT41" s="92">
        <f t="shared" si="56"/>
        <v>0</v>
      </c>
      <c r="BU41" s="92">
        <f t="shared" si="56"/>
        <v>0.59999999999999987</v>
      </c>
      <c r="BV41" s="92">
        <f t="shared" si="56"/>
        <v>0.40000000000000008</v>
      </c>
    </row>
    <row r="42" spans="1:86">
      <c r="AG42" s="90">
        <f>AVERAGE(AG7,AG19,AG20,AG25,AG30,AG32,AG34)</f>
        <v>7.4673745561424019</v>
      </c>
      <c r="BC42" s="91">
        <f>AVERAGE(BC7,BC19,BC20,BC25,BC30,BC32,BC34)</f>
        <v>0.21291744594443035</v>
      </c>
      <c r="BD42" s="91">
        <f t="shared" ref="BD42:BV42" si="57">AVERAGE(BD7,BD19,BD20,BD25,BD30,BD32,BD34)</f>
        <v>0.65</v>
      </c>
      <c r="BE42" s="91">
        <f t="shared" si="57"/>
        <v>1.5873035163599825E-2</v>
      </c>
      <c r="BF42" s="91">
        <f t="shared" si="57"/>
        <v>6.2111786473473939E-3</v>
      </c>
      <c r="BG42" s="91">
        <f t="shared" si="57"/>
        <v>5.2786242917923207E-2</v>
      </c>
      <c r="BH42" s="91">
        <f t="shared" si="57"/>
        <v>3.5000000000000003E-2</v>
      </c>
      <c r="BI42" s="91">
        <f t="shared" si="57"/>
        <v>0.21130000000000002</v>
      </c>
      <c r="BJ42" s="91">
        <f t="shared" si="57"/>
        <v>0.04</v>
      </c>
      <c r="BK42" s="91">
        <f t="shared" si="57"/>
        <v>1.0999999999999999</v>
      </c>
      <c r="BL42" s="91">
        <f t="shared" si="57"/>
        <v>0.32984008029863759</v>
      </c>
      <c r="BM42" s="91">
        <f t="shared" si="57"/>
        <v>0.95000000000000007</v>
      </c>
      <c r="BN42" s="91">
        <f t="shared" si="57"/>
        <v>0.52944999999999987</v>
      </c>
      <c r="BO42" s="91">
        <f t="shared" si="57"/>
        <v>0.51286999999999994</v>
      </c>
      <c r="BP42" s="91">
        <f t="shared" si="57"/>
        <v>11.304</v>
      </c>
      <c r="BQ42" s="91">
        <f t="shared" si="57"/>
        <v>12.990399999999998</v>
      </c>
      <c r="BR42" s="91">
        <f t="shared" si="57"/>
        <v>18.460000000000004</v>
      </c>
      <c r="BS42" s="91">
        <f t="shared" si="57"/>
        <v>0.19999999999999998</v>
      </c>
      <c r="BT42" s="91">
        <f t="shared" si="57"/>
        <v>0</v>
      </c>
      <c r="BU42" s="91">
        <f t="shared" si="57"/>
        <v>0.48</v>
      </c>
      <c r="BV42" s="91">
        <f t="shared" si="57"/>
        <v>0.32</v>
      </c>
    </row>
  </sheetData>
  <autoFilter ref="A3:CH35" xr:uid="{00000000-0001-0000-0300-000000000000}"/>
  <sortState xmlns:xlrd2="http://schemas.microsoft.com/office/spreadsheetml/2017/richdata2" ref="A5:CH35">
    <sortCondition ref="B5:B35"/>
  </sortState>
  <mergeCells count="8">
    <mergeCell ref="BS2:BV2"/>
    <mergeCell ref="D1:AD1"/>
    <mergeCell ref="D2:K2"/>
    <mergeCell ref="L2:S2"/>
    <mergeCell ref="T2:AA2"/>
    <mergeCell ref="AB2:AD2"/>
    <mergeCell ref="BN2:BO2"/>
    <mergeCell ref="BP2:BQ2"/>
  </mergeCells>
  <pageMargins left="0.7" right="0.7" top="0.75" bottom="0.75" header="0.3" footer="0.3"/>
  <pageSetup paperSize="9" orientation="portrait" r:id="rId1"/>
  <ignoredErrors>
    <ignoredError sqref="AN4"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4388B-2DF9-4D10-B238-58A791A01294}">
  <dimension ref="A1:K34"/>
  <sheetViews>
    <sheetView workbookViewId="0">
      <selection activeCell="F40" sqref="F40"/>
    </sheetView>
  </sheetViews>
  <sheetFormatPr defaultColWidth="8.85546875" defaultRowHeight="14.45"/>
  <cols>
    <col min="4" max="4" width="22.140625" bestFit="1" customWidth="1"/>
    <col min="5" max="5" width="14" bestFit="1" customWidth="1"/>
    <col min="6" max="6" width="18.28515625" bestFit="1" customWidth="1"/>
    <col min="7" max="8" width="9.5703125" customWidth="1"/>
    <col min="9" max="9" width="22.140625" bestFit="1" customWidth="1"/>
    <col min="10" max="10" width="14" bestFit="1" customWidth="1"/>
    <col min="11" max="11" width="18.28515625" bestFit="1" customWidth="1"/>
  </cols>
  <sheetData>
    <row r="1" spans="1:11">
      <c r="B1" s="258" t="s">
        <v>307</v>
      </c>
      <c r="C1" s="258"/>
      <c r="D1" s="258"/>
      <c r="E1" s="258"/>
      <c r="F1" s="258"/>
      <c r="G1" s="259" t="s">
        <v>308</v>
      </c>
      <c r="H1" s="259"/>
      <c r="I1" s="259"/>
      <c r="J1" s="259"/>
      <c r="K1" s="259"/>
    </row>
    <row r="2" spans="1:11">
      <c r="A2" s="3" t="s">
        <v>225</v>
      </c>
      <c r="B2" s="3" t="s">
        <v>309</v>
      </c>
      <c r="C2" s="3" t="s">
        <v>310</v>
      </c>
      <c r="D2" s="3" t="s">
        <v>311</v>
      </c>
      <c r="E2" s="3" t="s">
        <v>312</v>
      </c>
      <c r="F2" s="3" t="s">
        <v>313</v>
      </c>
      <c r="G2" s="3" t="s">
        <v>309</v>
      </c>
      <c r="H2" s="3" t="s">
        <v>310</v>
      </c>
      <c r="I2" s="3" t="s">
        <v>311</v>
      </c>
      <c r="J2" s="3" t="s">
        <v>312</v>
      </c>
      <c r="K2" s="3" t="s">
        <v>313</v>
      </c>
    </row>
    <row r="3" spans="1:11">
      <c r="A3" s="3" t="s">
        <v>258</v>
      </c>
      <c r="B3" s="87">
        <v>262791</v>
      </c>
      <c r="C3" s="87">
        <v>771601.6320000001</v>
      </c>
      <c r="D3" s="88">
        <v>3.096816</v>
      </c>
      <c r="E3" s="87">
        <v>103.9353</v>
      </c>
      <c r="F3" s="87">
        <f>(B3*D3*E3)+(C3*3.06*105*0.75)</f>
        <v>270520848.25596142</v>
      </c>
      <c r="G3" s="87">
        <v>23737.2064785</v>
      </c>
      <c r="H3" s="87">
        <v>29012.141251500001</v>
      </c>
      <c r="I3" s="88">
        <v>9.1542254718585276</v>
      </c>
      <c r="J3" s="87">
        <v>275</v>
      </c>
      <c r="K3" s="87">
        <f>(G3*I3*J3)+(H3*8.36*275*0.75)</f>
        <v>109780513.10136761</v>
      </c>
    </row>
    <row r="4" spans="1:11">
      <c r="A4" s="3" t="s">
        <v>259</v>
      </c>
      <c r="B4" s="87">
        <v>2752.99</v>
      </c>
      <c r="C4" s="87">
        <v>7543.7849610000012</v>
      </c>
      <c r="D4" s="88">
        <v>2.1666669999999999</v>
      </c>
      <c r="E4" s="87">
        <v>106.2</v>
      </c>
      <c r="F4" s="87">
        <f t="shared" ref="F4:F33" si="0">(B4*D4*E4)+(C4*3.06*105*0.75)</f>
        <v>2451326.6774328211</v>
      </c>
      <c r="G4" s="87">
        <v>4890.0487320000002</v>
      </c>
      <c r="H4" s="87">
        <v>5976.7262280000004</v>
      </c>
      <c r="I4" s="88">
        <v>12.640669962369955</v>
      </c>
      <c r="J4" s="87">
        <v>275</v>
      </c>
      <c r="K4" s="87">
        <f t="shared" ref="K4:K33" si="1">(G4*I4*J4)+(H4*8.36*275*0.75)</f>
        <v>27304080.531936366</v>
      </c>
    </row>
    <row r="5" spans="1:11">
      <c r="A5" s="3" t="s">
        <v>260</v>
      </c>
      <c r="B5" s="87">
        <v>289603</v>
      </c>
      <c r="C5" s="87">
        <v>416913.33149999997</v>
      </c>
      <c r="D5" s="88">
        <v>3.1460080000000001</v>
      </c>
      <c r="E5" s="87">
        <v>106.7679</v>
      </c>
      <c r="F5" s="87">
        <f t="shared" si="0"/>
        <v>197741214.25672585</v>
      </c>
      <c r="G5" s="87">
        <v>1074.68706645</v>
      </c>
      <c r="H5" s="87">
        <v>1313.5064145499998</v>
      </c>
      <c r="I5" s="88">
        <v>7.7106452890867141</v>
      </c>
      <c r="J5" s="87">
        <v>275</v>
      </c>
      <c r="K5" s="87">
        <f t="shared" si="1"/>
        <v>4543609.3959832434</v>
      </c>
    </row>
    <row r="6" spans="1:11">
      <c r="A6" s="3" t="s">
        <v>261</v>
      </c>
      <c r="B6" s="87">
        <v>199404</v>
      </c>
      <c r="C6" s="87">
        <v>214850.92820000002</v>
      </c>
      <c r="D6" s="88">
        <v>3.2052939999999999</v>
      </c>
      <c r="E6" s="87">
        <v>107.3441</v>
      </c>
      <c r="F6" s="87">
        <f t="shared" si="0"/>
        <v>120382516.99387442</v>
      </c>
      <c r="G6" s="87">
        <v>6.75</v>
      </c>
      <c r="H6" s="87">
        <v>8.25</v>
      </c>
      <c r="I6" s="88">
        <v>2.5555404486743711</v>
      </c>
      <c r="J6" s="87">
        <v>275</v>
      </c>
      <c r="K6" s="87">
        <f t="shared" si="1"/>
        <v>18968.784457851802</v>
      </c>
    </row>
    <row r="7" spans="1:11">
      <c r="A7" s="3" t="s">
        <v>262</v>
      </c>
      <c r="B7" s="87">
        <v>42141.4</v>
      </c>
      <c r="C7" s="87">
        <v>121120.6551</v>
      </c>
      <c r="D7" s="88">
        <v>2.6033330000000001</v>
      </c>
      <c r="E7" s="87">
        <v>101.92310000000001</v>
      </c>
      <c r="F7" s="87">
        <f t="shared" si="0"/>
        <v>40368839.233233593</v>
      </c>
      <c r="G7" s="87">
        <v>8203.6794870000012</v>
      </c>
      <c r="H7" s="87">
        <v>10026.719373</v>
      </c>
      <c r="I7" s="88">
        <v>8.4146079039933781</v>
      </c>
      <c r="J7" s="87">
        <v>275</v>
      </c>
      <c r="K7" s="87">
        <f t="shared" si="1"/>
        <v>36272026.098508351</v>
      </c>
    </row>
    <row r="8" spans="1:11">
      <c r="A8" s="3" t="s">
        <v>263</v>
      </c>
      <c r="B8" s="87">
        <v>118796</v>
      </c>
      <c r="C8" s="87">
        <v>434346.36159999995</v>
      </c>
      <c r="D8" s="88">
        <v>3.1363639999999999</v>
      </c>
      <c r="E8" s="87">
        <v>104.04689999999999</v>
      </c>
      <c r="F8" s="87">
        <f t="shared" si="0"/>
        <v>143433188.60558018</v>
      </c>
      <c r="G8" s="87">
        <v>8892.7444890000006</v>
      </c>
      <c r="H8" s="87">
        <v>10868.909930999998</v>
      </c>
      <c r="I8" s="88">
        <v>9.7307597047702394</v>
      </c>
      <c r="J8" s="87">
        <v>275</v>
      </c>
      <c r="K8" s="87">
        <f t="shared" si="1"/>
        <v>42537336.876580924</v>
      </c>
    </row>
    <row r="9" spans="1:11">
      <c r="A9" s="3" t="s">
        <v>264</v>
      </c>
      <c r="B9" s="87">
        <v>13831.8</v>
      </c>
      <c r="C9" s="87">
        <v>16510.96227</v>
      </c>
      <c r="D9" s="88">
        <v>2.883721</v>
      </c>
      <c r="E9" s="87">
        <v>104.3214</v>
      </c>
      <c r="F9" s="87">
        <f t="shared" si="0"/>
        <v>8139802.252858324</v>
      </c>
      <c r="G9" s="87">
        <v>604.15328790000001</v>
      </c>
      <c r="H9" s="87">
        <v>738.40957409999999</v>
      </c>
      <c r="I9" s="88">
        <v>7.3610384759058647</v>
      </c>
      <c r="J9" s="87">
        <v>275</v>
      </c>
      <c r="K9" s="87">
        <f t="shared" si="1"/>
        <v>2496181.4974755812</v>
      </c>
    </row>
    <row r="10" spans="1:11">
      <c r="A10" s="3" t="s">
        <v>265</v>
      </c>
      <c r="B10" s="87">
        <v>3784.87</v>
      </c>
      <c r="C10" s="87">
        <v>8658.3415400000013</v>
      </c>
      <c r="D10" s="88">
        <v>3.110465</v>
      </c>
      <c r="E10" s="87">
        <v>103.9186</v>
      </c>
      <c r="F10" s="87">
        <f t="shared" si="0"/>
        <v>3309846.9434736059</v>
      </c>
      <c r="G10" s="87">
        <v>247.97287903500001</v>
      </c>
      <c r="H10" s="87">
        <v>303.07796326499999</v>
      </c>
      <c r="I10" s="88">
        <v>5.625</v>
      </c>
      <c r="J10" s="87">
        <v>275</v>
      </c>
      <c r="K10" s="87">
        <f t="shared" si="1"/>
        <v>906165.22541694192</v>
      </c>
    </row>
    <row r="11" spans="1:11">
      <c r="A11" s="3" t="s">
        <v>266</v>
      </c>
      <c r="B11" s="87">
        <v>51686.1</v>
      </c>
      <c r="C11" s="87">
        <v>138180.93969999999</v>
      </c>
      <c r="D11" s="88">
        <v>3.086957</v>
      </c>
      <c r="E11" s="87">
        <v>104.9318</v>
      </c>
      <c r="F11" s="87">
        <f t="shared" si="0"/>
        <v>50040311.106174916</v>
      </c>
      <c r="G11" s="87">
        <v>0</v>
      </c>
      <c r="H11" s="87">
        <v>0</v>
      </c>
      <c r="I11" s="88">
        <v>10.466868120008634</v>
      </c>
      <c r="J11" s="87">
        <v>275</v>
      </c>
      <c r="K11" s="87">
        <f t="shared" si="1"/>
        <v>0</v>
      </c>
    </row>
    <row r="12" spans="1:11">
      <c r="A12" s="3" t="s">
        <v>267</v>
      </c>
      <c r="B12" s="87">
        <v>90016</v>
      </c>
      <c r="C12" s="87">
        <v>109584.73060000001</v>
      </c>
      <c r="D12" s="88">
        <v>2.8250000000000002</v>
      </c>
      <c r="E12" s="87">
        <v>112.35</v>
      </c>
      <c r="F12" s="87">
        <f t="shared" si="0"/>
        <v>54977246.176335</v>
      </c>
      <c r="G12" s="87">
        <v>1320.8872468500001</v>
      </c>
      <c r="H12" s="87">
        <v>1614.4177461500001</v>
      </c>
      <c r="I12" s="88">
        <v>5.5070463084253412</v>
      </c>
      <c r="J12" s="87">
        <v>275</v>
      </c>
      <c r="K12" s="87">
        <f t="shared" si="1"/>
        <v>4784061.2888672743</v>
      </c>
    </row>
    <row r="13" spans="1:11">
      <c r="A13" s="3" t="s">
        <v>268</v>
      </c>
      <c r="B13" s="87">
        <v>112825</v>
      </c>
      <c r="C13" s="87">
        <v>190796.81030000001</v>
      </c>
      <c r="D13" s="88">
        <v>2.9189189999999998</v>
      </c>
      <c r="E13" s="87">
        <v>102.86060000000001</v>
      </c>
      <c r="F13" s="87">
        <f t="shared" si="0"/>
        <v>79852037.899224699</v>
      </c>
      <c r="G13" s="87">
        <v>12594.768830999999</v>
      </c>
      <c r="H13" s="87">
        <v>15393.606349</v>
      </c>
      <c r="I13" s="88">
        <v>8</v>
      </c>
      <c r="J13" s="87">
        <v>275</v>
      </c>
      <c r="K13" s="87">
        <f t="shared" si="1"/>
        <v>54250917.175463244</v>
      </c>
    </row>
    <row r="14" spans="1:11">
      <c r="A14" s="3" t="s">
        <v>269</v>
      </c>
      <c r="B14" s="87">
        <v>5868.33</v>
      </c>
      <c r="C14" s="87">
        <v>17653.907959999997</v>
      </c>
      <c r="D14" s="88">
        <v>2.9404759999999999</v>
      </c>
      <c r="E14" s="87">
        <v>107.9756</v>
      </c>
      <c r="F14" s="87">
        <f t="shared" si="0"/>
        <v>6117343.2526916275</v>
      </c>
      <c r="G14" s="87">
        <v>1430.4063915000002</v>
      </c>
      <c r="H14" s="87">
        <v>1748.2744785</v>
      </c>
      <c r="I14" s="88">
        <v>10</v>
      </c>
      <c r="J14" s="87">
        <v>275</v>
      </c>
      <c r="K14" s="87">
        <f t="shared" si="1"/>
        <v>6948079.8461786257</v>
      </c>
    </row>
    <row r="15" spans="1:11">
      <c r="A15" s="3" t="s">
        <v>270</v>
      </c>
      <c r="B15" s="87">
        <v>3532.02</v>
      </c>
      <c r="C15" s="87">
        <v>9176.1003199999996</v>
      </c>
      <c r="D15" s="88">
        <v>3.1184210000000001</v>
      </c>
      <c r="E15" s="87">
        <v>106.6571</v>
      </c>
      <c r="F15" s="87">
        <f t="shared" si="0"/>
        <v>3385966.7738777101</v>
      </c>
      <c r="G15" s="87">
        <v>841.68874934999997</v>
      </c>
      <c r="H15" s="87">
        <v>1028.7306936499999</v>
      </c>
      <c r="I15" s="88">
        <v>6.9583222723652778</v>
      </c>
      <c r="J15" s="87">
        <v>275</v>
      </c>
      <c r="K15" s="87">
        <f t="shared" si="1"/>
        <v>3384392.8305513919</v>
      </c>
    </row>
    <row r="16" spans="1:11">
      <c r="A16" s="3" t="s">
        <v>271</v>
      </c>
      <c r="B16" s="87">
        <v>12451.1</v>
      </c>
      <c r="C16" s="87">
        <v>99438.116699999984</v>
      </c>
      <c r="D16" s="88">
        <v>2.8333330000000001</v>
      </c>
      <c r="E16" s="87">
        <v>88.333330000000004</v>
      </c>
      <c r="F16" s="87">
        <f t="shared" si="0"/>
        <v>27078333.326461956</v>
      </c>
      <c r="G16" s="87">
        <v>433.21665343500001</v>
      </c>
      <c r="H16" s="87">
        <v>529.48702086499998</v>
      </c>
      <c r="I16" s="88">
        <v>5</v>
      </c>
      <c r="J16" s="87">
        <v>275</v>
      </c>
      <c r="K16" s="87">
        <f t="shared" si="1"/>
        <v>1508640.8941996009</v>
      </c>
    </row>
    <row r="17" spans="1:11">
      <c r="A17" s="3" t="s">
        <v>272</v>
      </c>
      <c r="B17" s="87">
        <v>242437</v>
      </c>
      <c r="C17" s="87">
        <v>562114.71389999997</v>
      </c>
      <c r="D17" s="88">
        <v>3.1160929999999998</v>
      </c>
      <c r="E17" s="87">
        <v>105.5761</v>
      </c>
      <c r="F17" s="87">
        <f t="shared" si="0"/>
        <v>215213716.57843858</v>
      </c>
      <c r="G17" s="87">
        <v>7969.2596685000008</v>
      </c>
      <c r="H17" s="87">
        <v>9740.2062615000013</v>
      </c>
      <c r="I17" s="88">
        <v>7.504716703602738</v>
      </c>
      <c r="J17" s="87">
        <v>275</v>
      </c>
      <c r="K17" s="87">
        <f t="shared" si="1"/>
        <v>33241485.587514758</v>
      </c>
    </row>
    <row r="18" spans="1:11">
      <c r="A18" s="3" t="s">
        <v>273</v>
      </c>
      <c r="B18" s="87">
        <v>204998</v>
      </c>
      <c r="C18" s="87">
        <v>467527.20680000004</v>
      </c>
      <c r="D18" s="88">
        <v>3.022656</v>
      </c>
      <c r="E18" s="87">
        <v>106.51430000000001</v>
      </c>
      <c r="F18" s="87">
        <f t="shared" si="0"/>
        <v>178662722.78251806</v>
      </c>
      <c r="G18" s="87">
        <v>1228.7398176000002</v>
      </c>
      <c r="H18" s="87">
        <v>1501.7931103999999</v>
      </c>
      <c r="I18" s="88">
        <v>9.0577283779089957</v>
      </c>
      <c r="J18" s="87">
        <v>275</v>
      </c>
      <c r="K18" s="87">
        <f t="shared" si="1"/>
        <v>5650104.4372163173</v>
      </c>
    </row>
    <row r="19" spans="1:11">
      <c r="A19" s="3" t="s">
        <v>274</v>
      </c>
      <c r="B19" s="87">
        <v>91745.4</v>
      </c>
      <c r="C19" s="87">
        <v>229155.79309999998</v>
      </c>
      <c r="D19" s="88">
        <v>2.821895</v>
      </c>
      <c r="E19" s="87">
        <v>104.41840000000001</v>
      </c>
      <c r="F19" s="87">
        <f t="shared" si="0"/>
        <v>82254311.376211509</v>
      </c>
      <c r="G19" s="87">
        <v>17763.340760999999</v>
      </c>
      <c r="H19" s="87">
        <v>21710.749818999997</v>
      </c>
      <c r="I19" s="88">
        <v>8.7796596594129674</v>
      </c>
      <c r="J19" s="87">
        <v>275</v>
      </c>
      <c r="K19" s="87">
        <f t="shared" si="1"/>
        <v>80322684.106744111</v>
      </c>
    </row>
    <row r="20" spans="1:11">
      <c r="A20" s="3" t="s">
        <v>275</v>
      </c>
      <c r="B20" s="87">
        <v>6093.18</v>
      </c>
      <c r="C20" s="87">
        <v>8688.43505</v>
      </c>
      <c r="D20" s="88">
        <v>3.3017859999999999</v>
      </c>
      <c r="E20" s="87">
        <v>94.017859999999999</v>
      </c>
      <c r="F20" s="87">
        <f t="shared" si="0"/>
        <v>3985182.3338077217</v>
      </c>
      <c r="G20" s="87">
        <v>2135.7645916500001</v>
      </c>
      <c r="H20" s="87">
        <v>2610.3789453499999</v>
      </c>
      <c r="I20" s="88">
        <v>9.5211584071901143</v>
      </c>
      <c r="J20" s="87">
        <v>275</v>
      </c>
      <c r="K20" s="87">
        <f t="shared" si="1"/>
        <v>10093057.970850762</v>
      </c>
    </row>
    <row r="21" spans="1:11">
      <c r="A21" s="3" t="s">
        <v>276</v>
      </c>
      <c r="B21" s="87">
        <v>110456</v>
      </c>
      <c r="C21" s="87">
        <v>216195.0295</v>
      </c>
      <c r="D21" s="88">
        <v>2.581731</v>
      </c>
      <c r="E21" s="87">
        <v>98.032610000000005</v>
      </c>
      <c r="F21" s="87">
        <f t="shared" si="0"/>
        <v>80053329.126713648</v>
      </c>
      <c r="G21" s="87">
        <v>3417.9346799999998</v>
      </c>
      <c r="H21" s="87">
        <v>4177.4757200000004</v>
      </c>
      <c r="I21" s="88">
        <v>10.511935703146866</v>
      </c>
      <c r="J21" s="87">
        <v>275</v>
      </c>
      <c r="K21" s="87">
        <f t="shared" si="1"/>
        <v>17083517.648481861</v>
      </c>
    </row>
    <row r="22" spans="1:11">
      <c r="A22" s="3" t="s">
        <v>277</v>
      </c>
      <c r="B22" s="87">
        <v>6102.47</v>
      </c>
      <c r="C22" s="87">
        <v>49570.800510000001</v>
      </c>
      <c r="D22" s="88">
        <v>3.625</v>
      </c>
      <c r="E22" s="87">
        <v>112</v>
      </c>
      <c r="F22" s="87">
        <f t="shared" si="0"/>
        <v>14422926.47289725</v>
      </c>
      <c r="G22" s="87">
        <v>1416.7067872500002</v>
      </c>
      <c r="H22" s="87">
        <v>1731.5305177499999</v>
      </c>
      <c r="I22" s="88">
        <v>2.2500409634605933</v>
      </c>
      <c r="J22" s="87">
        <v>275</v>
      </c>
      <c r="K22" s="87">
        <f t="shared" si="1"/>
        <v>3862194.7789748539</v>
      </c>
    </row>
    <row r="23" spans="1:11">
      <c r="A23" s="3" t="s">
        <v>278</v>
      </c>
      <c r="B23" s="87">
        <v>177296</v>
      </c>
      <c r="C23" s="87">
        <v>333359.86499999999</v>
      </c>
      <c r="D23" s="88">
        <v>3.0977640000000002</v>
      </c>
      <c r="E23" s="87">
        <v>106.53270000000001</v>
      </c>
      <c r="F23" s="87">
        <f t="shared" si="0"/>
        <v>138841407.19484392</v>
      </c>
      <c r="G23" s="87">
        <v>1782.229779</v>
      </c>
      <c r="H23" s="87">
        <v>2178.2808409999998</v>
      </c>
      <c r="I23" s="88">
        <v>7.4691321437484399</v>
      </c>
      <c r="J23" s="87">
        <v>275</v>
      </c>
      <c r="K23" s="87">
        <f t="shared" si="1"/>
        <v>7416620.915809758</v>
      </c>
    </row>
    <row r="24" spans="1:11">
      <c r="A24" s="3" t="s">
        <v>279</v>
      </c>
      <c r="B24" s="87">
        <v>4447.99</v>
      </c>
      <c r="C24" s="87">
        <v>116234.7993</v>
      </c>
      <c r="D24" s="88">
        <v>2.8653849999999998</v>
      </c>
      <c r="E24" s="87">
        <v>106.13639999999999</v>
      </c>
      <c r="F24" s="87">
        <f t="shared" si="0"/>
        <v>29362410.81269129</v>
      </c>
      <c r="G24" s="87">
        <v>6902.7629670000006</v>
      </c>
      <c r="H24" s="87">
        <v>8436.7102930000001</v>
      </c>
      <c r="I24" s="88">
        <v>6.1099975761493095</v>
      </c>
      <c r="J24" s="87">
        <v>275</v>
      </c>
      <c r="K24" s="87">
        <f t="shared" si="1"/>
        <v>26145360.596908636</v>
      </c>
    </row>
    <row r="25" spans="1:11">
      <c r="A25" s="3" t="s">
        <v>280</v>
      </c>
      <c r="B25" s="87">
        <v>65611.899999999994</v>
      </c>
      <c r="C25" s="87">
        <v>207133.55860000002</v>
      </c>
      <c r="D25" s="88">
        <v>3.0416669999999999</v>
      </c>
      <c r="E25" s="87">
        <v>104.03189999999999</v>
      </c>
      <c r="F25" s="87">
        <f t="shared" si="0"/>
        <v>70675608.860192299</v>
      </c>
      <c r="G25" s="87">
        <v>5302.3380075000005</v>
      </c>
      <c r="H25" s="87">
        <v>6480.6353424999998</v>
      </c>
      <c r="I25" s="88">
        <v>8.2537434237150951</v>
      </c>
      <c r="J25" s="87">
        <v>275</v>
      </c>
      <c r="K25" s="87">
        <f t="shared" si="1"/>
        <v>23209373.290727999</v>
      </c>
    </row>
    <row r="26" spans="1:11">
      <c r="A26" s="3" t="s">
        <v>281</v>
      </c>
      <c r="B26" s="87">
        <v>61098.5</v>
      </c>
      <c r="C26" s="87">
        <v>158740.7887</v>
      </c>
      <c r="D26" s="88">
        <v>3.244186</v>
      </c>
      <c r="E26" s="87">
        <v>106.4286</v>
      </c>
      <c r="F26" s="87">
        <f t="shared" si="0"/>
        <v>59348295.684428886</v>
      </c>
      <c r="G26" s="87">
        <v>853.25579685000002</v>
      </c>
      <c r="H26" s="87">
        <v>1042.8681961499999</v>
      </c>
      <c r="I26" s="88">
        <v>14.764802754697207</v>
      </c>
      <c r="J26" s="87">
        <v>275</v>
      </c>
      <c r="K26" s="87">
        <f t="shared" si="1"/>
        <v>5262657.7106545037</v>
      </c>
    </row>
    <row r="27" spans="1:11">
      <c r="A27" s="3" t="s">
        <v>282</v>
      </c>
      <c r="B27" s="87">
        <v>29412.3</v>
      </c>
      <c r="C27" s="87">
        <v>105266.2778</v>
      </c>
      <c r="D27" s="88">
        <v>2.2580650000000002</v>
      </c>
      <c r="E27" s="87">
        <v>111.94119999999999</v>
      </c>
      <c r="F27" s="87">
        <f t="shared" si="0"/>
        <v>32801103.239949271</v>
      </c>
      <c r="G27" s="87">
        <v>15959.910717000001</v>
      </c>
      <c r="H27" s="87">
        <v>19506.557543000003</v>
      </c>
      <c r="I27" s="88">
        <v>8</v>
      </c>
      <c r="J27" s="87">
        <v>275</v>
      </c>
      <c r="K27" s="87">
        <f t="shared" si="1"/>
        <v>68745985.420917749</v>
      </c>
    </row>
    <row r="28" spans="1:11">
      <c r="A28" s="3" t="s">
        <v>283</v>
      </c>
      <c r="B28" s="87">
        <v>195931</v>
      </c>
      <c r="C28" s="87">
        <v>392624.00919999997</v>
      </c>
      <c r="D28" s="88">
        <v>3.1027870000000002</v>
      </c>
      <c r="E28" s="87">
        <v>101.6401</v>
      </c>
      <c r="F28" s="87">
        <f t="shared" si="0"/>
        <v>156402856.12178907</v>
      </c>
      <c r="G28" s="87">
        <v>1778.7287758500001</v>
      </c>
      <c r="H28" s="87">
        <v>2174.00183715</v>
      </c>
      <c r="I28" s="88">
        <v>9.6231892071215306</v>
      </c>
      <c r="J28" s="87">
        <v>275</v>
      </c>
      <c r="K28" s="87">
        <f t="shared" si="1"/>
        <v>8455709.6461988464</v>
      </c>
    </row>
    <row r="29" spans="1:11">
      <c r="A29" s="3" t="s">
        <v>284</v>
      </c>
      <c r="B29" s="87">
        <v>246079</v>
      </c>
      <c r="C29" s="87">
        <v>419626.92290000001</v>
      </c>
      <c r="D29" s="88">
        <v>3.1010070000000001</v>
      </c>
      <c r="E29" s="87">
        <v>105.464</v>
      </c>
      <c r="F29" s="87">
        <f t="shared" si="0"/>
        <v>181598406.42241311</v>
      </c>
      <c r="G29" s="87">
        <v>732.13612965000004</v>
      </c>
      <c r="H29" s="87">
        <v>894.8330473499999</v>
      </c>
      <c r="I29" s="88">
        <v>6.9796041243320541</v>
      </c>
      <c r="J29" s="87">
        <v>275</v>
      </c>
      <c r="K29" s="87">
        <f t="shared" si="1"/>
        <v>2948171.47816459</v>
      </c>
    </row>
    <row r="30" spans="1:11">
      <c r="A30" s="3" t="s">
        <v>285</v>
      </c>
      <c r="B30" s="87">
        <v>229846</v>
      </c>
      <c r="C30" s="87">
        <v>283310.10200000001</v>
      </c>
      <c r="D30" s="88">
        <v>3.1707320000000001</v>
      </c>
      <c r="E30" s="87">
        <v>104.4066</v>
      </c>
      <c r="F30" s="87">
        <f t="shared" si="0"/>
        <v>144360100.80109081</v>
      </c>
      <c r="G30" s="87">
        <v>3622.7367445499999</v>
      </c>
      <c r="H30" s="87">
        <v>4427.7893544500002</v>
      </c>
      <c r="I30" s="88">
        <v>5.7337987158429149</v>
      </c>
      <c r="J30" s="87">
        <v>275</v>
      </c>
      <c r="K30" s="87">
        <f t="shared" si="1"/>
        <v>13346927.700188288</v>
      </c>
    </row>
    <row r="31" spans="1:11">
      <c r="A31" s="3" t="s">
        <v>286</v>
      </c>
      <c r="B31" s="87">
        <v>77703.899999999994</v>
      </c>
      <c r="C31" s="87">
        <v>174398.33620000002</v>
      </c>
      <c r="D31" s="88">
        <v>2.8229169999999999</v>
      </c>
      <c r="E31" s="87">
        <v>104.4</v>
      </c>
      <c r="F31" s="87">
        <f t="shared" si="0"/>
        <v>64925952.398640722</v>
      </c>
      <c r="G31" s="87">
        <v>301.612232205</v>
      </c>
      <c r="H31" s="87">
        <v>368.63717269499995</v>
      </c>
      <c r="I31" s="88">
        <v>12.818200535309861</v>
      </c>
      <c r="J31" s="87">
        <v>275</v>
      </c>
      <c r="K31" s="87">
        <f t="shared" si="1"/>
        <v>1698807.3160035403</v>
      </c>
    </row>
    <row r="32" spans="1:11">
      <c r="A32" s="3" t="s">
        <v>287</v>
      </c>
      <c r="B32" s="87">
        <v>253335</v>
      </c>
      <c r="C32" s="87">
        <v>636066.82680000004</v>
      </c>
      <c r="D32" s="88">
        <v>3.2430949999999998</v>
      </c>
      <c r="E32" s="87">
        <v>105.99509999999999</v>
      </c>
      <c r="F32" s="87">
        <f t="shared" si="0"/>
        <v>240360661.81316805</v>
      </c>
      <c r="G32" s="87">
        <v>3488.0620630499998</v>
      </c>
      <c r="H32" s="87">
        <v>4263.1869659499998</v>
      </c>
      <c r="I32" s="88">
        <v>5.1724114556854772</v>
      </c>
      <c r="J32" s="87">
        <v>275</v>
      </c>
      <c r="K32" s="87">
        <f t="shared" si="1"/>
        <v>12312265.473631267</v>
      </c>
    </row>
    <row r="33" spans="1:11">
      <c r="A33" s="3" t="s">
        <v>288</v>
      </c>
      <c r="B33" s="87">
        <v>194846</v>
      </c>
      <c r="C33" s="87">
        <v>313369.32870000001</v>
      </c>
      <c r="D33" s="88">
        <v>2.8928569999999998</v>
      </c>
      <c r="E33" s="87">
        <v>105.0288</v>
      </c>
      <c r="F33" s="87">
        <f t="shared" si="0"/>
        <v>134714877.01530513</v>
      </c>
      <c r="G33" s="87">
        <v>30790.434649500003</v>
      </c>
      <c r="H33" s="87">
        <v>37632.753460499996</v>
      </c>
      <c r="I33" s="88">
        <v>8.0794746716697929</v>
      </c>
      <c r="J33" s="87">
        <v>275</v>
      </c>
      <c r="K33" s="87">
        <f t="shared" si="1"/>
        <v>133300172.7963604</v>
      </c>
    </row>
    <row r="34" spans="1:11">
      <c r="B34" s="2">
        <f>SUM(B3:B33)</f>
        <v>3406923.25</v>
      </c>
      <c r="C34" s="2">
        <f t="shared" ref="C34" si="2">SUM(C3:C33)</f>
        <v>7229759.396811001</v>
      </c>
      <c r="F34" s="2">
        <f>SUM(F3:F33)</f>
        <v>2835782690.7890053</v>
      </c>
      <c r="G34" s="2">
        <f>SUM(G3:G33)</f>
        <v>169724.16446017503</v>
      </c>
      <c r="H34" s="2">
        <f t="shared" ref="H34" si="3">SUM(H3:H33)</f>
        <v>207440.64545132499</v>
      </c>
      <c r="K34" s="2">
        <f>SUM(K3:K33)</f>
        <v>747830070.42233527</v>
      </c>
    </row>
  </sheetData>
  <mergeCells count="2">
    <mergeCell ref="B1:F1"/>
    <mergeCell ref="G1:K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U10"/>
  <sheetViews>
    <sheetView workbookViewId="0">
      <selection activeCell="G20" sqref="G20"/>
    </sheetView>
  </sheetViews>
  <sheetFormatPr defaultColWidth="59.140625" defaultRowHeight="14.45"/>
  <cols>
    <col min="1" max="1" width="5" bestFit="1" customWidth="1"/>
    <col min="2" max="2" width="10.5703125" bestFit="1" customWidth="1"/>
    <col min="3" max="3" width="26.140625" bestFit="1" customWidth="1"/>
    <col min="4" max="4" width="5" bestFit="1" customWidth="1"/>
    <col min="5" max="5" width="11.5703125" bestFit="1" customWidth="1"/>
    <col min="6" max="6" width="11.42578125" bestFit="1" customWidth="1"/>
    <col min="7" max="7" width="13.28515625" bestFit="1" customWidth="1"/>
    <col min="8" max="8" width="17.85546875" bestFit="1" customWidth="1"/>
    <col min="9" max="9" width="26.140625" bestFit="1" customWidth="1"/>
    <col min="10" max="10" width="17.42578125" customWidth="1"/>
    <col min="11" max="11" width="5.7109375" bestFit="1" customWidth="1"/>
    <col min="12" max="12" width="6.42578125" bestFit="1" customWidth="1"/>
    <col min="13" max="13" width="4.5703125" bestFit="1" customWidth="1"/>
    <col min="14" max="14" width="7.140625" bestFit="1" customWidth="1"/>
    <col min="15" max="15" width="7.85546875" bestFit="1" customWidth="1"/>
    <col min="16" max="16" width="4.42578125" bestFit="1" customWidth="1"/>
    <col min="17" max="17" width="4.5703125" bestFit="1" customWidth="1"/>
    <col min="18" max="18" width="7.28515625" customWidth="1"/>
    <col min="19" max="19" width="4.5703125" bestFit="1" customWidth="1"/>
    <col min="20" max="20" width="6.140625" bestFit="1" customWidth="1"/>
    <col min="21" max="22" width="4.5703125" bestFit="1" customWidth="1"/>
    <col min="23" max="24" width="13.5703125" bestFit="1" customWidth="1"/>
    <col min="25" max="25" width="9" bestFit="1" customWidth="1"/>
    <col min="26" max="26" width="9.7109375" bestFit="1" customWidth="1"/>
    <col min="27" max="27" width="10.42578125" bestFit="1" customWidth="1"/>
    <col min="28" max="28" width="10.140625" bestFit="1" customWidth="1"/>
    <col min="29" max="29" width="10.85546875" bestFit="1" customWidth="1"/>
    <col min="30" max="30" width="9.5703125" bestFit="1" customWidth="1"/>
    <col min="31" max="31" width="10.28515625" bestFit="1" customWidth="1"/>
    <col min="32" max="32" width="6.140625" bestFit="1" customWidth="1"/>
    <col min="33" max="33" width="11.5703125" bestFit="1" customWidth="1"/>
    <col min="34" max="34" width="8.7109375" bestFit="1" customWidth="1"/>
    <col min="35" max="35" width="7" bestFit="1" customWidth="1"/>
    <col min="36" max="36" width="9.42578125" bestFit="1" customWidth="1"/>
    <col min="37" max="37" width="7.7109375" bestFit="1" customWidth="1"/>
    <col min="38" max="38" width="11.5703125" bestFit="1" customWidth="1"/>
    <col min="39" max="39" width="7.42578125" bestFit="1" customWidth="1"/>
    <col min="40" max="40" width="11.5703125" bestFit="1" customWidth="1"/>
    <col min="41" max="41" width="8.140625" bestFit="1" customWidth="1"/>
    <col min="42" max="42" width="11.5703125" bestFit="1" customWidth="1"/>
    <col min="43" max="43" width="6.85546875" bestFit="1" customWidth="1"/>
    <col min="44" max="44" width="11.5703125" bestFit="1" customWidth="1"/>
    <col min="45" max="45" width="7.5703125" bestFit="1" customWidth="1"/>
    <col min="46" max="46" width="5.28515625" bestFit="1" customWidth="1"/>
    <col min="47" max="47" width="11.5703125" bestFit="1" customWidth="1"/>
  </cols>
  <sheetData>
    <row r="1" spans="1:47">
      <c r="A1" s="15" t="s">
        <v>314</v>
      </c>
      <c r="B1" s="15" t="s">
        <v>315</v>
      </c>
      <c r="C1" s="15" t="s">
        <v>316</v>
      </c>
      <c r="D1" s="15" t="s">
        <v>317</v>
      </c>
      <c r="E1" s="15" t="s">
        <v>318</v>
      </c>
      <c r="F1" s="15" t="s">
        <v>319</v>
      </c>
      <c r="G1" s="15" t="s">
        <v>320</v>
      </c>
      <c r="H1" s="15" t="s">
        <v>321</v>
      </c>
      <c r="I1" s="15" t="s">
        <v>322</v>
      </c>
      <c r="J1" s="15" t="s">
        <v>323</v>
      </c>
      <c r="K1" s="15" t="s">
        <v>131</v>
      </c>
      <c r="L1" s="15" t="s">
        <v>135</v>
      </c>
      <c r="M1" s="15" t="s">
        <v>137</v>
      </c>
      <c r="N1" s="15" t="s">
        <v>139</v>
      </c>
      <c r="O1" s="15" t="s">
        <v>141</v>
      </c>
      <c r="P1" s="15" t="s">
        <v>143</v>
      </c>
      <c r="Q1" s="15" t="s">
        <v>146</v>
      </c>
      <c r="R1" s="15" t="s">
        <v>149</v>
      </c>
      <c r="S1" s="15" t="s">
        <v>151</v>
      </c>
      <c r="T1" s="15" t="s">
        <v>153</v>
      </c>
      <c r="U1" s="15" t="s">
        <v>155</v>
      </c>
      <c r="V1" s="15" t="s">
        <v>124</v>
      </c>
      <c r="W1" s="15" t="s">
        <v>157</v>
      </c>
      <c r="X1" s="15" t="s">
        <v>160</v>
      </c>
      <c r="Y1" s="15" t="s">
        <v>163</v>
      </c>
      <c r="Z1" s="15" t="s">
        <v>324</v>
      </c>
      <c r="AA1" s="15" t="s">
        <v>325</v>
      </c>
      <c r="AB1" s="15" t="s">
        <v>326</v>
      </c>
      <c r="AC1" s="15" t="s">
        <v>327</v>
      </c>
      <c r="AD1" s="15" t="s">
        <v>328</v>
      </c>
      <c r="AE1" s="15" t="s">
        <v>329</v>
      </c>
      <c r="AF1" s="15" t="s">
        <v>165</v>
      </c>
      <c r="AG1" s="15" t="s">
        <v>185</v>
      </c>
      <c r="AH1" s="15" t="s">
        <v>205</v>
      </c>
      <c r="AI1" s="15" t="s">
        <v>192</v>
      </c>
      <c r="AJ1" s="15" t="s">
        <v>209</v>
      </c>
      <c r="AK1" s="15" t="s">
        <v>194</v>
      </c>
      <c r="AL1" s="15" t="s">
        <v>216</v>
      </c>
      <c r="AM1" s="15" t="s">
        <v>201</v>
      </c>
      <c r="AN1" s="15" t="s">
        <v>218</v>
      </c>
      <c r="AO1" s="15" t="s">
        <v>203</v>
      </c>
      <c r="AP1" s="15" t="s">
        <v>212</v>
      </c>
      <c r="AQ1" s="15" t="s">
        <v>196</v>
      </c>
      <c r="AR1" s="15" t="s">
        <v>214</v>
      </c>
      <c r="AS1" s="15" t="s">
        <v>199</v>
      </c>
      <c r="AT1" s="15" t="s">
        <v>171</v>
      </c>
      <c r="AU1" s="15" t="s">
        <v>129</v>
      </c>
    </row>
    <row r="2" spans="1:47">
      <c r="A2" s="15">
        <v>1554</v>
      </c>
      <c r="B2" s="15">
        <v>215</v>
      </c>
      <c r="C2" s="15" t="s">
        <v>330</v>
      </c>
      <c r="D2" s="15" t="s">
        <v>331</v>
      </c>
      <c r="E2" s="15">
        <v>257</v>
      </c>
      <c r="F2" s="15" t="s">
        <v>332</v>
      </c>
      <c r="G2" s="15" t="s">
        <v>333</v>
      </c>
      <c r="H2" s="15" t="s">
        <v>334</v>
      </c>
      <c r="I2" s="15" t="s">
        <v>330</v>
      </c>
      <c r="J2" s="15" t="s">
        <v>335</v>
      </c>
      <c r="K2" s="15">
        <v>250</v>
      </c>
      <c r="L2" s="15">
        <v>350</v>
      </c>
      <c r="M2" s="15">
        <v>20</v>
      </c>
      <c r="N2" s="15">
        <v>200</v>
      </c>
      <c r="O2" s="15">
        <v>200</v>
      </c>
      <c r="P2" s="15">
        <v>3.9</v>
      </c>
      <c r="Q2" s="15">
        <v>0.09</v>
      </c>
      <c r="R2" s="15">
        <v>0.55000000000000004</v>
      </c>
      <c r="S2" s="15">
        <v>0.25</v>
      </c>
      <c r="T2" s="15">
        <v>0.25</v>
      </c>
      <c r="U2" s="15">
        <v>0.09</v>
      </c>
      <c r="V2" s="15">
        <v>0.15</v>
      </c>
      <c r="W2" s="15">
        <v>3.5999999999999997E-2</v>
      </c>
      <c r="X2" s="15">
        <v>0.21129999999999999</v>
      </c>
      <c r="Y2" s="15">
        <v>4.2999999999999997E-2</v>
      </c>
      <c r="Z2" s="15">
        <v>47</v>
      </c>
      <c r="AA2" s="15">
        <v>47</v>
      </c>
      <c r="AB2" s="15">
        <v>47</v>
      </c>
      <c r="AC2" s="15">
        <v>47</v>
      </c>
      <c r="AD2" s="15">
        <v>47</v>
      </c>
      <c r="AE2" s="15">
        <v>47</v>
      </c>
      <c r="AF2" s="15">
        <v>1.1000000000000001</v>
      </c>
      <c r="AG2" s="15">
        <v>0.83589041095890404</v>
      </c>
      <c r="AH2" s="15">
        <v>0</v>
      </c>
      <c r="AI2" s="15">
        <v>250</v>
      </c>
      <c r="AJ2" s="15">
        <v>0</v>
      </c>
      <c r="AK2" s="15">
        <v>350</v>
      </c>
      <c r="AL2" s="15">
        <v>0.16157358623112</v>
      </c>
      <c r="AM2" s="15">
        <v>110</v>
      </c>
      <c r="AN2" s="15">
        <v>0.231822971548998</v>
      </c>
      <c r="AO2" s="15">
        <v>110</v>
      </c>
      <c r="AP2" s="15">
        <v>0.16157358623112</v>
      </c>
      <c r="AQ2" s="15">
        <v>135</v>
      </c>
      <c r="AR2" s="15">
        <v>0.231822971548998</v>
      </c>
      <c r="AS2" s="15">
        <v>185</v>
      </c>
      <c r="AT2" s="15">
        <v>0.95</v>
      </c>
      <c r="AU2" s="15">
        <v>0.25168275305885102</v>
      </c>
    </row>
    <row r="3" spans="1:47">
      <c r="A3" s="15">
        <v>1553</v>
      </c>
      <c r="B3" s="15">
        <v>215</v>
      </c>
      <c r="C3" s="15" t="s">
        <v>330</v>
      </c>
      <c r="D3" s="15" t="s">
        <v>331</v>
      </c>
      <c r="E3" s="15">
        <v>257</v>
      </c>
      <c r="F3" s="15" t="s">
        <v>332</v>
      </c>
      <c r="G3" s="15" t="s">
        <v>333</v>
      </c>
      <c r="H3" s="15" t="s">
        <v>334</v>
      </c>
      <c r="I3" s="15" t="s">
        <v>330</v>
      </c>
      <c r="J3" s="15" t="s">
        <v>336</v>
      </c>
      <c r="K3" s="15">
        <v>250</v>
      </c>
      <c r="L3" s="15">
        <v>350</v>
      </c>
      <c r="M3" s="15">
        <v>20</v>
      </c>
      <c r="N3" s="15">
        <v>200</v>
      </c>
      <c r="O3" s="15">
        <v>200</v>
      </c>
      <c r="P3" s="15">
        <v>3.9</v>
      </c>
      <c r="Q3" s="15">
        <v>0.09</v>
      </c>
      <c r="R3" s="15">
        <v>0.55000000000000004</v>
      </c>
      <c r="S3" s="15">
        <v>0.25</v>
      </c>
      <c r="T3" s="15">
        <v>0.25</v>
      </c>
      <c r="U3" s="15">
        <v>0.09</v>
      </c>
      <c r="V3" s="15">
        <v>0.15</v>
      </c>
      <c r="W3" s="15">
        <v>3.5999999999999997E-2</v>
      </c>
      <c r="X3" s="15">
        <v>0.21129999999999999</v>
      </c>
      <c r="Y3" s="15">
        <v>4.2999999999999997E-2</v>
      </c>
      <c r="Z3" s="15">
        <v>47</v>
      </c>
      <c r="AA3" s="15">
        <v>47</v>
      </c>
      <c r="AB3" s="15">
        <v>47</v>
      </c>
      <c r="AC3" s="15">
        <v>47</v>
      </c>
      <c r="AD3" s="15">
        <v>47</v>
      </c>
      <c r="AE3" s="15">
        <v>47</v>
      </c>
      <c r="AF3" s="15">
        <v>1.1000000000000001</v>
      </c>
      <c r="AG3" s="15">
        <v>0.83589041095890404</v>
      </c>
      <c r="AH3" s="15">
        <v>0</v>
      </c>
      <c r="AI3" s="15">
        <v>250</v>
      </c>
      <c r="AJ3" s="15">
        <v>0</v>
      </c>
      <c r="AK3" s="15">
        <v>350</v>
      </c>
      <c r="AL3" s="15">
        <v>0.16157358623112</v>
      </c>
      <c r="AM3" s="15">
        <v>110</v>
      </c>
      <c r="AN3" s="15">
        <v>0.231822971548998</v>
      </c>
      <c r="AO3" s="15">
        <v>110</v>
      </c>
      <c r="AP3" s="15">
        <v>0.16157358623112</v>
      </c>
      <c r="AQ3" s="15">
        <v>135</v>
      </c>
      <c r="AR3" s="15">
        <v>0.231822971548998</v>
      </c>
      <c r="AS3" s="15">
        <v>185</v>
      </c>
      <c r="AT3" s="15">
        <v>0.95</v>
      </c>
      <c r="AU3" s="15">
        <v>0.25168275305885102</v>
      </c>
    </row>
    <row r="4" spans="1:47">
      <c r="A4" s="15">
        <v>1552</v>
      </c>
      <c r="B4" s="15">
        <v>215</v>
      </c>
      <c r="C4" s="15" t="s">
        <v>330</v>
      </c>
      <c r="D4" s="15" t="s">
        <v>331</v>
      </c>
      <c r="E4" s="15">
        <v>257</v>
      </c>
      <c r="F4" s="15" t="s">
        <v>332</v>
      </c>
      <c r="G4" s="15" t="s">
        <v>333</v>
      </c>
      <c r="H4" s="15" t="s">
        <v>334</v>
      </c>
      <c r="I4" s="15" t="s">
        <v>330</v>
      </c>
      <c r="J4" s="15" t="s">
        <v>337</v>
      </c>
      <c r="K4" s="15">
        <v>250</v>
      </c>
      <c r="L4" s="15">
        <v>350</v>
      </c>
      <c r="M4" s="15">
        <v>20</v>
      </c>
      <c r="N4" s="15">
        <v>200</v>
      </c>
      <c r="O4" s="15">
        <v>200</v>
      </c>
      <c r="P4" s="15">
        <v>3.9</v>
      </c>
      <c r="Q4" s="15">
        <v>0.09</v>
      </c>
      <c r="R4" s="15">
        <v>0.55000000000000004</v>
      </c>
      <c r="S4" s="15">
        <v>0.25</v>
      </c>
      <c r="T4" s="15">
        <v>0.25</v>
      </c>
      <c r="U4" s="15">
        <v>0.09</v>
      </c>
      <c r="V4" s="15">
        <v>0.15</v>
      </c>
      <c r="W4" s="15">
        <v>3.5999999999999997E-2</v>
      </c>
      <c r="X4" s="15">
        <v>0.21129999999999999</v>
      </c>
      <c r="Y4" s="15">
        <v>4.2999999999999997E-2</v>
      </c>
      <c r="Z4" s="15">
        <v>47</v>
      </c>
      <c r="AA4" s="15">
        <v>47</v>
      </c>
      <c r="AB4" s="15">
        <v>47</v>
      </c>
      <c r="AC4" s="15">
        <v>47</v>
      </c>
      <c r="AD4" s="15">
        <v>47</v>
      </c>
      <c r="AE4" s="15">
        <v>47</v>
      </c>
      <c r="AF4" s="15">
        <v>1.1000000000000001</v>
      </c>
      <c r="AG4" s="15">
        <v>0.83589041095890404</v>
      </c>
      <c r="AH4" s="15">
        <v>0</v>
      </c>
      <c r="AI4" s="15">
        <v>250</v>
      </c>
      <c r="AJ4" s="15">
        <v>0</v>
      </c>
      <c r="AK4" s="15">
        <v>350</v>
      </c>
      <c r="AL4" s="15">
        <v>0.16157358623112</v>
      </c>
      <c r="AM4" s="15">
        <v>110</v>
      </c>
      <c r="AN4" s="15">
        <v>0.231822971548998</v>
      </c>
      <c r="AO4" s="15">
        <v>110</v>
      </c>
      <c r="AP4" s="15">
        <v>0.16157358623112</v>
      </c>
      <c r="AQ4" s="15">
        <v>135</v>
      </c>
      <c r="AR4" s="15">
        <v>0.231822971548998</v>
      </c>
      <c r="AS4" s="15">
        <v>185</v>
      </c>
      <c r="AT4" s="15">
        <v>0.95</v>
      </c>
      <c r="AU4" s="15">
        <v>0.25168275305885102</v>
      </c>
    </row>
    <row r="7" spans="1:47">
      <c r="A7" s="15" t="s">
        <v>314</v>
      </c>
      <c r="B7" s="15" t="s">
        <v>315</v>
      </c>
      <c r="C7" s="15" t="s">
        <v>316</v>
      </c>
      <c r="D7" s="15" t="s">
        <v>317</v>
      </c>
      <c r="E7" s="15" t="s">
        <v>318</v>
      </c>
      <c r="F7" s="15" t="s">
        <v>319</v>
      </c>
      <c r="G7" s="15" t="s">
        <v>320</v>
      </c>
      <c r="H7" s="15" t="s">
        <v>321</v>
      </c>
      <c r="I7" s="15" t="s">
        <v>322</v>
      </c>
      <c r="J7" s="15" t="s">
        <v>323</v>
      </c>
      <c r="K7" s="15" t="s">
        <v>131</v>
      </c>
      <c r="L7" s="15" t="s">
        <v>135</v>
      </c>
      <c r="M7" s="15" t="s">
        <v>137</v>
      </c>
      <c r="N7" s="15" t="s">
        <v>139</v>
      </c>
      <c r="O7" s="15" t="s">
        <v>141</v>
      </c>
      <c r="P7" s="15" t="s">
        <v>143</v>
      </c>
      <c r="Q7" s="15" t="s">
        <v>146</v>
      </c>
      <c r="R7" s="15" t="s">
        <v>149</v>
      </c>
      <c r="S7" s="15" t="s">
        <v>151</v>
      </c>
      <c r="T7" s="15" t="s">
        <v>153</v>
      </c>
      <c r="U7" s="15" t="s">
        <v>155</v>
      </c>
      <c r="V7" s="15" t="s">
        <v>124</v>
      </c>
      <c r="W7" s="15" t="s">
        <v>157</v>
      </c>
      <c r="X7" s="15" t="s">
        <v>160</v>
      </c>
      <c r="Y7" s="15" t="s">
        <v>163</v>
      </c>
      <c r="Z7" s="15" t="s">
        <v>324</v>
      </c>
      <c r="AA7" s="15" t="s">
        <v>325</v>
      </c>
      <c r="AB7" s="15" t="s">
        <v>326</v>
      </c>
      <c r="AC7" s="15" t="s">
        <v>327</v>
      </c>
      <c r="AD7" s="15" t="s">
        <v>328</v>
      </c>
      <c r="AE7" s="15" t="s">
        <v>329</v>
      </c>
      <c r="AF7" s="15" t="s">
        <v>165</v>
      </c>
      <c r="AG7" s="15" t="s">
        <v>185</v>
      </c>
      <c r="AH7" s="15" t="s">
        <v>205</v>
      </c>
      <c r="AI7" s="15" t="s">
        <v>192</v>
      </c>
      <c r="AJ7" s="15" t="s">
        <v>209</v>
      </c>
      <c r="AK7" s="15" t="s">
        <v>194</v>
      </c>
      <c r="AL7" s="15" t="s">
        <v>216</v>
      </c>
      <c r="AM7" s="15" t="s">
        <v>201</v>
      </c>
      <c r="AN7" s="15" t="s">
        <v>218</v>
      </c>
      <c r="AO7" s="15" t="s">
        <v>203</v>
      </c>
      <c r="AP7" s="15" t="s">
        <v>212</v>
      </c>
      <c r="AQ7" s="15" t="s">
        <v>196</v>
      </c>
      <c r="AR7" s="15" t="s">
        <v>214</v>
      </c>
      <c r="AS7" s="15" t="s">
        <v>199</v>
      </c>
      <c r="AT7" s="15" t="s">
        <v>171</v>
      </c>
      <c r="AU7" s="15" t="s">
        <v>129</v>
      </c>
    </row>
    <row r="8" spans="1:47">
      <c r="A8" s="15">
        <v>1554</v>
      </c>
      <c r="B8" s="15">
        <v>215</v>
      </c>
      <c r="C8" s="15" t="s">
        <v>330</v>
      </c>
      <c r="D8" s="15" t="s">
        <v>331</v>
      </c>
      <c r="E8" s="15">
        <v>257</v>
      </c>
      <c r="F8" s="15" t="s">
        <v>332</v>
      </c>
      <c r="G8" s="15" t="s">
        <v>333</v>
      </c>
      <c r="H8" s="15" t="s">
        <v>334</v>
      </c>
      <c r="I8" s="15" t="s">
        <v>330</v>
      </c>
      <c r="J8" s="15" t="s">
        <v>338</v>
      </c>
      <c r="K8" s="15">
        <v>200</v>
      </c>
      <c r="L8" s="15">
        <v>350</v>
      </c>
      <c r="M8" s="15">
        <v>17</v>
      </c>
      <c r="N8" s="15">
        <v>300</v>
      </c>
      <c r="O8" s="15">
        <v>300</v>
      </c>
      <c r="P8" s="15">
        <v>2.5</v>
      </c>
      <c r="Q8" s="15">
        <v>0.1</v>
      </c>
      <c r="R8" s="15">
        <v>0.65</v>
      </c>
      <c r="S8" s="15">
        <v>0.15</v>
      </c>
      <c r="T8" s="15">
        <v>0.15</v>
      </c>
      <c r="U8" s="15">
        <v>0.05</v>
      </c>
      <c r="V8" s="15">
        <v>0.34</v>
      </c>
      <c r="W8" s="15">
        <v>3.5999999999999997E-2</v>
      </c>
      <c r="X8" s="15">
        <v>0.21129999999999999</v>
      </c>
      <c r="Y8" s="15">
        <v>4.2999999999999997E-2</v>
      </c>
      <c r="Z8" s="15">
        <v>47</v>
      </c>
      <c r="AA8" s="15">
        <v>47</v>
      </c>
      <c r="AB8" s="15">
        <v>47</v>
      </c>
      <c r="AC8" s="15">
        <v>47</v>
      </c>
      <c r="AD8" s="15">
        <v>47</v>
      </c>
      <c r="AE8" s="15">
        <v>47</v>
      </c>
      <c r="AF8" s="15">
        <v>1.1000000000000001</v>
      </c>
      <c r="AG8" s="15">
        <v>0.83589041095890404</v>
      </c>
      <c r="AH8" s="15">
        <v>0</v>
      </c>
      <c r="AI8" s="15">
        <v>200</v>
      </c>
      <c r="AJ8" s="15">
        <v>0</v>
      </c>
      <c r="AK8" s="15">
        <v>350</v>
      </c>
      <c r="AL8" s="15">
        <v>0.200547945205479</v>
      </c>
      <c r="AM8" s="15">
        <v>158.5</v>
      </c>
      <c r="AN8" s="15">
        <v>0.36493150684931502</v>
      </c>
      <c r="AO8" s="15">
        <v>158.5</v>
      </c>
      <c r="AP8" s="15">
        <v>0.200547945205479</v>
      </c>
      <c r="AQ8" s="15">
        <v>108.5</v>
      </c>
      <c r="AR8" s="15">
        <v>0.36493150684931502</v>
      </c>
      <c r="AS8" s="15">
        <v>183.5</v>
      </c>
      <c r="AT8" s="15">
        <v>0.95</v>
      </c>
      <c r="AU8" s="15">
        <v>0.25168275305885102</v>
      </c>
    </row>
    <row r="9" spans="1:47">
      <c r="A9" s="15">
        <v>1553</v>
      </c>
      <c r="B9" s="15">
        <v>215</v>
      </c>
      <c r="C9" s="15" t="s">
        <v>330</v>
      </c>
      <c r="D9" s="15" t="s">
        <v>331</v>
      </c>
      <c r="E9" s="15">
        <v>257</v>
      </c>
      <c r="F9" s="15" t="s">
        <v>332</v>
      </c>
      <c r="G9" s="15" t="s">
        <v>333</v>
      </c>
      <c r="H9" s="15" t="s">
        <v>334</v>
      </c>
      <c r="I9" s="15" t="s">
        <v>330</v>
      </c>
      <c r="J9" s="15" t="s">
        <v>339</v>
      </c>
      <c r="K9" s="15">
        <v>200</v>
      </c>
      <c r="L9" s="15">
        <v>350</v>
      </c>
      <c r="M9" s="15">
        <v>17</v>
      </c>
      <c r="N9" s="15">
        <v>300</v>
      </c>
      <c r="O9" s="15">
        <v>300</v>
      </c>
      <c r="P9" s="15">
        <v>2.5</v>
      </c>
      <c r="Q9" s="15">
        <v>0.1</v>
      </c>
      <c r="R9" s="15">
        <v>0.65</v>
      </c>
      <c r="S9" s="15">
        <v>0.15</v>
      </c>
      <c r="T9" s="15">
        <v>0.15</v>
      </c>
      <c r="U9" s="15">
        <v>0.05</v>
      </c>
      <c r="V9" s="15">
        <v>0.34</v>
      </c>
      <c r="W9" s="15">
        <v>3.5999999999999997E-2</v>
      </c>
      <c r="X9" s="15">
        <v>0.21129999999999999</v>
      </c>
      <c r="Y9" s="15">
        <v>4.2999999999999997E-2</v>
      </c>
      <c r="Z9" s="15">
        <v>47</v>
      </c>
      <c r="AA9" s="15">
        <v>47</v>
      </c>
      <c r="AB9" s="15">
        <v>47</v>
      </c>
      <c r="AC9" s="15">
        <v>47</v>
      </c>
      <c r="AD9" s="15">
        <v>47</v>
      </c>
      <c r="AE9" s="15">
        <v>47</v>
      </c>
      <c r="AF9" s="15">
        <v>1.1000000000000001</v>
      </c>
      <c r="AG9" s="15">
        <v>0.83589041095890404</v>
      </c>
      <c r="AH9" s="15">
        <v>0</v>
      </c>
      <c r="AI9" s="15">
        <v>200</v>
      </c>
      <c r="AJ9" s="15">
        <v>0</v>
      </c>
      <c r="AK9" s="15">
        <v>350</v>
      </c>
      <c r="AL9" s="15">
        <v>0.200547945205479</v>
      </c>
      <c r="AM9" s="15">
        <v>158.5</v>
      </c>
      <c r="AN9" s="15">
        <v>0.36493150684931502</v>
      </c>
      <c r="AO9" s="15">
        <v>158.5</v>
      </c>
      <c r="AP9" s="15">
        <v>0.200547945205479</v>
      </c>
      <c r="AQ9" s="15">
        <v>108.5</v>
      </c>
      <c r="AR9" s="15">
        <v>0.36493150684931502</v>
      </c>
      <c r="AS9" s="15">
        <v>183.5</v>
      </c>
      <c r="AT9" s="15">
        <v>0.95</v>
      </c>
      <c r="AU9" s="15">
        <v>0.25168275305885102</v>
      </c>
    </row>
    <row r="10" spans="1:47">
      <c r="A10" s="15">
        <v>1552</v>
      </c>
      <c r="B10" s="15">
        <v>215</v>
      </c>
      <c r="C10" s="15" t="s">
        <v>330</v>
      </c>
      <c r="D10" s="15" t="s">
        <v>331</v>
      </c>
      <c r="E10" s="15">
        <v>257</v>
      </c>
      <c r="F10" s="15" t="s">
        <v>332</v>
      </c>
      <c r="G10" s="15" t="s">
        <v>333</v>
      </c>
      <c r="H10" s="15" t="s">
        <v>334</v>
      </c>
      <c r="I10" s="15" t="s">
        <v>330</v>
      </c>
      <c r="J10" s="15" t="s">
        <v>340</v>
      </c>
      <c r="K10" s="15">
        <v>200</v>
      </c>
      <c r="L10" s="15">
        <v>350</v>
      </c>
      <c r="M10" s="15">
        <v>17</v>
      </c>
      <c r="N10" s="15">
        <v>300</v>
      </c>
      <c r="O10" s="15">
        <v>300</v>
      </c>
      <c r="P10" s="15">
        <v>2.5</v>
      </c>
      <c r="Q10" s="15">
        <v>0.1</v>
      </c>
      <c r="R10" s="15">
        <v>0.65</v>
      </c>
      <c r="S10" s="15">
        <v>0.15</v>
      </c>
      <c r="T10" s="15">
        <v>0.15</v>
      </c>
      <c r="U10" s="15">
        <v>0.05</v>
      </c>
      <c r="V10" s="15">
        <v>0.34</v>
      </c>
      <c r="W10" s="15">
        <v>3.5999999999999997E-2</v>
      </c>
      <c r="X10" s="15">
        <v>0.21129999999999999</v>
      </c>
      <c r="Y10" s="15">
        <v>4.2999999999999997E-2</v>
      </c>
      <c r="Z10" s="15">
        <v>47</v>
      </c>
      <c r="AA10" s="15">
        <v>47</v>
      </c>
      <c r="AB10" s="15">
        <v>47</v>
      </c>
      <c r="AC10" s="15">
        <v>47</v>
      </c>
      <c r="AD10" s="15">
        <v>47</v>
      </c>
      <c r="AE10" s="15">
        <v>47</v>
      </c>
      <c r="AF10" s="15">
        <v>1.1000000000000001</v>
      </c>
      <c r="AG10" s="15">
        <v>0.83589041095890404</v>
      </c>
      <c r="AH10" s="15">
        <v>0</v>
      </c>
      <c r="AI10" s="15">
        <v>200</v>
      </c>
      <c r="AJ10" s="15">
        <v>0</v>
      </c>
      <c r="AK10" s="15">
        <v>350</v>
      </c>
      <c r="AL10" s="15">
        <v>0.200547945205479</v>
      </c>
      <c r="AM10" s="15">
        <v>158.5</v>
      </c>
      <c r="AN10" s="15">
        <v>0.36493150684931502</v>
      </c>
      <c r="AO10" s="15">
        <v>158.5</v>
      </c>
      <c r="AP10" s="15">
        <v>0.200547945205479</v>
      </c>
      <c r="AQ10" s="15">
        <v>108.5</v>
      </c>
      <c r="AR10" s="15">
        <v>0.36493150684931502</v>
      </c>
      <c r="AS10" s="15">
        <v>183.5</v>
      </c>
      <c r="AT10" s="15">
        <v>0.95</v>
      </c>
      <c r="AU10" s="15">
        <v>0.25168275305885102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E08BD-96FC-4188-96CC-89D2AB4B22CE}">
  <dimension ref="A1:AE55"/>
  <sheetViews>
    <sheetView workbookViewId="0">
      <pane xSplit="1" topLeftCell="B1" activePane="topRight" state="frozen"/>
      <selection pane="topRight" activeCell="O18" sqref="O18"/>
    </sheetView>
  </sheetViews>
  <sheetFormatPr defaultColWidth="8.85546875" defaultRowHeight="14.45"/>
  <cols>
    <col min="1" max="1" width="11.85546875" bestFit="1" customWidth="1"/>
    <col min="2" max="2" width="16.42578125" bestFit="1" customWidth="1"/>
    <col min="3" max="3" width="15.42578125" customWidth="1"/>
    <col min="4" max="5" width="14.7109375" bestFit="1" customWidth="1"/>
    <col min="6" max="6" width="14.7109375" customWidth="1"/>
    <col min="7" max="7" width="4.42578125" customWidth="1"/>
    <col min="8" max="8" width="7.5703125" customWidth="1"/>
    <col min="9" max="9" width="6.7109375" customWidth="1"/>
    <col min="10" max="10" width="6.5703125" customWidth="1"/>
    <col min="11" max="11" width="12.5703125" bestFit="1" customWidth="1"/>
    <col min="12" max="12" width="11.140625" bestFit="1" customWidth="1"/>
    <col min="13" max="13" width="17.85546875" bestFit="1" customWidth="1"/>
    <col min="14" max="14" width="14.28515625" customWidth="1"/>
    <col min="15" max="15" width="18.28515625" customWidth="1"/>
    <col min="16" max="17" width="11.28515625" bestFit="1" customWidth="1"/>
    <col min="18" max="18" width="14.28515625" bestFit="1" customWidth="1"/>
    <col min="19" max="19" width="14.7109375" customWidth="1"/>
    <col min="20" max="20" width="13.7109375" bestFit="1" customWidth="1"/>
    <col min="21" max="21" width="12.5703125" customWidth="1"/>
    <col min="22" max="22" width="18.7109375" customWidth="1"/>
    <col min="23" max="25" width="12.5703125" customWidth="1"/>
    <col min="26" max="26" width="31.7109375" bestFit="1" customWidth="1"/>
    <col min="27" max="27" width="13.7109375" bestFit="1" customWidth="1"/>
    <col min="28" max="28" width="12.7109375" bestFit="1" customWidth="1"/>
    <col min="30" max="30" width="19.28515625" bestFit="1" customWidth="1"/>
  </cols>
  <sheetData>
    <row r="1" spans="1:31" ht="28.9">
      <c r="D1" s="107" t="s">
        <v>307</v>
      </c>
      <c r="E1" s="106" t="s">
        <v>308</v>
      </c>
      <c r="F1" s="4" t="s">
        <v>341</v>
      </c>
    </row>
    <row r="2" spans="1:31" s="93" customFormat="1" ht="72">
      <c r="A2" s="106" t="s">
        <v>225</v>
      </c>
      <c r="B2" s="106" t="s">
        <v>240</v>
      </c>
      <c r="C2" s="106" t="s">
        <v>342</v>
      </c>
      <c r="D2" s="106" t="s">
        <v>313</v>
      </c>
      <c r="E2" s="106" t="s">
        <v>313</v>
      </c>
      <c r="F2" s="106"/>
      <c r="G2" s="106"/>
      <c r="H2" s="107" t="s">
        <v>307</v>
      </c>
      <c r="I2" s="106" t="s">
        <v>308</v>
      </c>
      <c r="J2" s="106" t="s">
        <v>343</v>
      </c>
      <c r="K2" s="106" t="s">
        <v>344</v>
      </c>
      <c r="L2" s="106" t="s">
        <v>345</v>
      </c>
      <c r="M2" s="106" t="s">
        <v>346</v>
      </c>
      <c r="N2" s="106"/>
      <c r="O2" s="106" t="s">
        <v>347</v>
      </c>
      <c r="P2" s="106" t="s">
        <v>348</v>
      </c>
      <c r="Q2" s="106" t="s">
        <v>349</v>
      </c>
      <c r="R2" s="106" t="s">
        <v>350</v>
      </c>
      <c r="S2" s="106" t="s">
        <v>351</v>
      </c>
      <c r="T2" s="106" t="s">
        <v>352</v>
      </c>
      <c r="U2" s="106" t="s">
        <v>76</v>
      </c>
      <c r="V2" s="106" t="s">
        <v>77</v>
      </c>
      <c r="W2" s="106" t="s">
        <v>76</v>
      </c>
      <c r="X2" s="106" t="s">
        <v>77</v>
      </c>
      <c r="Z2" s="104" t="s">
        <v>353</v>
      </c>
      <c r="AA2" s="104" t="s">
        <v>354</v>
      </c>
      <c r="AB2" s="104" t="s">
        <v>355</v>
      </c>
    </row>
    <row r="3" spans="1:31">
      <c r="A3" t="s">
        <v>262</v>
      </c>
      <c r="B3" t="s">
        <v>78</v>
      </c>
      <c r="C3" s="95">
        <v>178300.90872000001</v>
      </c>
      <c r="D3" s="95">
        <v>40368839.233233593</v>
      </c>
      <c r="E3" s="95">
        <v>36272026.098508351</v>
      </c>
      <c r="F3" s="95">
        <f>SUM(D3:E3)</f>
        <v>76640865.331741944</v>
      </c>
      <c r="G3" s="95"/>
      <c r="H3" s="97">
        <f>D3/$D$13</f>
        <v>8.8068051698003719E-2</v>
      </c>
      <c r="I3" s="97">
        <f>E3/$E$13</f>
        <v>0.10989260140471768</v>
      </c>
      <c r="J3" s="97">
        <f>F3/$F$13</f>
        <v>9.7204435516309348E-2</v>
      </c>
      <c r="K3" s="95">
        <v>600526.66206</v>
      </c>
      <c r="L3" s="95">
        <v>34879.872071000005</v>
      </c>
      <c r="M3" s="95">
        <f>SUM(K3:L3)</f>
        <v>635406.53413100005</v>
      </c>
      <c r="N3" s="97">
        <f>M3/$M$13</f>
        <v>0.1160597436638246</v>
      </c>
      <c r="O3" s="98">
        <v>130473.20779040207</v>
      </c>
      <c r="P3" s="98">
        <f>J3*O3</f>
        <v>12682.574513268168</v>
      </c>
      <c r="Q3" s="92">
        <f>M3/O3</f>
        <v>4.8700154222600647</v>
      </c>
      <c r="R3" s="98">
        <f>Q3*P3</f>
        <v>61764.333473578408</v>
      </c>
      <c r="S3" s="95">
        <v>123311.03908112658</v>
      </c>
      <c r="T3" s="95">
        <v>7162.1687092754719</v>
      </c>
      <c r="U3" s="98">
        <f>S3*J3</f>
        <v>11986.379946810472</v>
      </c>
      <c r="V3" s="98">
        <f>T3*J3</f>
        <v>696.19456645769617</v>
      </c>
      <c r="W3" s="98">
        <f>U3*Q3</f>
        <v>58373.855198035773</v>
      </c>
      <c r="X3" s="98">
        <f>V3*Q3</f>
        <v>3390.4782755426399</v>
      </c>
      <c r="Z3" s="105" t="s">
        <v>356</v>
      </c>
      <c r="AA3" s="101">
        <v>33514716</v>
      </c>
      <c r="AB3" s="102">
        <f>AA3/5</f>
        <v>6702943.2000000002</v>
      </c>
      <c r="AD3" s="29" t="s">
        <v>357</v>
      </c>
      <c r="AE3" s="155">
        <v>156619</v>
      </c>
    </row>
    <row r="4" spans="1:31">
      <c r="A4" t="s">
        <v>274</v>
      </c>
      <c r="B4" t="s">
        <v>78</v>
      </c>
      <c r="C4" s="95">
        <v>350367.78545999998</v>
      </c>
      <c r="D4" s="95">
        <v>82254311.376211509</v>
      </c>
      <c r="E4" s="95">
        <v>80322684.106744111</v>
      </c>
      <c r="F4" s="95">
        <f t="shared" ref="F4:F12" si="0">SUM(D4:E4)</f>
        <v>162576995.48295563</v>
      </c>
      <c r="G4" s="95"/>
      <c r="H4" s="97">
        <f t="shared" ref="H4:H12" si="1">D4/$D$13</f>
        <v>0.17944476691071901</v>
      </c>
      <c r="I4" s="97">
        <f t="shared" ref="I4:I12" si="2">E4/$E$13</f>
        <v>0.24335196176599791</v>
      </c>
      <c r="J4" s="97">
        <f t="shared" ref="J4:J12" si="3">F4/$F$13</f>
        <v>0.20619815558519206</v>
      </c>
      <c r="K4" s="95">
        <v>907424.13404000003</v>
      </c>
      <c r="L4" s="95">
        <v>89540.829221999986</v>
      </c>
      <c r="M4" s="95">
        <f t="shared" ref="M4:M12" si="4">SUM(K4:L4)</f>
        <v>996964.963262</v>
      </c>
      <c r="N4" s="97">
        <f t="shared" ref="N4:N12" si="5">M4/$M$13</f>
        <v>0.18209994997336135</v>
      </c>
      <c r="O4" s="98">
        <v>204714.94991679743</v>
      </c>
      <c r="P4" s="98">
        <f t="shared" ref="P4:P12" si="6">J4*O4</f>
        <v>42211.845093558593</v>
      </c>
      <c r="Q4" s="92">
        <f t="shared" ref="Q4:Q12" si="7">M4/O4</f>
        <v>4.8700154222600638</v>
      </c>
      <c r="R4" s="98">
        <f t="shared" ref="R4:R12" si="8">Q4*P4</f>
        <v>205572.33660768316</v>
      </c>
      <c r="S4" s="95">
        <v>186328.80090939938</v>
      </c>
      <c r="T4" s="95">
        <v>18386.149007398031</v>
      </c>
      <c r="U4" s="98">
        <f t="shared" ref="U4:U12" si="9">S4*J4</f>
        <v>38420.655079918608</v>
      </c>
      <c r="V4" s="98">
        <f t="shared" ref="V4:V12" si="10">T4*J4</f>
        <v>3791.1900136399836</v>
      </c>
      <c r="W4" s="98">
        <f t="shared" ref="W4:W12" si="11">U4*Q4</f>
        <v>187109.18277253807</v>
      </c>
      <c r="X4" s="98">
        <f t="shared" ref="X4:X12" si="12">V4*Q4</f>
        <v>18463.153835145062</v>
      </c>
      <c r="Z4" s="105" t="s">
        <v>358</v>
      </c>
      <c r="AA4" s="101">
        <v>142677</v>
      </c>
      <c r="AB4" s="102">
        <f>AA4/50</f>
        <v>2853.54</v>
      </c>
    </row>
    <row r="5" spans="1:31">
      <c r="A5" t="s">
        <v>276</v>
      </c>
      <c r="B5" t="s">
        <v>79</v>
      </c>
      <c r="C5" s="95">
        <v>477935.07696000003</v>
      </c>
      <c r="D5" s="95">
        <v>80053329.126713648</v>
      </c>
      <c r="E5" s="95">
        <v>17083517.648481861</v>
      </c>
      <c r="F5" s="95">
        <f t="shared" si="0"/>
        <v>97136846.775195509</v>
      </c>
      <c r="G5" s="95"/>
      <c r="H5" s="97">
        <f t="shared" si="1"/>
        <v>0.17464313718301577</v>
      </c>
      <c r="I5" s="97">
        <f t="shared" si="2"/>
        <v>5.1757577325196105E-2</v>
      </c>
      <c r="J5" s="97">
        <f t="shared" si="3"/>
        <v>0.12319970968159874</v>
      </c>
      <c r="K5" s="95">
        <v>963413.02295999997</v>
      </c>
      <c r="L5" s="95">
        <v>19329.525877700002</v>
      </c>
      <c r="M5" s="95">
        <f t="shared" si="4"/>
        <v>982742.54883769993</v>
      </c>
      <c r="N5" s="97">
        <f t="shared" si="5"/>
        <v>0.17950216464428473</v>
      </c>
      <c r="O5" s="98">
        <v>201794.54552561382</v>
      </c>
      <c r="P5" s="98">
        <f t="shared" si="6"/>
        <v>24861.029424085784</v>
      </c>
      <c r="Q5" s="92">
        <f t="shared" si="7"/>
        <v>4.8700154222600638</v>
      </c>
      <c r="R5" s="98">
        <f t="shared" si="8"/>
        <v>121073.59670855899</v>
      </c>
      <c r="S5" s="95">
        <v>197825.45627194375</v>
      </c>
      <c r="T5" s="95">
        <v>3969.0892536700849</v>
      </c>
      <c r="U5" s="98">
        <f t="shared" si="9"/>
        <v>24372.038780333278</v>
      </c>
      <c r="V5" s="98">
        <f t="shared" si="10"/>
        <v>488.99064375250788</v>
      </c>
      <c r="W5" s="98">
        <f t="shared" si="11"/>
        <v>118692.20473214342</v>
      </c>
      <c r="X5" s="98">
        <f t="shared" si="12"/>
        <v>2381.3919764155899</v>
      </c>
      <c r="Z5" s="100"/>
      <c r="AA5" s="103">
        <f>SUM(AA3:AA4)</f>
        <v>33657393</v>
      </c>
      <c r="AB5" s="102">
        <f>SUM(AB3:AB4)</f>
        <v>6705796.7400000002</v>
      </c>
    </row>
    <row r="6" spans="1:31">
      <c r="A6" t="s">
        <v>279</v>
      </c>
      <c r="B6" t="s">
        <v>78</v>
      </c>
      <c r="C6" s="95">
        <v>133038.02753999998</v>
      </c>
      <c r="D6" s="95">
        <v>29362410.81269129</v>
      </c>
      <c r="E6" s="95">
        <v>26145360.596908636</v>
      </c>
      <c r="F6" s="95">
        <f t="shared" si="0"/>
        <v>55507771.40959993</v>
      </c>
      <c r="G6" s="95"/>
      <c r="H6" s="97">
        <f t="shared" si="1"/>
        <v>6.4056593217604554E-2</v>
      </c>
      <c r="I6" s="97">
        <f t="shared" si="2"/>
        <v>7.9212054018037034E-2</v>
      </c>
      <c r="J6" s="97">
        <f t="shared" si="3"/>
        <v>7.0401104727660577E-2</v>
      </c>
      <c r="K6" s="95">
        <v>390669.18734100001</v>
      </c>
      <c r="L6" s="95">
        <v>25233.007933099998</v>
      </c>
      <c r="M6" s="95">
        <f t="shared" si="4"/>
        <v>415902.1952741</v>
      </c>
      <c r="N6" s="97">
        <f t="shared" si="5"/>
        <v>7.5966329554273015E-2</v>
      </c>
      <c r="O6" s="98">
        <v>85400.591006976567</v>
      </c>
      <c r="P6" s="98">
        <f t="shared" si="6"/>
        <v>6012.2959512862653</v>
      </c>
      <c r="Q6" s="92">
        <f t="shared" si="7"/>
        <v>4.8700154222600638</v>
      </c>
      <c r="R6" s="98">
        <f t="shared" si="8"/>
        <v>29279.974005955853</v>
      </c>
      <c r="S6" s="95">
        <v>80219.291617704832</v>
      </c>
      <c r="T6" s="95">
        <v>5181.299389271735</v>
      </c>
      <c r="U6" s="98">
        <f t="shared" si="9"/>
        <v>5647.526750356782</v>
      </c>
      <c r="V6" s="98">
        <f t="shared" si="10"/>
        <v>364.76920092948319</v>
      </c>
      <c r="W6" s="98">
        <f t="shared" si="11"/>
        <v>27503.54237186379</v>
      </c>
      <c r="X6" s="98">
        <f t="shared" si="12"/>
        <v>1776.4316340920632</v>
      </c>
    </row>
    <row r="7" spans="1:31">
      <c r="A7" t="s">
        <v>359</v>
      </c>
      <c r="B7" t="s">
        <v>79</v>
      </c>
      <c r="C7" s="95">
        <v>40674.883589999998</v>
      </c>
      <c r="D7" s="95">
        <v>8139802.252858324</v>
      </c>
      <c r="E7" s="95">
        <v>2496181.4974755812</v>
      </c>
      <c r="F7" s="95">
        <f t="shared" si="0"/>
        <v>10635983.750333905</v>
      </c>
      <c r="G7" s="95"/>
      <c r="H7" s="97">
        <f t="shared" si="1"/>
        <v>1.7757670005683561E-2</v>
      </c>
      <c r="I7" s="97">
        <f t="shared" si="2"/>
        <v>7.5626290516811285E-3</v>
      </c>
      <c r="J7" s="97">
        <f t="shared" si="3"/>
        <v>1.3489732822518847E-2</v>
      </c>
      <c r="K7" s="95">
        <v>64268.027922000008</v>
      </c>
      <c r="L7" s="95">
        <v>3897.9600520999998</v>
      </c>
      <c r="M7" s="95">
        <f t="shared" si="4"/>
        <v>68165.987974100004</v>
      </c>
      <c r="N7" s="97">
        <f t="shared" si="5"/>
        <v>1.2450811670807181E-2</v>
      </c>
      <c r="O7" s="98">
        <v>13997.078461502226</v>
      </c>
      <c r="P7" s="98">
        <f t="shared" si="6"/>
        <v>188.81684874149818</v>
      </c>
      <c r="Q7" s="92">
        <f t="shared" si="7"/>
        <v>4.8700154222600638</v>
      </c>
      <c r="R7" s="98">
        <f t="shared" si="8"/>
        <v>919.54096535364181</v>
      </c>
      <c r="S7" s="95">
        <v>13196.678521435702</v>
      </c>
      <c r="T7" s="95">
        <v>800.39994006652341</v>
      </c>
      <c r="U7" s="98">
        <f t="shared" si="9"/>
        <v>178.01966739884068</v>
      </c>
      <c r="V7" s="98">
        <f t="shared" si="10"/>
        <v>10.797181342657499</v>
      </c>
      <c r="W7" s="98">
        <f t="shared" si="11"/>
        <v>866.95852569796125</v>
      </c>
      <c r="X7" s="98">
        <f t="shared" si="12"/>
        <v>52.582439655680645</v>
      </c>
      <c r="AA7" s="4" t="s">
        <v>360</v>
      </c>
    </row>
    <row r="8" spans="1:31">
      <c r="A8" t="s">
        <v>361</v>
      </c>
      <c r="B8" t="s">
        <v>79</v>
      </c>
      <c r="C8" s="95">
        <v>40564.111499999999</v>
      </c>
      <c r="D8" s="95">
        <v>6117343.2526916275</v>
      </c>
      <c r="E8" s="95">
        <v>6948079.8461786257</v>
      </c>
      <c r="F8" s="95">
        <f t="shared" si="0"/>
        <v>13065423.098870253</v>
      </c>
      <c r="G8" s="95"/>
      <c r="H8" s="97">
        <f t="shared" si="1"/>
        <v>1.3345503910079272E-2</v>
      </c>
      <c r="I8" s="97">
        <f t="shared" si="2"/>
        <v>2.1050452681926686E-2</v>
      </c>
      <c r="J8" s="97">
        <f t="shared" si="3"/>
        <v>1.6571016932156634E-2</v>
      </c>
      <c r="K8" s="95">
        <v>57949.795749999997</v>
      </c>
      <c r="L8" s="95">
        <v>7775.5422065000002</v>
      </c>
      <c r="M8" s="95">
        <f t="shared" si="4"/>
        <v>65725.337956499992</v>
      </c>
      <c r="N8" s="97">
        <f t="shared" si="5"/>
        <v>1.2005016419735106E-2</v>
      </c>
      <c r="O8" s="98">
        <v>13495.919880680449</v>
      </c>
      <c r="P8" s="98">
        <f t="shared" si="6"/>
        <v>223.64111685778505</v>
      </c>
      <c r="Q8" s="92">
        <f t="shared" si="7"/>
        <v>4.8700154222600647</v>
      </c>
      <c r="R8" s="98">
        <f t="shared" si="8"/>
        <v>1089.1356881488784</v>
      </c>
      <c r="S8" s="95">
        <v>11899.304360540773</v>
      </c>
      <c r="T8" s="95">
        <v>1596.6155201396768</v>
      </c>
      <c r="U8" s="98">
        <f t="shared" si="9"/>
        <v>197.18357403940641</v>
      </c>
      <c r="V8" s="98">
        <f t="shared" si="10"/>
        <v>26.457542818378656</v>
      </c>
      <c r="W8" s="98">
        <f t="shared" si="11"/>
        <v>960.28704658826848</v>
      </c>
      <c r="X8" s="98">
        <f t="shared" si="12"/>
        <v>128.84864156061008</v>
      </c>
      <c r="Z8">
        <v>2010</v>
      </c>
      <c r="AA8">
        <v>19245600</v>
      </c>
    </row>
    <row r="9" spans="1:31">
      <c r="A9" t="s">
        <v>280</v>
      </c>
      <c r="B9" t="s">
        <v>79</v>
      </c>
      <c r="C9" s="95">
        <v>302709.32702999999</v>
      </c>
      <c r="D9" s="95">
        <v>70675608.860192299</v>
      </c>
      <c r="E9" s="95">
        <v>23209373.290727999</v>
      </c>
      <c r="F9" s="95">
        <f t="shared" si="0"/>
        <v>93884982.150920302</v>
      </c>
      <c r="G9" s="95"/>
      <c r="H9" s="97">
        <f t="shared" si="1"/>
        <v>0.15418484388233755</v>
      </c>
      <c r="I9" s="97">
        <f t="shared" si="2"/>
        <v>7.0316954475177801E-2</v>
      </c>
      <c r="J9" s="97">
        <f t="shared" si="3"/>
        <v>0.11907533473084761</v>
      </c>
      <c r="K9" s="95">
        <v>713620.18816999998</v>
      </c>
      <c r="L9" s="95">
        <v>21391.067088399999</v>
      </c>
      <c r="M9" s="95">
        <f t="shared" si="4"/>
        <v>735011.25525839999</v>
      </c>
      <c r="N9" s="97">
        <f t="shared" si="5"/>
        <v>0.13425297552531731</v>
      </c>
      <c r="O9" s="98">
        <v>150925.85783173927</v>
      </c>
      <c r="P9" s="98">
        <f t="shared" si="6"/>
        <v>17971.547040854672</v>
      </c>
      <c r="Q9" s="92">
        <f t="shared" si="7"/>
        <v>4.8700154222600629</v>
      </c>
      <c r="R9" s="98">
        <f t="shared" si="8"/>
        <v>87521.711250834443</v>
      </c>
      <c r="S9" s="95">
        <v>146533.45550163061</v>
      </c>
      <c r="T9" s="95">
        <v>4392.4023301086154</v>
      </c>
      <c r="U9" s="98">
        <f t="shared" si="9"/>
        <v>17448.520263124428</v>
      </c>
      <c r="V9" s="98">
        <f t="shared" si="10"/>
        <v>523.02677773023834</v>
      </c>
      <c r="W9" s="98">
        <f t="shared" si="11"/>
        <v>84974.562777033178</v>
      </c>
      <c r="X9" s="98">
        <f t="shared" si="12"/>
        <v>2547.1484738012468</v>
      </c>
      <c r="Z9">
        <v>2020</v>
      </c>
      <c r="AA9">
        <v>28335000</v>
      </c>
    </row>
    <row r="10" spans="1:31">
      <c r="A10" t="s">
        <v>288</v>
      </c>
      <c r="B10" t="s">
        <v>78</v>
      </c>
      <c r="C10" s="95">
        <v>391005.59552999999</v>
      </c>
      <c r="D10" s="95">
        <v>134714877.01530513</v>
      </c>
      <c r="E10" s="95">
        <v>133300172.7963604</v>
      </c>
      <c r="F10" s="95">
        <f t="shared" si="0"/>
        <v>268015049.81166553</v>
      </c>
      <c r="G10" s="95"/>
      <c r="H10" s="97">
        <f t="shared" si="1"/>
        <v>0.29389194682880598</v>
      </c>
      <c r="I10" s="97">
        <f t="shared" si="2"/>
        <v>0.40385675496888879</v>
      </c>
      <c r="J10" s="97">
        <f t="shared" si="3"/>
        <v>0.33992637627525008</v>
      </c>
      <c r="K10" s="95">
        <v>1351670.4309700001</v>
      </c>
      <c r="L10" s="95">
        <v>146397.35669019999</v>
      </c>
      <c r="M10" s="95">
        <f t="shared" si="4"/>
        <v>1498067.7876602001</v>
      </c>
      <c r="N10" s="97">
        <f t="shared" si="5"/>
        <v>0.27362854186675756</v>
      </c>
      <c r="O10" s="98">
        <v>307610.48123436549</v>
      </c>
      <c r="P10" s="98">
        <f t="shared" si="6"/>
        <v>104564.91619028368</v>
      </c>
      <c r="Q10" s="92">
        <f t="shared" si="7"/>
        <v>4.8700154222600647</v>
      </c>
      <c r="R10" s="98">
        <f t="shared" si="8"/>
        <v>509232.75447401265</v>
      </c>
      <c r="S10" s="95">
        <v>277549.51756245579</v>
      </c>
      <c r="T10" s="95">
        <v>30060.963671909747</v>
      </c>
      <c r="U10" s="98">
        <f t="shared" si="9"/>
        <v>94346.401741949478</v>
      </c>
      <c r="V10" s="98">
        <f t="shared" si="10"/>
        <v>10218.514448334216</v>
      </c>
      <c r="W10" s="98">
        <f t="shared" si="11"/>
        <v>459468.4315180378</v>
      </c>
      <c r="X10" s="98">
        <f t="shared" si="12"/>
        <v>49764.322955974923</v>
      </c>
      <c r="Z10">
        <f>Z9-Z8</f>
        <v>10</v>
      </c>
      <c r="AA10" s="97">
        <f>AA9/AA8-1</f>
        <v>0.47228457413642588</v>
      </c>
    </row>
    <row r="11" spans="1:31">
      <c r="A11" t="s">
        <v>362</v>
      </c>
      <c r="B11" t="s">
        <v>79</v>
      </c>
      <c r="C11" s="95">
        <v>38462.282099999997</v>
      </c>
      <c r="D11" s="95">
        <v>3309846.9434736059</v>
      </c>
      <c r="E11" s="95">
        <v>906165.22541694192</v>
      </c>
      <c r="F11" s="95">
        <f t="shared" si="0"/>
        <v>4216012.1688905479</v>
      </c>
      <c r="G11" s="95"/>
      <c r="H11" s="97">
        <f t="shared" si="1"/>
        <v>7.2207122440702456E-3</v>
      </c>
      <c r="I11" s="97">
        <f t="shared" si="2"/>
        <v>2.7453898950424308E-3</v>
      </c>
      <c r="J11" s="97">
        <f t="shared" si="3"/>
        <v>5.3472136729276441E-3</v>
      </c>
      <c r="K11" s="95">
        <v>39766.873223260001</v>
      </c>
      <c r="L11" s="95">
        <v>1461.1355896</v>
      </c>
      <c r="M11" s="95">
        <f t="shared" si="4"/>
        <v>41228.008812860004</v>
      </c>
      <c r="N11" s="97">
        <f t="shared" si="5"/>
        <v>7.5304736063729893E-3</v>
      </c>
      <c r="O11" s="98">
        <v>8465.6834194843304</v>
      </c>
      <c r="P11" s="98">
        <f t="shared" si="6"/>
        <v>45.267818131343468</v>
      </c>
      <c r="Q11" s="92">
        <f t="shared" si="7"/>
        <v>4.8700154222600638</v>
      </c>
      <c r="R11" s="98">
        <f t="shared" si="8"/>
        <v>220.45497243170644</v>
      </c>
      <c r="S11" s="95">
        <v>8165.656527799063</v>
      </c>
      <c r="T11" s="95">
        <v>300.026891685267</v>
      </c>
      <c r="U11" s="98">
        <f t="shared" si="9"/>
        <v>43.663510233878021</v>
      </c>
      <c r="V11" s="98">
        <f t="shared" si="10"/>
        <v>1.604307897465441</v>
      </c>
      <c r="W11" s="98">
        <f t="shared" si="11"/>
        <v>212.64196822899609</v>
      </c>
      <c r="X11" s="98">
        <f t="shared" si="12"/>
        <v>7.8130042027103146</v>
      </c>
      <c r="AA11">
        <f>AA10/Z10</f>
        <v>4.7228457413642587E-2</v>
      </c>
    </row>
    <row r="12" spans="1:31">
      <c r="A12" t="s">
        <v>363</v>
      </c>
      <c r="B12" t="s">
        <v>79</v>
      </c>
      <c r="C12" s="95">
        <v>29281.054769999999</v>
      </c>
      <c r="D12" s="95">
        <v>3385966.7738777101</v>
      </c>
      <c r="E12" s="95">
        <v>3384392.8305513919</v>
      </c>
      <c r="F12" s="95">
        <f t="shared" si="0"/>
        <v>6770359.6044291016</v>
      </c>
      <c r="G12" s="95"/>
      <c r="H12" s="97">
        <f t="shared" si="1"/>
        <v>7.3867741196803095E-3</v>
      </c>
      <c r="I12" s="97">
        <f t="shared" si="2"/>
        <v>1.0253624413334416E-2</v>
      </c>
      <c r="J12" s="97">
        <f t="shared" si="3"/>
        <v>8.5869200555384224E-3</v>
      </c>
      <c r="K12" s="95">
        <v>31294.782048500005</v>
      </c>
      <c r="L12" s="95">
        <v>4313.4277192</v>
      </c>
      <c r="M12" s="95">
        <f t="shared" si="4"/>
        <v>35608.209767700006</v>
      </c>
      <c r="N12" s="97">
        <f t="shared" si="5"/>
        <v>6.503993075266259E-3</v>
      </c>
      <c r="O12" s="98">
        <v>7311.7242308803698</v>
      </c>
      <c r="P12" s="98">
        <f t="shared" si="6"/>
        <v>62.785191438712893</v>
      </c>
      <c r="Q12" s="92">
        <f t="shared" si="7"/>
        <v>4.8700154222600638</v>
      </c>
      <c r="R12" s="98">
        <f t="shared" si="8"/>
        <v>305.76485059608228</v>
      </c>
      <c r="S12" s="95">
        <v>6426.0129250220734</v>
      </c>
      <c r="T12" s="95">
        <v>885.71130585829553</v>
      </c>
      <c r="U12" s="98">
        <f t="shared" si="9"/>
        <v>55.179659263021165</v>
      </c>
      <c r="V12" s="98">
        <f t="shared" si="10"/>
        <v>7.6055321756917236</v>
      </c>
      <c r="W12" s="98">
        <f t="shared" si="11"/>
        <v>268.72579160596848</v>
      </c>
      <c r="X12" s="98">
        <f t="shared" si="12"/>
        <v>37.03905899011383</v>
      </c>
      <c r="AA12" s="97">
        <f>AA11*25</f>
        <v>1.1807114353410646</v>
      </c>
    </row>
    <row r="13" spans="1:31">
      <c r="D13" s="96">
        <f>SUM(D3:D12)</f>
        <v>458382335.64724874</v>
      </c>
      <c r="E13" s="96">
        <f>SUM(E3:E12)</f>
        <v>330067953.93735391</v>
      </c>
      <c r="F13" s="96">
        <f>SUM(F3:F12)</f>
        <v>788450289.58460271</v>
      </c>
      <c r="G13" s="96"/>
      <c r="H13" s="96"/>
      <c r="I13" s="96"/>
      <c r="J13" s="96"/>
      <c r="K13" s="96">
        <f t="shared" ref="K13:M13" si="13">SUM(K3:K12)</f>
        <v>5120603.1044847602</v>
      </c>
      <c r="L13" s="96">
        <f t="shared" si="13"/>
        <v>354219.72444979998</v>
      </c>
      <c r="M13" s="96">
        <f t="shared" si="13"/>
        <v>5474822.8289345596</v>
      </c>
      <c r="O13" s="98">
        <f>SUM(O3:O12)</f>
        <v>1124190.0392984422</v>
      </c>
      <c r="Q13" s="98"/>
      <c r="R13" s="98">
        <f>SUM(R3:R12)</f>
        <v>1016979.6029971539</v>
      </c>
      <c r="S13" s="95">
        <f>SUBTOTAL(9,S3:S12)</f>
        <v>1051455.2132790585</v>
      </c>
      <c r="T13" s="95">
        <f>SUBTOTAL(9,T3:T12)</f>
        <v>72734.826019383443</v>
      </c>
      <c r="U13" s="96"/>
      <c r="V13" s="4" t="s">
        <v>364</v>
      </c>
      <c r="W13" s="115">
        <f>SUBTOTAL(9,W3:W12)</f>
        <v>938430.39270177321</v>
      </c>
      <c r="X13" s="115">
        <f>SUBTOTAL(9,X3:X12)</f>
        <v>78549.210295380632</v>
      </c>
      <c r="Y13" s="98"/>
    </row>
    <row r="14" spans="1:31">
      <c r="O14" s="108" t="s">
        <v>365</v>
      </c>
      <c r="P14" s="109">
        <f>SUM(P3:P12)</f>
        <v>208824.71918850648</v>
      </c>
      <c r="V14" s="4" t="s">
        <v>78</v>
      </c>
      <c r="W14" s="115">
        <f>SUM(W3,W4,W6,W10)</f>
        <v>732455.01186047541</v>
      </c>
      <c r="X14" s="115">
        <f>SUM(X3,X4,X6,X10)</f>
        <v>73394.386700754694</v>
      </c>
      <c r="Z14" s="119" t="s">
        <v>366</v>
      </c>
      <c r="AA14" s="111">
        <f>278000000/2700000000</f>
        <v>0.10296296296296296</v>
      </c>
    </row>
    <row r="15" spans="1:31">
      <c r="O15" s="108" t="s">
        <v>367</v>
      </c>
      <c r="P15" s="109">
        <f>P14*0.75</f>
        <v>156618.53939137986</v>
      </c>
      <c r="R15" s="96"/>
      <c r="V15" s="4" t="s">
        <v>79</v>
      </c>
      <c r="W15" s="115">
        <f>SUM(W5,W7,W8,W9,W11:W12)</f>
        <v>205975.3808412978</v>
      </c>
      <c r="X15" s="115">
        <f>SUM(X5,X7,X8,X9,X11:X12)</f>
        <v>5154.823594625951</v>
      </c>
      <c r="AA15" s="97">
        <f>AA14*25</f>
        <v>2.574074074074074</v>
      </c>
    </row>
    <row r="16" spans="1:31">
      <c r="O16" s="108"/>
      <c r="P16" s="109"/>
      <c r="R16" s="96"/>
      <c r="U16" s="4" t="s">
        <v>368</v>
      </c>
      <c r="V16" s="4" t="s">
        <v>78</v>
      </c>
      <c r="W16" s="115">
        <f>W14*Z24</f>
        <v>232187.76971104374</v>
      </c>
      <c r="X16" s="115">
        <f>X14*Z37</f>
        <v>35533.810823321168</v>
      </c>
    </row>
    <row r="17" spans="1:28">
      <c r="O17" s="108"/>
      <c r="P17" s="109"/>
      <c r="U17" s="4" t="s">
        <v>369</v>
      </c>
      <c r="W17" s="115">
        <f>W14*AA24</f>
        <v>69079.235093127165</v>
      </c>
      <c r="X17" s="115">
        <f>X14*AA37</f>
        <v>4381.5408163855318</v>
      </c>
    </row>
    <row r="18" spans="1:28">
      <c r="O18" s="108"/>
      <c r="P18" s="109"/>
      <c r="U18" s="4" t="s">
        <v>368</v>
      </c>
      <c r="V18" s="4" t="s">
        <v>79</v>
      </c>
      <c r="W18" s="115">
        <f>W15*Z25</f>
        <v>76459.268741051419</v>
      </c>
      <c r="X18" s="115">
        <f>X15*Z38</f>
        <v>2040.474305485845</v>
      </c>
    </row>
    <row r="19" spans="1:28">
      <c r="O19" s="108"/>
      <c r="P19" s="109"/>
      <c r="U19" s="4" t="s">
        <v>369</v>
      </c>
      <c r="V19" s="4"/>
      <c r="W19" s="115">
        <f>W16*AA25</f>
        <v>31967.74875531223</v>
      </c>
      <c r="X19" s="115">
        <f>X15*AA38</f>
        <v>545.21729576125267</v>
      </c>
    </row>
    <row r="20" spans="1:28">
      <c r="O20" s="108"/>
      <c r="P20" s="109"/>
      <c r="V20" s="4"/>
      <c r="W20" s="115"/>
      <c r="X20" s="115"/>
    </row>
    <row r="21" spans="1:28">
      <c r="F21" t="s">
        <v>370</v>
      </c>
      <c r="Z21" s="260" t="s">
        <v>76</v>
      </c>
      <c r="AA21" s="260"/>
      <c r="AB21" s="260"/>
    </row>
    <row r="22" spans="1:28">
      <c r="Z22" s="3"/>
      <c r="AA22" s="3"/>
      <c r="AB22" s="3"/>
    </row>
    <row r="23" spans="1:28">
      <c r="B23" s="94" t="s">
        <v>307</v>
      </c>
      <c r="C23" s="93" t="s">
        <v>308</v>
      </c>
      <c r="D23" t="s">
        <v>248</v>
      </c>
      <c r="N23" t="s">
        <v>225</v>
      </c>
      <c r="O23" t="s">
        <v>241</v>
      </c>
      <c r="P23" t="s">
        <v>242</v>
      </c>
      <c r="Q23" t="s">
        <v>243</v>
      </c>
      <c r="R23" t="s">
        <v>244</v>
      </c>
      <c r="S23" t="s">
        <v>245</v>
      </c>
      <c r="T23" t="s">
        <v>246</v>
      </c>
      <c r="U23" t="s">
        <v>247</v>
      </c>
      <c r="V23" t="s">
        <v>248</v>
      </c>
      <c r="X23" s="110" t="s">
        <v>243</v>
      </c>
      <c r="Y23" s="110" t="s">
        <v>242</v>
      </c>
      <c r="Z23" s="161" t="s">
        <v>243</v>
      </c>
      <c r="AA23" s="161" t="s">
        <v>242</v>
      </c>
      <c r="AB23" s="3"/>
    </row>
    <row r="24" spans="1:28">
      <c r="A24" t="s">
        <v>258</v>
      </c>
      <c r="B24" s="95">
        <v>2458574.9822999998</v>
      </c>
      <c r="C24" s="95">
        <v>112653.10004110001</v>
      </c>
      <c r="D24" s="96">
        <f>SUM(B24:C24)</f>
        <v>2571228.0823410996</v>
      </c>
      <c r="E24" s="99">
        <f>D24/$D$55</f>
        <v>7.8733558543823592E-2</v>
      </c>
      <c r="F24" s="98">
        <f>E24*$AB$5</f>
        <v>527971.24021177145</v>
      </c>
      <c r="H24" s="111">
        <f>B24/$D$55</f>
        <v>7.528400869325047E-2</v>
      </c>
      <c r="I24" s="111">
        <f>C24/$D$55</f>
        <v>3.4495498505731255E-3</v>
      </c>
      <c r="K24" s="95">
        <f>H24*$AB$5</f>
        <v>504839.26006933069</v>
      </c>
      <c r="L24" s="95">
        <f>I24*$AB$5</f>
        <v>23131.980142440752</v>
      </c>
      <c r="M24" t="s">
        <v>78</v>
      </c>
      <c r="N24" t="s">
        <v>262</v>
      </c>
      <c r="O24" s="95">
        <v>113846.20209999999</v>
      </c>
      <c r="P24" s="95">
        <v>55468.626949999998</v>
      </c>
      <c r="Q24" s="95">
        <v>159254.20509999999</v>
      </c>
      <c r="R24" s="95">
        <v>54231.847659999999</v>
      </c>
      <c r="S24" s="95">
        <v>105021.35739999999</v>
      </c>
      <c r="T24" s="95">
        <v>48972.340819999998</v>
      </c>
      <c r="U24" s="95">
        <v>63732.082029999998</v>
      </c>
      <c r="V24" s="95">
        <v>600526.66206</v>
      </c>
      <c r="W24" s="95"/>
      <c r="X24" s="97">
        <f t="shared" ref="X24:X33" si="14">Q24/V24</f>
        <v>0.26519089852514915</v>
      </c>
      <c r="Y24" s="97">
        <f t="shared" ref="Y24:Y33" si="15">P24/V24</f>
        <v>9.2366634912969106E-2</v>
      </c>
      <c r="Z24" s="162">
        <f>AVERAGE(X24,X29,X31,X33)</f>
        <v>0.3169993596211107</v>
      </c>
      <c r="AA24" s="162">
        <f>AVERAGE(Y24,Y29,Y31,Y33)</f>
        <v>9.431191537301678E-2</v>
      </c>
      <c r="AB24" s="3" t="s">
        <v>78</v>
      </c>
    </row>
    <row r="25" spans="1:28">
      <c r="A25" t="s">
        <v>259</v>
      </c>
      <c r="B25" s="95">
        <v>38745.876950999998</v>
      </c>
      <c r="C25" s="95">
        <v>40188.182618999999</v>
      </c>
      <c r="D25" s="96">
        <f t="shared" ref="D25:D54" si="16">SUM(B25:C25)</f>
        <v>78934.059569999998</v>
      </c>
      <c r="E25" s="99">
        <f t="shared" ref="E25:E54" si="17">D25/$D$55</f>
        <v>2.417039329547818E-3</v>
      </c>
      <c r="F25" s="98">
        <f t="shared" ref="F25:F54" si="18">E25*$AB$5</f>
        <v>16208.174456533545</v>
      </c>
      <c r="H25" s="111">
        <f t="shared" ref="H25:H54" si="19">B25/$D$55</f>
        <v>1.1864372484901361E-3</v>
      </c>
      <c r="I25" s="111">
        <f t="shared" ref="I25:I54" si="20">C25/$D$55</f>
        <v>1.230602081057682E-3</v>
      </c>
      <c r="K25" s="95">
        <f t="shared" ref="K25:K54" si="21">H25*$AB$5</f>
        <v>7956.0070331397246</v>
      </c>
      <c r="L25" s="95">
        <f t="shared" ref="L25:L54" si="22">I25*$AB$5</f>
        <v>8252.1674233938193</v>
      </c>
      <c r="M25" t="s">
        <v>79</v>
      </c>
      <c r="N25" t="s">
        <v>264</v>
      </c>
      <c r="O25" s="95">
        <v>0</v>
      </c>
      <c r="P25" s="95">
        <v>10416.046200000001</v>
      </c>
      <c r="Q25" s="95">
        <v>28558.012269999999</v>
      </c>
      <c r="R25" s="95">
        <v>0</v>
      </c>
      <c r="S25" s="95">
        <v>9820.1293029999997</v>
      </c>
      <c r="T25" s="95">
        <v>8330.8370209999994</v>
      </c>
      <c r="U25" s="95">
        <v>7143.0031280000003</v>
      </c>
      <c r="V25" s="95">
        <v>64268.027922000008</v>
      </c>
      <c r="W25" s="95"/>
      <c r="X25" s="97">
        <f t="shared" si="14"/>
        <v>0.44435799873398824</v>
      </c>
      <c r="Y25" s="97">
        <f t="shared" si="15"/>
        <v>0.16207197477167984</v>
      </c>
      <c r="Z25" s="162">
        <f>AVERAGE(X25:X28,X30,X32)</f>
        <v>0.37120586173336223</v>
      </c>
      <c r="AA25" s="162">
        <f>AVERAGE(Y25:Y28,Y30,Y32)</f>
        <v>0.13768058840952691</v>
      </c>
      <c r="AB25" s="3" t="s">
        <v>79</v>
      </c>
    </row>
    <row r="26" spans="1:28">
      <c r="A26" t="s">
        <v>260</v>
      </c>
      <c r="B26" s="95">
        <v>2123770.5495199999</v>
      </c>
      <c r="C26" s="95">
        <v>8169.1773676999992</v>
      </c>
      <c r="D26" s="96">
        <f t="shared" si="16"/>
        <v>2131939.7268876997</v>
      </c>
      <c r="E26" s="99">
        <f t="shared" si="17"/>
        <v>6.5282112641669679E-2</v>
      </c>
      <c r="F26" s="98">
        <f t="shared" si="18"/>
        <v>437768.57813282136</v>
      </c>
      <c r="H26" s="111">
        <f t="shared" si="19"/>
        <v>6.5031964314124557E-2</v>
      </c>
      <c r="I26" s="111">
        <f t="shared" si="20"/>
        <v>2.5014832754512563E-4</v>
      </c>
      <c r="K26" s="95">
        <f t="shared" si="21"/>
        <v>436091.13429345278</v>
      </c>
      <c r="L26" s="95">
        <f t="shared" si="22"/>
        <v>1677.4438393685557</v>
      </c>
      <c r="M26" t="s">
        <v>79</v>
      </c>
      <c r="N26" t="s">
        <v>265</v>
      </c>
      <c r="O26" s="95">
        <v>87.008476259999995</v>
      </c>
      <c r="P26" s="95">
        <v>7397.7204359999996</v>
      </c>
      <c r="Q26" s="95">
        <v>12182.186540000001</v>
      </c>
      <c r="R26" s="95">
        <v>1131.1101759999999</v>
      </c>
      <c r="S26" s="95">
        <v>8613.8389970000007</v>
      </c>
      <c r="T26" s="95">
        <v>4263.4153210000004</v>
      </c>
      <c r="U26" s="95">
        <v>6091.5932769999999</v>
      </c>
      <c r="V26" s="95">
        <v>39766.873223260001</v>
      </c>
      <c r="W26" s="95"/>
      <c r="X26" s="97">
        <f t="shared" si="14"/>
        <v>0.30634006530024416</v>
      </c>
      <c r="Y26" s="97">
        <f t="shared" si="15"/>
        <v>0.186027208990447</v>
      </c>
      <c r="Z26" s="3"/>
      <c r="AA26" s="3"/>
      <c r="AB26" s="3"/>
    </row>
    <row r="27" spans="1:28">
      <c r="A27" t="s">
        <v>261</v>
      </c>
      <c r="B27" s="95">
        <v>1504474.6328399999</v>
      </c>
      <c r="C27" s="95">
        <v>40</v>
      </c>
      <c r="D27" s="96">
        <f t="shared" si="16"/>
        <v>1504514.6328399999</v>
      </c>
      <c r="E27" s="99">
        <f t="shared" si="17"/>
        <v>4.6069732879120376E-2</v>
      </c>
      <c r="F27" s="98">
        <f t="shared" si="18"/>
        <v>308934.26455347624</v>
      </c>
      <c r="H27" s="111">
        <f t="shared" si="19"/>
        <v>4.6068508039378078E-2</v>
      </c>
      <c r="I27" s="111">
        <f t="shared" si="20"/>
        <v>1.2248397422936793E-6</v>
      </c>
      <c r="K27" s="95">
        <f t="shared" si="21"/>
        <v>308926.05102712533</v>
      </c>
      <c r="L27" s="95">
        <f t="shared" si="22"/>
        <v>8.2135263508953944</v>
      </c>
      <c r="M27" t="s">
        <v>79</v>
      </c>
      <c r="N27" t="s">
        <v>269</v>
      </c>
      <c r="O27" s="95">
        <v>146.70834350000001</v>
      </c>
      <c r="P27" s="95">
        <v>8362.3755799999999</v>
      </c>
      <c r="Q27" s="95">
        <v>23033.20996</v>
      </c>
      <c r="R27" s="95">
        <v>146.70834350000001</v>
      </c>
      <c r="S27" s="95">
        <v>12763.62592</v>
      </c>
      <c r="T27" s="95">
        <v>7188.7088320000003</v>
      </c>
      <c r="U27" s="95">
        <v>6308.4587709999996</v>
      </c>
      <c r="V27" s="95">
        <v>57949.795749999997</v>
      </c>
      <c r="W27" s="95"/>
      <c r="X27" s="97">
        <f t="shared" si="14"/>
        <v>0.39746835449372575</v>
      </c>
      <c r="Y27" s="97">
        <f t="shared" si="15"/>
        <v>0.14430379730889734</v>
      </c>
      <c r="Z27" s="169">
        <f>AVERAGE(Z24,Z25)</f>
        <v>0.34410261067723646</v>
      </c>
      <c r="AA27" s="169">
        <f>AVERAGE(AA24,AA25)</f>
        <v>0.11599625189127184</v>
      </c>
    </row>
    <row r="28" spans="1:28">
      <c r="A28" t="s">
        <v>262</v>
      </c>
      <c r="B28" s="95">
        <v>600526.66206</v>
      </c>
      <c r="C28" s="95">
        <v>34879.872071000005</v>
      </c>
      <c r="D28" s="96">
        <f t="shared" si="16"/>
        <v>635406.53413100005</v>
      </c>
      <c r="E28" s="99">
        <f t="shared" si="17"/>
        <v>1.9456779387918351E-2</v>
      </c>
      <c r="F28" s="98">
        <f t="shared" si="18"/>
        <v>130473.20779040207</v>
      </c>
      <c r="H28" s="111">
        <f t="shared" si="19"/>
        <v>1.8388723049951344E-2</v>
      </c>
      <c r="I28" s="111">
        <f t="shared" si="20"/>
        <v>1.0680563379670037E-3</v>
      </c>
      <c r="K28" s="95">
        <f t="shared" si="21"/>
        <v>123311.03908112658</v>
      </c>
      <c r="L28" s="95">
        <f t="shared" si="22"/>
        <v>7162.1687092754719</v>
      </c>
      <c r="M28" t="s">
        <v>79</v>
      </c>
      <c r="N28" t="s">
        <v>270</v>
      </c>
      <c r="O28" s="95">
        <v>156.97880549999999</v>
      </c>
      <c r="P28" s="95">
        <v>4165.9383239999997</v>
      </c>
      <c r="Q28" s="95">
        <v>12184.857319999999</v>
      </c>
      <c r="R28" s="95">
        <v>1883.745651</v>
      </c>
      <c r="S28" s="95">
        <v>4418.4065019999998</v>
      </c>
      <c r="T28" s="95">
        <v>3927.470116</v>
      </c>
      <c r="U28" s="95">
        <v>4557.3853300000001</v>
      </c>
      <c r="V28" s="95">
        <v>31294.782048500005</v>
      </c>
      <c r="W28" s="95"/>
      <c r="X28" s="97">
        <f t="shared" si="14"/>
        <v>0.38935747502942053</v>
      </c>
      <c r="Y28" s="97">
        <f t="shared" si="15"/>
        <v>0.13311926306256791</v>
      </c>
    </row>
    <row r="29" spans="1:28">
      <c r="A29" t="s">
        <v>263</v>
      </c>
      <c r="B29" s="95">
        <v>1281997.5108999999</v>
      </c>
      <c r="C29" s="95">
        <v>56166.631592999998</v>
      </c>
      <c r="D29" s="96">
        <f t="shared" si="16"/>
        <v>1338164.1424929998</v>
      </c>
      <c r="E29" s="99">
        <f t="shared" si="17"/>
        <v>4.0975915585944205E-2</v>
      </c>
      <c r="F29" s="98">
        <f t="shared" si="18"/>
        <v>274776.16115473985</v>
      </c>
      <c r="H29" s="111">
        <f t="shared" si="19"/>
        <v>3.9256037521797356E-2</v>
      </c>
      <c r="I29" s="111">
        <f t="shared" si="20"/>
        <v>1.7198780641468536E-3</v>
      </c>
      <c r="K29" s="95">
        <f t="shared" si="21"/>
        <v>263243.00843898638</v>
      </c>
      <c r="L29" s="95">
        <f t="shared" si="22"/>
        <v>11533.152715753482</v>
      </c>
      <c r="M29" t="s">
        <v>78</v>
      </c>
      <c r="N29" t="s">
        <v>274</v>
      </c>
      <c r="O29" s="95">
        <v>124096.1482</v>
      </c>
      <c r="P29" s="95">
        <v>75006.705749999994</v>
      </c>
      <c r="Q29" s="95">
        <v>306596.0931</v>
      </c>
      <c r="R29" s="95">
        <v>29260.346890000001</v>
      </c>
      <c r="S29" s="95">
        <v>136587.68210000001</v>
      </c>
      <c r="T29" s="95">
        <v>114363.79829999999</v>
      </c>
      <c r="U29" s="95">
        <v>121513.3597</v>
      </c>
      <c r="V29" s="95">
        <v>907424.13404000003</v>
      </c>
      <c r="W29" s="95"/>
      <c r="X29" s="97">
        <f t="shared" si="14"/>
        <v>0.33787518052333948</v>
      </c>
      <c r="Y29" s="97">
        <f t="shared" si="15"/>
        <v>8.2658927546987226E-2</v>
      </c>
    </row>
    <row r="30" spans="1:28">
      <c r="A30" t="s">
        <v>264</v>
      </c>
      <c r="B30" s="95">
        <v>64268.027922000008</v>
      </c>
      <c r="C30" s="95">
        <v>3897.9600520999998</v>
      </c>
      <c r="D30" s="96">
        <f t="shared" si="16"/>
        <v>68165.987974100004</v>
      </c>
      <c r="E30" s="99">
        <f t="shared" si="17"/>
        <v>2.0873102785847674E-3</v>
      </c>
      <c r="F30" s="98">
        <f t="shared" si="18"/>
        <v>13997.078461502226</v>
      </c>
      <c r="H30" s="111">
        <f t="shared" si="19"/>
        <v>1.967950868942637E-3</v>
      </c>
      <c r="I30" s="111">
        <f t="shared" si="20"/>
        <v>1.1935940964213051E-4</v>
      </c>
      <c r="K30" s="95">
        <f t="shared" si="21"/>
        <v>13196.678521435702</v>
      </c>
      <c r="L30" s="95">
        <f t="shared" si="22"/>
        <v>800.39994006652341</v>
      </c>
      <c r="M30" t="s">
        <v>79</v>
      </c>
      <c r="N30" t="s">
        <v>276</v>
      </c>
      <c r="O30" s="95">
        <v>146519.9099</v>
      </c>
      <c r="P30" s="95">
        <v>114949.0143</v>
      </c>
      <c r="Q30" s="95">
        <v>302833.0295</v>
      </c>
      <c r="R30" s="95">
        <v>30370.993289999999</v>
      </c>
      <c r="S30" s="95">
        <v>83437.118770000001</v>
      </c>
      <c r="T30" s="95">
        <v>129254.8345</v>
      </c>
      <c r="U30" s="95">
        <v>156048.12270000001</v>
      </c>
      <c r="V30" s="95">
        <v>963413.02295999997</v>
      </c>
      <c r="W30" s="95"/>
      <c r="X30" s="97">
        <f t="shared" si="14"/>
        <v>0.31433354364421268</v>
      </c>
      <c r="Y30" s="97">
        <f t="shared" si="15"/>
        <v>0.11931436627961441</v>
      </c>
    </row>
    <row r="31" spans="1:28">
      <c r="A31" t="s">
        <v>265</v>
      </c>
      <c r="B31" s="95">
        <v>39766.873223260001</v>
      </c>
      <c r="C31" s="95">
        <v>1461.1355896</v>
      </c>
      <c r="D31" s="96">
        <f t="shared" si="16"/>
        <v>41228.008812860004</v>
      </c>
      <c r="E31" s="99">
        <f t="shared" si="17"/>
        <v>1.2624425922406247E-3</v>
      </c>
      <c r="F31" s="98">
        <f t="shared" si="18"/>
        <v>8465.6834194843304</v>
      </c>
      <c r="H31" s="111">
        <f t="shared" si="19"/>
        <v>1.2177011687650799E-3</v>
      </c>
      <c r="I31" s="111">
        <f t="shared" si="20"/>
        <v>4.4741423475544681E-5</v>
      </c>
      <c r="K31" s="95">
        <f t="shared" si="21"/>
        <v>8165.656527799063</v>
      </c>
      <c r="L31" s="95">
        <f t="shared" si="22"/>
        <v>300.026891685267</v>
      </c>
      <c r="M31" t="s">
        <v>78</v>
      </c>
      <c r="N31" t="s">
        <v>279</v>
      </c>
      <c r="O31" s="95">
        <v>90124.060060000003</v>
      </c>
      <c r="P31" s="95">
        <v>41001.825559999997</v>
      </c>
      <c r="Q31" s="95">
        <v>117975.3193</v>
      </c>
      <c r="R31" s="95">
        <v>7735.6274409999996</v>
      </c>
      <c r="S31" s="95">
        <v>53376.829469999997</v>
      </c>
      <c r="T31" s="95">
        <v>39841.481319999999</v>
      </c>
      <c r="U31" s="95">
        <v>40614.044190000001</v>
      </c>
      <c r="V31" s="95">
        <v>390669.18734100001</v>
      </c>
      <c r="W31" s="95"/>
      <c r="X31" s="97">
        <f t="shared" si="14"/>
        <v>0.3019826572527306</v>
      </c>
      <c r="Y31" s="97">
        <f t="shared" si="15"/>
        <v>0.10495280121544649</v>
      </c>
    </row>
    <row r="32" spans="1:28">
      <c r="A32" t="s">
        <v>266</v>
      </c>
      <c r="B32" s="95">
        <v>638397.48749000009</v>
      </c>
      <c r="C32" s="95">
        <v>25</v>
      </c>
      <c r="D32" s="96">
        <f t="shared" si="16"/>
        <v>638422.48749000009</v>
      </c>
      <c r="E32" s="99">
        <f t="shared" si="17"/>
        <v>1.9549130876293536E-2</v>
      </c>
      <c r="F32" s="98">
        <f t="shared" si="18"/>
        <v>131092.49810008254</v>
      </c>
      <c r="H32" s="111">
        <f t="shared" si="19"/>
        <v>1.95483653514546E-2</v>
      </c>
      <c r="I32" s="111">
        <f t="shared" si="20"/>
        <v>7.6552483893354954E-7</v>
      </c>
      <c r="K32" s="95">
        <f t="shared" si="21"/>
        <v>131087.36464611322</v>
      </c>
      <c r="L32" s="95">
        <f t="shared" si="22"/>
        <v>5.1334539693096222</v>
      </c>
      <c r="M32" t="s">
        <v>79</v>
      </c>
      <c r="N32" t="s">
        <v>280</v>
      </c>
      <c r="O32" s="95">
        <v>59319.594149999997</v>
      </c>
      <c r="P32" s="95">
        <v>57979.442369999997</v>
      </c>
      <c r="Q32" s="95">
        <v>267877.1286</v>
      </c>
      <c r="R32" s="95">
        <v>53774.971270000002</v>
      </c>
      <c r="S32" s="95">
        <v>129123.8711</v>
      </c>
      <c r="T32" s="95">
        <v>77480.780979999996</v>
      </c>
      <c r="U32" s="95">
        <v>68064.399699999994</v>
      </c>
      <c r="V32" s="95">
        <v>713620.18816999998</v>
      </c>
      <c r="W32" s="95"/>
      <c r="X32" s="97">
        <f t="shared" si="14"/>
        <v>0.37537773319858181</v>
      </c>
      <c r="Y32" s="97">
        <f t="shared" si="15"/>
        <v>8.124692004395484E-2</v>
      </c>
    </row>
    <row r="33" spans="1:28">
      <c r="A33" t="s">
        <v>267</v>
      </c>
      <c r="B33" s="95">
        <v>580211.94434000005</v>
      </c>
      <c r="C33" s="95">
        <v>6849.0449832000004</v>
      </c>
      <c r="D33" s="96">
        <f t="shared" si="16"/>
        <v>587060.98932320008</v>
      </c>
      <c r="E33" s="99">
        <f t="shared" si="17"/>
        <v>1.797639077183252E-2</v>
      </c>
      <c r="F33" s="98">
        <f t="shared" si="18"/>
        <v>120546.0226347206</v>
      </c>
      <c r="H33" s="111">
        <f t="shared" si="19"/>
        <v>1.7766666209528006E-2</v>
      </c>
      <c r="I33" s="111">
        <f t="shared" si="20"/>
        <v>2.0972456230451263E-4</v>
      </c>
      <c r="K33" s="95">
        <f t="shared" si="21"/>
        <v>119139.65234852106</v>
      </c>
      <c r="L33" s="95">
        <f t="shared" si="22"/>
        <v>1406.3702861995278</v>
      </c>
      <c r="M33" t="s">
        <v>78</v>
      </c>
      <c r="N33" t="s">
        <v>288</v>
      </c>
      <c r="O33" s="95">
        <v>24707.708190000001</v>
      </c>
      <c r="P33" s="95">
        <v>131476.0337</v>
      </c>
      <c r="Q33" s="95">
        <v>490587.02870000002</v>
      </c>
      <c r="R33" s="95">
        <v>21244.87628</v>
      </c>
      <c r="S33" s="95">
        <v>297336.25219999999</v>
      </c>
      <c r="T33" s="95">
        <v>171425.9167</v>
      </c>
      <c r="U33" s="95">
        <v>214892.6152</v>
      </c>
      <c r="V33" s="95">
        <v>1351670.4309700001</v>
      </c>
      <c r="W33" s="95"/>
      <c r="X33" s="97">
        <f t="shared" si="14"/>
        <v>0.36294870218322356</v>
      </c>
      <c r="Y33" s="97">
        <f t="shared" si="15"/>
        <v>9.7269297816664352E-2</v>
      </c>
    </row>
    <row r="34" spans="1:28">
      <c r="A34" t="s">
        <v>268</v>
      </c>
      <c r="B34" s="95">
        <v>771634.73904000001</v>
      </c>
      <c r="C34" s="95">
        <v>66718.612969300011</v>
      </c>
      <c r="D34" s="96">
        <f t="shared" si="16"/>
        <v>838353.35200930003</v>
      </c>
      <c r="E34" s="99">
        <f t="shared" si="17"/>
        <v>2.5671212590652831E-2</v>
      </c>
      <c r="F34" s="98">
        <f t="shared" si="18"/>
        <v>172145.93370224672</v>
      </c>
      <c r="H34" s="111">
        <f t="shared" si="19"/>
        <v>2.3628222372765101E-2</v>
      </c>
      <c r="I34" s="111">
        <f t="shared" si="20"/>
        <v>2.0429902178877289E-3</v>
      </c>
      <c r="K34" s="95">
        <f t="shared" si="21"/>
        <v>158446.05655928329</v>
      </c>
      <c r="L34" s="95">
        <f t="shared" si="22"/>
        <v>13699.877142963422</v>
      </c>
      <c r="X34" s="113">
        <f>AVERAGE(X24:X33)</f>
        <v>0.34952326088846158</v>
      </c>
      <c r="Y34" s="113">
        <f>AVERAGE(Y24:Y33)</f>
        <v>0.12033311919492287</v>
      </c>
    </row>
    <row r="35" spans="1:28">
      <c r="A35" t="s">
        <v>269</v>
      </c>
      <c r="B35" s="95">
        <v>57949.795749999997</v>
      </c>
      <c r="C35" s="95">
        <v>7775.5422065000002</v>
      </c>
      <c r="D35" s="96">
        <f t="shared" si="16"/>
        <v>65725.337956499992</v>
      </c>
      <c r="E35" s="99">
        <f t="shared" si="17"/>
        <v>2.0125751501201107E-3</v>
      </c>
      <c r="F35" s="98">
        <f t="shared" si="18"/>
        <v>13495.919880680449</v>
      </c>
      <c r="H35" s="111">
        <f t="shared" si="19"/>
        <v>1.7744803223100336E-3</v>
      </c>
      <c r="I35" s="111">
        <f t="shared" si="20"/>
        <v>2.3809482781007716E-4</v>
      </c>
      <c r="K35" s="95">
        <f t="shared" si="21"/>
        <v>11899.304360540773</v>
      </c>
      <c r="L35" s="95">
        <f t="shared" si="22"/>
        <v>1596.6155201396768</v>
      </c>
      <c r="X35" s="97"/>
      <c r="Y35" s="97"/>
    </row>
    <row r="36" spans="1:28">
      <c r="A36" t="s">
        <v>270</v>
      </c>
      <c r="B36" s="95">
        <v>31294.782048500005</v>
      </c>
      <c r="C36" s="95">
        <v>4313.4277192</v>
      </c>
      <c r="D36" s="96">
        <f t="shared" si="16"/>
        <v>35608.209767700006</v>
      </c>
      <c r="E36" s="99">
        <f t="shared" si="17"/>
        <v>1.0903587618852238E-3</v>
      </c>
      <c r="F36" s="98">
        <f t="shared" si="18"/>
        <v>7311.7242308803698</v>
      </c>
      <c r="H36" s="111">
        <f t="shared" si="19"/>
        <v>9.5827731948554013E-4</v>
      </c>
      <c r="I36" s="111">
        <f t="shared" si="20"/>
        <v>1.3208144239968352E-4</v>
      </c>
      <c r="K36" s="95">
        <f t="shared" si="21"/>
        <v>6426.0129250220734</v>
      </c>
      <c r="L36" s="95">
        <f t="shared" si="22"/>
        <v>885.71130585829553</v>
      </c>
      <c r="N36" s="95" t="s">
        <v>225</v>
      </c>
      <c r="O36" s="95" t="s">
        <v>241</v>
      </c>
      <c r="P36" s="95" t="s">
        <v>242</v>
      </c>
      <c r="Q36" s="95" t="s">
        <v>243</v>
      </c>
      <c r="R36" s="95" t="s">
        <v>244</v>
      </c>
      <c r="S36" s="95" t="s">
        <v>245</v>
      </c>
      <c r="T36" s="95" t="s">
        <v>246</v>
      </c>
      <c r="U36" s="95" t="s">
        <v>247</v>
      </c>
      <c r="V36" s="95" t="s">
        <v>248</v>
      </c>
      <c r="W36" s="95"/>
      <c r="X36" s="97"/>
      <c r="Y36" s="97"/>
      <c r="Z36" s="260" t="s">
        <v>77</v>
      </c>
      <c r="AA36" s="260"/>
      <c r="AB36" s="260"/>
    </row>
    <row r="37" spans="1:28">
      <c r="A37" t="s">
        <v>271</v>
      </c>
      <c r="B37" s="95">
        <v>210630.43499399998</v>
      </c>
      <c r="C37" s="95">
        <v>1016.7036743</v>
      </c>
      <c r="D37" s="96">
        <f t="shared" si="16"/>
        <v>211647.13866829997</v>
      </c>
      <c r="E37" s="99">
        <f t="shared" si="17"/>
        <v>6.4808456695918783E-3</v>
      </c>
      <c r="F37" s="98">
        <f t="shared" si="18"/>
        <v>43459.23376359234</v>
      </c>
      <c r="H37" s="111">
        <f t="shared" si="19"/>
        <v>6.4497131929314123E-3</v>
      </c>
      <c r="I37" s="111">
        <f t="shared" si="20"/>
        <v>3.1132476660466224E-5</v>
      </c>
      <c r="K37" s="95">
        <f t="shared" si="21"/>
        <v>43250.465703094458</v>
      </c>
      <c r="L37" s="95">
        <f t="shared" si="22"/>
        <v>208.7680604978805</v>
      </c>
      <c r="N37" s="95" t="s">
        <v>262</v>
      </c>
      <c r="O37" s="95">
        <v>129</v>
      </c>
      <c r="P37" s="95">
        <v>2027.1689449999999</v>
      </c>
      <c r="Q37" s="95">
        <v>17523.130860000001</v>
      </c>
      <c r="R37" s="95">
        <v>62</v>
      </c>
      <c r="S37" s="95">
        <v>2238.779297</v>
      </c>
      <c r="T37" s="95">
        <v>4421.7275390000004</v>
      </c>
      <c r="U37" s="95">
        <v>8478.0654300000006</v>
      </c>
      <c r="V37" s="95">
        <v>34879.872071000005</v>
      </c>
      <c r="W37" s="95"/>
      <c r="X37" s="97">
        <f t="shared" ref="X37:X46" si="23">Q37/V37</f>
        <v>0.50238518146886124</v>
      </c>
      <c r="Y37" s="97">
        <f t="shared" ref="Y37:Y46" si="24">P37/V37</f>
        <v>5.811858887766503E-2</v>
      </c>
      <c r="Z37" s="162">
        <f>AVERAGE(X37,X42,X44,X46)</f>
        <v>0.48414888959015967</v>
      </c>
      <c r="AA37" s="162">
        <f>AVERAGE(Y37,Y42,Y44,Y46)</f>
        <v>5.9698582048924968E-2</v>
      </c>
      <c r="AB37" s="3" t="s">
        <v>78</v>
      </c>
    </row>
    <row r="38" spans="1:28">
      <c r="A38" t="s">
        <v>272</v>
      </c>
      <c r="B38" s="95">
        <v>2227720.5425100001</v>
      </c>
      <c r="C38" s="95">
        <v>45151.460490199999</v>
      </c>
      <c r="D38" s="96">
        <f t="shared" si="16"/>
        <v>2272872.0030002003</v>
      </c>
      <c r="E38" s="99">
        <f t="shared" si="17"/>
        <v>6.9597598960532095E-2</v>
      </c>
      <c r="F38" s="98">
        <f t="shared" si="18"/>
        <v>466707.35222136352</v>
      </c>
      <c r="H38" s="111">
        <f t="shared" si="19"/>
        <v>6.821501637975709E-2</v>
      </c>
      <c r="I38" s="111">
        <f t="shared" si="20"/>
        <v>1.3825825807749952E-3</v>
      </c>
      <c r="K38" s="95">
        <f t="shared" si="21"/>
        <v>457436.03445842169</v>
      </c>
      <c r="L38" s="95">
        <f t="shared" si="22"/>
        <v>9271.3177629417496</v>
      </c>
      <c r="N38" s="95" t="s">
        <v>264</v>
      </c>
      <c r="O38" s="95">
        <v>0</v>
      </c>
      <c r="P38" s="95">
        <v>744.64616390000003</v>
      </c>
      <c r="Q38" s="95">
        <v>1193.833862</v>
      </c>
      <c r="R38" s="95">
        <v>1</v>
      </c>
      <c r="S38" s="95">
        <v>908.37539670000001</v>
      </c>
      <c r="T38" s="95">
        <v>894.37539670000001</v>
      </c>
      <c r="U38" s="95">
        <v>155.72923280000001</v>
      </c>
      <c r="V38" s="95">
        <v>3897.9600520999998</v>
      </c>
      <c r="W38" s="95"/>
      <c r="X38" s="97">
        <f t="shared" si="23"/>
        <v>0.30627144610084706</v>
      </c>
      <c r="Y38" s="97">
        <f t="shared" si="24"/>
        <v>0.19103483718331771</v>
      </c>
      <c r="Z38" s="162">
        <f>AVERAGE(X38:X41,X43,X45)</f>
        <v>0.39583785323189274</v>
      </c>
      <c r="AA38" s="162">
        <f>AVERAGE(Y38:Y41,Y43,Y45)</f>
        <v>0.10576837126485901</v>
      </c>
      <c r="AB38" s="3" t="s">
        <v>79</v>
      </c>
    </row>
    <row r="39" spans="1:28">
      <c r="A39" t="s">
        <v>273</v>
      </c>
      <c r="B39" s="95">
        <v>2243584.6931699999</v>
      </c>
      <c r="C39" s="95">
        <v>5876.0659479999995</v>
      </c>
      <c r="D39" s="96">
        <f t="shared" si="16"/>
        <v>2249460.759118</v>
      </c>
      <c r="E39" s="99">
        <f t="shared" si="17"/>
        <v>6.8880723412445888E-2</v>
      </c>
      <c r="F39" s="98">
        <f t="shared" si="18"/>
        <v>461900.13050802134</v>
      </c>
      <c r="H39" s="111">
        <f t="shared" si="19"/>
        <v>6.870079243490966E-2</v>
      </c>
      <c r="I39" s="111">
        <f t="shared" si="20"/>
        <v>1.7993097753622459E-4</v>
      </c>
      <c r="K39" s="95">
        <f t="shared" si="21"/>
        <v>460693.54994543386</v>
      </c>
      <c r="L39" s="95">
        <f t="shared" si="22"/>
        <v>1206.5805625874282</v>
      </c>
      <c r="N39" s="95" t="s">
        <v>265</v>
      </c>
      <c r="O39" s="95">
        <v>1</v>
      </c>
      <c r="P39" s="95">
        <v>177.0169525</v>
      </c>
      <c r="Q39" s="95">
        <v>551.0508423</v>
      </c>
      <c r="R39" s="95">
        <v>4</v>
      </c>
      <c r="S39" s="95">
        <v>448.04237369999998</v>
      </c>
      <c r="T39" s="95">
        <v>8</v>
      </c>
      <c r="U39" s="95">
        <v>272.02542110000002</v>
      </c>
      <c r="V39" s="95">
        <v>1461.1355896</v>
      </c>
      <c r="W39" s="95"/>
      <c r="X39" s="97">
        <f t="shared" si="23"/>
        <v>0.37713874483808552</v>
      </c>
      <c r="Y39" s="97">
        <f t="shared" si="24"/>
        <v>0.12115025721087261</v>
      </c>
      <c r="Z39" s="3"/>
      <c r="AA39" s="3"/>
      <c r="AB39" s="3"/>
    </row>
    <row r="40" spans="1:28">
      <c r="A40" t="s">
        <v>274</v>
      </c>
      <c r="B40" s="95">
        <v>907424.13404000003</v>
      </c>
      <c r="C40" s="95">
        <v>89540.829221999986</v>
      </c>
      <c r="D40" s="96">
        <f t="shared" si="16"/>
        <v>996964.963262</v>
      </c>
      <c r="E40" s="99">
        <f t="shared" si="17"/>
        <v>3.0528057716941389E-2</v>
      </c>
      <c r="F40" s="98">
        <f t="shared" si="18"/>
        <v>204714.94991679743</v>
      </c>
      <c r="H40" s="111">
        <f t="shared" si="19"/>
        <v>2.7786228562215468E-2</v>
      </c>
      <c r="I40" s="111">
        <f t="shared" si="20"/>
        <v>2.7418291547259203E-3</v>
      </c>
      <c r="K40" s="95">
        <f t="shared" si="21"/>
        <v>186328.80090939938</v>
      </c>
      <c r="L40" s="95">
        <f t="shared" si="22"/>
        <v>18386.149007398031</v>
      </c>
      <c r="N40" s="95" t="s">
        <v>269</v>
      </c>
      <c r="O40" s="95">
        <v>0</v>
      </c>
      <c r="P40" s="95">
        <v>1320.375092</v>
      </c>
      <c r="Q40" s="95">
        <v>2934.16687</v>
      </c>
      <c r="R40" s="95">
        <v>146.70834350000001</v>
      </c>
      <c r="S40" s="95">
        <v>1907.208466</v>
      </c>
      <c r="T40" s="95">
        <v>880.25006099999996</v>
      </c>
      <c r="U40" s="95">
        <v>586.83337400000005</v>
      </c>
      <c r="V40" s="95">
        <v>7775.5422065000002</v>
      </c>
      <c r="W40" s="95"/>
      <c r="X40" s="97">
        <f t="shared" si="23"/>
        <v>0.37735849051750625</v>
      </c>
      <c r="Y40" s="97">
        <f t="shared" si="24"/>
        <v>0.169811320797182</v>
      </c>
      <c r="Z40" s="3"/>
      <c r="AA40" s="3"/>
      <c r="AB40" s="3"/>
    </row>
    <row r="41" spans="1:28">
      <c r="A41" t="s">
        <v>275</v>
      </c>
      <c r="B41" s="95">
        <v>36107.761831000003</v>
      </c>
      <c r="C41" s="95">
        <v>12320.206428300002</v>
      </c>
      <c r="D41" s="96">
        <f t="shared" si="16"/>
        <v>48427.968259300003</v>
      </c>
      <c r="E41" s="99">
        <f t="shared" si="17"/>
        <v>1.4829125040631873E-3</v>
      </c>
      <c r="F41" s="98">
        <f t="shared" si="18"/>
        <v>9944.1098354521582</v>
      </c>
      <c r="H41" s="111">
        <f t="shared" si="19"/>
        <v>1.1056555423970898E-3</v>
      </c>
      <c r="I41" s="111">
        <f t="shared" si="20"/>
        <v>3.7725696166609763E-4</v>
      </c>
      <c r="K41" s="95">
        <f t="shared" si="21"/>
        <v>7414.3013317693367</v>
      </c>
      <c r="L41" s="95">
        <f t="shared" si="22"/>
        <v>2529.8085036828224</v>
      </c>
      <c r="N41" s="95" t="s">
        <v>270</v>
      </c>
      <c r="O41" s="95">
        <v>0</v>
      </c>
      <c r="P41" s="95">
        <v>236.46820829999999</v>
      </c>
      <c r="Q41" s="95">
        <v>1687.2774429999999</v>
      </c>
      <c r="R41" s="95">
        <v>235.46820070000001</v>
      </c>
      <c r="S41" s="95">
        <v>651.91522220000002</v>
      </c>
      <c r="T41" s="95">
        <v>708.40461730000004</v>
      </c>
      <c r="U41" s="95">
        <v>793.89402770000004</v>
      </c>
      <c r="V41" s="95">
        <v>4313.4277192</v>
      </c>
      <c r="W41" s="95"/>
      <c r="X41" s="97">
        <f t="shared" si="23"/>
        <v>0.39116859093049433</v>
      </c>
      <c r="Y41" s="97">
        <f t="shared" si="24"/>
        <v>5.4821414358568903E-2</v>
      </c>
      <c r="Z41" s="169">
        <f>AVERAGE(Z37,Z38)</f>
        <v>0.43999337141102624</v>
      </c>
      <c r="AA41" s="169">
        <f>AVERAGE(AA37,AA38)</f>
        <v>8.2733476656891985E-2</v>
      </c>
    </row>
    <row r="42" spans="1:28">
      <c r="A42" t="s">
        <v>276</v>
      </c>
      <c r="B42" s="95">
        <v>963413.02295999997</v>
      </c>
      <c r="C42" s="95">
        <v>19329.525877700002</v>
      </c>
      <c r="D42" s="96">
        <f t="shared" si="16"/>
        <v>982742.54883769993</v>
      </c>
      <c r="E42" s="99">
        <f t="shared" si="17"/>
        <v>3.0092553256485046E-2</v>
      </c>
      <c r="F42" s="98">
        <f t="shared" si="18"/>
        <v>201794.54552561382</v>
      </c>
      <c r="H42" s="111">
        <f t="shared" si="19"/>
        <v>2.9500663969117522E-2</v>
      </c>
      <c r="I42" s="111">
        <f t="shared" si="20"/>
        <v>5.9188928736752687E-4</v>
      </c>
      <c r="K42" s="95">
        <f t="shared" si="21"/>
        <v>197825.45627194375</v>
      </c>
      <c r="L42" s="95">
        <f t="shared" si="22"/>
        <v>3969.0892536700849</v>
      </c>
      <c r="N42" s="95" t="s">
        <v>274</v>
      </c>
      <c r="O42" s="95">
        <v>1493.492737</v>
      </c>
      <c r="P42" s="95">
        <v>5860.0693970000002</v>
      </c>
      <c r="Q42" s="95">
        <v>35897.810579999998</v>
      </c>
      <c r="R42" s="95">
        <v>1665.591248</v>
      </c>
      <c r="S42" s="95">
        <v>13316.730009999999</v>
      </c>
      <c r="T42" s="95">
        <v>10814.84317</v>
      </c>
      <c r="U42" s="95">
        <v>20492.292079999999</v>
      </c>
      <c r="V42" s="95">
        <v>89540.829221999986</v>
      </c>
      <c r="W42" s="95"/>
      <c r="X42" s="97">
        <f t="shared" si="23"/>
        <v>0.40090996355414571</v>
      </c>
      <c r="Y42" s="97">
        <f t="shared" si="24"/>
        <v>6.5445779851681277E-2</v>
      </c>
    </row>
    <row r="43" spans="1:28">
      <c r="A43" t="s">
        <v>277</v>
      </c>
      <c r="B43" s="95">
        <v>138500.05908899999</v>
      </c>
      <c r="C43" s="95">
        <v>9569.7119139999995</v>
      </c>
      <c r="D43" s="96">
        <f t="shared" si="16"/>
        <v>148069.77100299997</v>
      </c>
      <c r="E43" s="99">
        <f t="shared" si="17"/>
        <v>4.5340435039199645E-3</v>
      </c>
      <c r="F43" s="98">
        <f t="shared" si="18"/>
        <v>30404.374147604678</v>
      </c>
      <c r="H43" s="111">
        <f t="shared" si="19"/>
        <v>4.2410094170557524E-3</v>
      </c>
      <c r="I43" s="111">
        <f t="shared" si="20"/>
        <v>2.9303408686421278E-4</v>
      </c>
      <c r="K43" s="95">
        <f t="shared" si="21"/>
        <v>28439.347123201765</v>
      </c>
      <c r="L43" s="95">
        <f t="shared" si="22"/>
        <v>1965.027024402915</v>
      </c>
      <c r="N43" s="95" t="s">
        <v>276</v>
      </c>
      <c r="O43" s="95">
        <v>1428.9017329999999</v>
      </c>
      <c r="P43" s="95">
        <v>1266.9017329999999</v>
      </c>
      <c r="Q43" s="95">
        <v>7595.4103999999998</v>
      </c>
      <c r="R43" s="95">
        <v>1800.352539</v>
      </c>
      <c r="S43" s="95">
        <v>2781.8034670000002</v>
      </c>
      <c r="T43" s="95">
        <v>735.45086670000001</v>
      </c>
      <c r="U43" s="95">
        <v>3720.7051390000001</v>
      </c>
      <c r="V43" s="95">
        <v>19329.525877700002</v>
      </c>
      <c r="W43" s="95"/>
      <c r="X43" s="97">
        <f t="shared" si="23"/>
        <v>0.39294344041633417</v>
      </c>
      <c r="Y43" s="97">
        <f t="shared" si="24"/>
        <v>6.5542307711830283E-2</v>
      </c>
    </row>
    <row r="44" spans="1:28">
      <c r="A44" t="s">
        <v>278</v>
      </c>
      <c r="B44" s="95">
        <v>1664600.2426700001</v>
      </c>
      <c r="C44" s="95">
        <v>9507.0256031999998</v>
      </c>
      <c r="D44" s="96">
        <f t="shared" si="16"/>
        <v>1674107.2682732001</v>
      </c>
      <c r="E44" s="99">
        <f t="shared" si="17"/>
        <v>5.1262827876093049E-2</v>
      </c>
      <c r="F44" s="98">
        <f t="shared" si="18"/>
        <v>343758.10405468591</v>
      </c>
      <c r="H44" s="111">
        <f t="shared" si="19"/>
        <v>5.097171330634797E-2</v>
      </c>
      <c r="I44" s="111">
        <f t="shared" si="20"/>
        <v>2.9111456974507244E-4</v>
      </c>
      <c r="K44" s="95">
        <f t="shared" si="21"/>
        <v>341805.94892192283</v>
      </c>
      <c r="L44" s="95">
        <f t="shared" si="22"/>
        <v>1952.1551327630095</v>
      </c>
      <c r="N44" s="95" t="s">
        <v>279</v>
      </c>
      <c r="O44" s="95">
        <v>65</v>
      </c>
      <c r="P44" s="95">
        <v>1564.1254879999999</v>
      </c>
      <c r="Q44" s="95">
        <v>14952.69226</v>
      </c>
      <c r="R44" s="95">
        <v>387.7813721</v>
      </c>
      <c r="S44" s="95">
        <v>3938.813721</v>
      </c>
      <c r="T44" s="95">
        <v>2363.688232</v>
      </c>
      <c r="U44" s="95">
        <v>1960.9068600000001</v>
      </c>
      <c r="V44" s="95">
        <v>25233.007933099998</v>
      </c>
      <c r="W44" s="95"/>
      <c r="X44" s="97">
        <f t="shared" si="23"/>
        <v>0.59258461375845128</v>
      </c>
      <c r="Y44" s="97">
        <f t="shared" si="24"/>
        <v>6.1987278415119945E-2</v>
      </c>
    </row>
    <row r="45" spans="1:28">
      <c r="A45" t="s">
        <v>279</v>
      </c>
      <c r="B45" s="95">
        <v>390669.18734100001</v>
      </c>
      <c r="C45" s="95">
        <v>25233.007933099998</v>
      </c>
      <c r="D45" s="96">
        <f t="shared" si="16"/>
        <v>415902.1952741</v>
      </c>
      <c r="E45" s="99">
        <f t="shared" si="17"/>
        <v>1.2735338441972603E-2</v>
      </c>
      <c r="F45" s="98">
        <f t="shared" si="18"/>
        <v>85400.591006976567</v>
      </c>
      <c r="H45" s="111">
        <f t="shared" si="19"/>
        <v>1.196267866862079E-2</v>
      </c>
      <c r="I45" s="111">
        <f t="shared" si="20"/>
        <v>7.726597733518142E-4</v>
      </c>
      <c r="K45" s="95">
        <f t="shared" si="21"/>
        <v>80219.291617704832</v>
      </c>
      <c r="L45" s="95">
        <f t="shared" si="22"/>
        <v>5181.299389271735</v>
      </c>
      <c r="N45" s="95" t="s">
        <v>280</v>
      </c>
      <c r="O45" s="95">
        <v>226.28794859999999</v>
      </c>
      <c r="P45" s="95">
        <v>689.86384580000004</v>
      </c>
      <c r="Q45" s="95">
        <v>11340.397349999999</v>
      </c>
      <c r="R45" s="95">
        <v>30</v>
      </c>
      <c r="S45" s="95">
        <v>5224.6228330000004</v>
      </c>
      <c r="T45" s="95">
        <v>1342.727676</v>
      </c>
      <c r="U45" s="95">
        <v>2537.1674349999998</v>
      </c>
      <c r="V45" s="95">
        <v>21391.067088399999</v>
      </c>
      <c r="W45" s="95"/>
      <c r="X45" s="97">
        <f t="shared" si="23"/>
        <v>0.5301464065880892</v>
      </c>
      <c r="Y45" s="97">
        <f t="shared" si="24"/>
        <v>3.2250090327382554E-2</v>
      </c>
    </row>
    <row r="46" spans="1:28">
      <c r="A46" t="s">
        <v>280</v>
      </c>
      <c r="B46" s="95">
        <v>713620.18816999998</v>
      </c>
      <c r="C46" s="95">
        <v>21391.067088399999</v>
      </c>
      <c r="D46" s="96">
        <f t="shared" si="16"/>
        <v>735011.25525839999</v>
      </c>
      <c r="E46" s="99">
        <f t="shared" si="17"/>
        <v>2.2506774911841311E-2</v>
      </c>
      <c r="F46" s="98">
        <f t="shared" si="18"/>
        <v>150925.85783173927</v>
      </c>
      <c r="H46" s="111">
        <f t="shared" si="19"/>
        <v>2.1851759184342741E-2</v>
      </c>
      <c r="I46" s="111">
        <f t="shared" si="20"/>
        <v>6.5501572749856649E-4</v>
      </c>
      <c r="K46" s="95">
        <f t="shared" si="21"/>
        <v>146533.45550163061</v>
      </c>
      <c r="L46" s="95">
        <f t="shared" si="22"/>
        <v>4392.4023301086154</v>
      </c>
      <c r="N46" s="95" t="s">
        <v>288</v>
      </c>
      <c r="O46" s="95">
        <v>407.9812622</v>
      </c>
      <c r="P46" s="95">
        <v>7794.5877689999998</v>
      </c>
      <c r="Q46" s="95">
        <v>64519.628109999998</v>
      </c>
      <c r="R46" s="95">
        <v>1451.9250489999999</v>
      </c>
      <c r="S46" s="95">
        <v>32738.29523</v>
      </c>
      <c r="T46" s="95">
        <v>16193.1571</v>
      </c>
      <c r="U46" s="95">
        <v>23291.782169999999</v>
      </c>
      <c r="V46" s="95">
        <v>146397.35669019999</v>
      </c>
      <c r="W46" s="95"/>
      <c r="X46" s="97">
        <f t="shared" si="23"/>
        <v>0.44071579957918067</v>
      </c>
      <c r="Y46" s="97">
        <f t="shared" si="24"/>
        <v>5.3242681051233615E-2</v>
      </c>
    </row>
    <row r="47" spans="1:28">
      <c r="A47" t="s">
        <v>281</v>
      </c>
      <c r="B47" s="95">
        <v>618457.11547000008</v>
      </c>
      <c r="C47" s="95">
        <v>4515.7062378000001</v>
      </c>
      <c r="D47" s="96">
        <f t="shared" si="16"/>
        <v>622972.82170780003</v>
      </c>
      <c r="E47" s="99">
        <f t="shared" si="17"/>
        <v>1.9076046759913701E-2</v>
      </c>
      <c r="F47" s="98">
        <f t="shared" si="18"/>
        <v>127920.09217471686</v>
      </c>
      <c r="H47" s="111">
        <f t="shared" si="19"/>
        <v>1.893777134829918E-2</v>
      </c>
      <c r="I47" s="111">
        <f t="shared" si="20"/>
        <v>1.3827541161452281E-4</v>
      </c>
      <c r="K47" s="95">
        <f t="shared" si="21"/>
        <v>126992.84537029006</v>
      </c>
      <c r="L47" s="95">
        <f t="shared" si="22"/>
        <v>927.24680442682518</v>
      </c>
      <c r="X47" s="114">
        <f>AVERAGE(X37:X46)</f>
        <v>0.43116226777519956</v>
      </c>
      <c r="Y47" s="114">
        <f>AVERAGE(Y37:Y46)</f>
        <v>8.734045557848541E-2</v>
      </c>
    </row>
    <row r="48" spans="1:28">
      <c r="A48" t="s">
        <v>282</v>
      </c>
      <c r="B48" s="95">
        <v>316842.03120299999</v>
      </c>
      <c r="C48" s="95">
        <v>81071.148432000002</v>
      </c>
      <c r="D48" s="96">
        <f t="shared" si="16"/>
        <v>397913.17963500001</v>
      </c>
      <c r="E48" s="99">
        <f t="shared" si="17"/>
        <v>1.2184496909984799E-2</v>
      </c>
      <c r="F48" s="98">
        <f t="shared" si="18"/>
        <v>81706.759657516144</v>
      </c>
      <c r="H48" s="111">
        <f t="shared" si="19"/>
        <v>9.7020177961622094E-3</v>
      </c>
      <c r="I48" s="111">
        <f t="shared" si="20"/>
        <v>2.4824791138225877E-3</v>
      </c>
      <c r="K48" s="95">
        <f t="shared" si="21"/>
        <v>65059.759308926528</v>
      </c>
      <c r="L48" s="95">
        <f t="shared" si="22"/>
        <v>16647.000348589598</v>
      </c>
    </row>
    <row r="49" spans="1:12">
      <c r="A49" t="s">
        <v>283</v>
      </c>
      <c r="B49" s="95">
        <v>1932852.7043000003</v>
      </c>
      <c r="C49" s="95">
        <v>11068.8460994</v>
      </c>
      <c r="D49" s="96">
        <f t="shared" si="16"/>
        <v>1943921.5503994003</v>
      </c>
      <c r="E49" s="99">
        <f t="shared" si="17"/>
        <v>5.9524809270758275E-2</v>
      </c>
      <c r="F49" s="98">
        <f t="shared" si="18"/>
        <v>399161.2719569726</v>
      </c>
      <c r="H49" s="111">
        <f t="shared" si="19"/>
        <v>5.9185870205661337E-2</v>
      </c>
      <c r="I49" s="111">
        <f t="shared" si="20"/>
        <v>3.389390650969373E-4</v>
      </c>
      <c r="K49" s="95">
        <f t="shared" si="21"/>
        <v>396888.41547918692</v>
      </c>
      <c r="L49" s="95">
        <f t="shared" si="22"/>
        <v>2272.85647778569</v>
      </c>
    </row>
    <row r="50" spans="1:12">
      <c r="A50" t="s">
        <v>284</v>
      </c>
      <c r="B50" s="95">
        <v>2518763.6653999998</v>
      </c>
      <c r="C50" s="95">
        <v>27116.152396099998</v>
      </c>
      <c r="D50" s="96">
        <f t="shared" si="16"/>
        <v>2545879.8177960999</v>
      </c>
      <c r="E50" s="99">
        <f t="shared" si="17"/>
        <v>7.795736949850135E-2</v>
      </c>
      <c r="F50" s="98">
        <f t="shared" si="18"/>
        <v>522766.2742420258</v>
      </c>
      <c r="H50" s="111">
        <f t="shared" si="19"/>
        <v>7.7127045970680472E-2</v>
      </c>
      <c r="I50" s="111">
        <f t="shared" si="20"/>
        <v>8.303235278208814E-4</v>
      </c>
      <c r="K50" s="95">
        <f t="shared" si="21"/>
        <v>517198.29343601927</v>
      </c>
      <c r="L50" s="95">
        <f t="shared" si="22"/>
        <v>5567.9808060065661</v>
      </c>
    </row>
    <row r="51" spans="1:12">
      <c r="A51" t="s">
        <v>285</v>
      </c>
      <c r="B51" s="95">
        <v>1838636.6509100003</v>
      </c>
      <c r="C51" s="95">
        <v>21221.931793</v>
      </c>
      <c r="D51" s="96">
        <f t="shared" si="16"/>
        <v>1859858.5827030004</v>
      </c>
      <c r="E51" s="99">
        <f t="shared" si="17"/>
        <v>5.6950717678515762E-2</v>
      </c>
      <c r="F51" s="98">
        <f t="shared" si="18"/>
        <v>381899.93694925139</v>
      </c>
      <c r="H51" s="111">
        <f t="shared" si="19"/>
        <v>5.6300881041807957E-2</v>
      </c>
      <c r="I51" s="111">
        <f t="shared" si="20"/>
        <v>6.4983663670780398E-4</v>
      </c>
      <c r="K51" s="95">
        <f t="shared" si="21"/>
        <v>377542.2645492836</v>
      </c>
      <c r="L51" s="95">
        <f t="shared" si="22"/>
        <v>4357.6723999677561</v>
      </c>
    </row>
    <row r="52" spans="1:12">
      <c r="A52" t="s">
        <v>286</v>
      </c>
      <c r="B52" s="95">
        <v>754096.31027000013</v>
      </c>
      <c r="C52" s="95">
        <v>3110.4971928</v>
      </c>
      <c r="D52" s="96">
        <f t="shared" si="16"/>
        <v>757206.80746280018</v>
      </c>
      <c r="E52" s="99">
        <f t="shared" si="17"/>
        <v>2.3186424772893895E-2</v>
      </c>
      <c r="F52" s="98">
        <f t="shared" si="18"/>
        <v>155483.45165432713</v>
      </c>
      <c r="H52" s="111">
        <f t="shared" si="19"/>
        <v>2.3091178258393033E-2</v>
      </c>
      <c r="I52" s="111">
        <f t="shared" si="20"/>
        <v>9.5246514500859115E-5</v>
      </c>
      <c r="K52" s="95">
        <f t="shared" si="21"/>
        <v>154844.74788789087</v>
      </c>
      <c r="L52" s="95">
        <f t="shared" si="22"/>
        <v>638.70376643622376</v>
      </c>
    </row>
    <row r="53" spans="1:12">
      <c r="A53" t="s">
        <v>287</v>
      </c>
      <c r="B53" s="95">
        <v>2751182.4694599998</v>
      </c>
      <c r="C53" s="95">
        <v>10373.102966300001</v>
      </c>
      <c r="D53" s="96">
        <f t="shared" si="16"/>
        <v>2761555.5724263</v>
      </c>
      <c r="E53" s="99">
        <f t="shared" si="17"/>
        <v>8.4561575391507576E-2</v>
      </c>
      <c r="F53" s="98">
        <f t="shared" si="18"/>
        <v>567052.73658963572</v>
      </c>
      <c r="H53" s="111">
        <f t="shared" si="19"/>
        <v>8.4243940672406856E-2</v>
      </c>
      <c r="I53" s="111">
        <f t="shared" si="20"/>
        <v>3.1763471910071736E-4</v>
      </c>
      <c r="K53" s="95">
        <f t="shared" si="21"/>
        <v>564922.7427257793</v>
      </c>
      <c r="L53" s="95">
        <f t="shared" si="22"/>
        <v>2129.9938638564063</v>
      </c>
    </row>
    <row r="54" spans="1:12">
      <c r="A54" t="s">
        <v>288</v>
      </c>
      <c r="B54" s="95">
        <v>1351670.4309700001</v>
      </c>
      <c r="C54" s="95">
        <v>146397.35669019999</v>
      </c>
      <c r="D54" s="96">
        <f t="shared" si="16"/>
        <v>1498067.7876602001</v>
      </c>
      <c r="E54" s="99">
        <f t="shared" si="17"/>
        <v>4.5872324074404544E-2</v>
      </c>
      <c r="F54" s="98">
        <f t="shared" si="18"/>
        <v>307610.48123436549</v>
      </c>
      <c r="H54" s="111">
        <f t="shared" si="19"/>
        <v>4.1389491558382036E-2</v>
      </c>
      <c r="I54" s="111">
        <f t="shared" si="20"/>
        <v>4.4828325160225103E-3</v>
      </c>
      <c r="K54" s="95">
        <f t="shared" si="21"/>
        <v>277549.51756245579</v>
      </c>
      <c r="L54" s="95">
        <f t="shared" si="22"/>
        <v>30060.963671909747</v>
      </c>
    </row>
    <row r="55" spans="1:12">
      <c r="B55" s="95">
        <f>SUM(B24:B54)</f>
        <v>31770385.509142764</v>
      </c>
      <c r="C55" s="95">
        <f>SUM(C24:C54)</f>
        <v>886948.03319849982</v>
      </c>
      <c r="D55" s="95">
        <f>SUM(D24:D54)</f>
        <v>32657333.542341262</v>
      </c>
    </row>
  </sheetData>
  <mergeCells count="2">
    <mergeCell ref="Z21:AB21"/>
    <mergeCell ref="Z36:AB36"/>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andtime xmlns="505ccb20-7403-45a6-b481-ca1dd862337d" xsi:nil="true"/>
    <TaxCatchAll xmlns="e5565b3b-de73-408f-92ec-2a950ff896c8" xsi:nil="true"/>
    <lcf76f155ced4ddcb4097134ff3c332f xmlns="505ccb20-7403-45a6-b481-ca1dd862337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7C036A91C4175499EBEF36E3B0FEA2A" ma:contentTypeVersion="14" ma:contentTypeDescription="Create a new document." ma:contentTypeScope="" ma:versionID="dcd3af65d8a10df1b33f9aaa4e0a7927">
  <xsd:schema xmlns:xsd="http://www.w3.org/2001/XMLSchema" xmlns:xs="http://www.w3.org/2001/XMLSchema" xmlns:p="http://schemas.microsoft.com/office/2006/metadata/properties" xmlns:ns2="505ccb20-7403-45a6-b481-ca1dd862337d" xmlns:ns3="e5565b3b-de73-408f-92ec-2a950ff896c8" targetNamespace="http://schemas.microsoft.com/office/2006/metadata/properties" ma:root="true" ma:fieldsID="3c82aef621d8e4eb77d4e0fd2c947e6a" ns2:_="" ns3:_="">
    <xsd:import namespace="505ccb20-7403-45a6-b481-ca1dd862337d"/>
    <xsd:import namespace="e5565b3b-de73-408f-92ec-2a950ff896c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Dateand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ccb20-7403-45a6-b481-ca1dd8623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Dateandtime" ma:index="21" nillable="true" ma:displayName="Date and time" ma:format="DateOnly" ma:internalName="Dateand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5565b3b-de73-408f-92ec-2a950ff896c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a2e2747-e17c-42bb-aa81-38a2638568af}" ma:internalName="TaxCatchAll" ma:showField="CatchAllData" ma:web="e5565b3b-de73-408f-92ec-2a950ff896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E146C3-21C4-4D70-BD06-405A7242678E}"/>
</file>

<file path=customXml/itemProps2.xml><?xml version="1.0" encoding="utf-8"?>
<ds:datastoreItem xmlns:ds="http://schemas.openxmlformats.org/officeDocument/2006/customXml" ds:itemID="{D2E6214B-DC5C-42BA-BD3E-FD549344A368}"/>
</file>

<file path=customXml/itemProps3.xml><?xml version="1.0" encoding="utf-8"?>
<ds:datastoreItem xmlns:ds="http://schemas.openxmlformats.org/officeDocument/2006/customXml" ds:itemID="{A4D36F6B-AA49-4A7E-873C-70B360C0F53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Roger</dc:creator>
  <cp:keywords/>
  <dc:description/>
  <cp:lastModifiedBy>Vallet, Julien (CFIA)</cp:lastModifiedBy>
  <cp:revision/>
  <dcterms:created xsi:type="dcterms:W3CDTF">2023-04-01T09:32:09Z</dcterms:created>
  <dcterms:modified xsi:type="dcterms:W3CDTF">2025-03-11T11:12:40Z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0x01010067C036A91C4175499EBEF36E3B0FEA2A</vt:lpwstr>
  </property>
  <property fmtid="{D5CDD505-2E9C-101B-9397-08002B2CF9AE}" pid="3" name="MediaServiceImageTags">
    <vt:lpwstr/>
  </property>
  <property fmtid="{D5CDD505-2E9C-101B-9397-08002B2CF9AE}" pid="4" name="Order">
    <vt:r8>95600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y fmtid="{D5CDD505-2E9C-101B-9397-08002B2CF9AE}" pid="11" name="_SourceUrl">
    <vt:lpwstr/>
  </property>
  <property fmtid="{D5CDD505-2E9C-101B-9397-08002B2CF9AE}" pid="12" name="_SharedFileIndex">
    <vt:lpwstr/>
  </property>
</Properties>
</file>