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/>
  <mc:AlternateContent xmlns:mc="http://schemas.openxmlformats.org/markup-compatibility/2006">
    <mc:Choice Requires="x15">
      <x15ac:absPath xmlns:x15ac="http://schemas.microsoft.com/office/spreadsheetml/2010/11/ac" url="C:\Users\Rakotovaon\Documents\NSAG Dossiers\DaIMA -PADNET Gleam-i\Narindra\Final Fimal 22 July\"/>
    </mc:Choice>
  </mc:AlternateContent>
  <xr:revisionPtr revIDLastSave="19" documentId="13_ncr:1_{A6F926FA-016A-47A0-B5F5-BFBFB41D196A}" xr6:coauthVersionLast="47" xr6:coauthVersionMax="47" xr10:uidLastSave="{D6E3DD1E-0FAF-46F5-B3B4-74059D9A4E99}"/>
  <bookViews>
    <workbookView xWindow="28680" yWindow="-120" windowWidth="29040" windowHeight="15840" tabRatio="714" firstSheet="25" activeTab="21" xr2:uid="{00000000-000D-0000-FFFF-FFFF00000000}"/>
  </bookViews>
  <sheets>
    <sheet name="data" sheetId="12" state="hidden" r:id="rId1"/>
    <sheet name="RWA_2020_milk_input" sheetId="14" state="hidden" r:id="rId2"/>
    <sheet name="RWA_2020_milk_district" sheetId="15" state="hidden" r:id="rId3"/>
    <sheet name="EXIT ANIMALS" sheetId="13" state="hidden" r:id="rId4"/>
    <sheet name="Source_Local" sheetId="2" state="hidden" r:id="rId5"/>
    <sheet name="Local_2020" sheetId="3" state="hidden" r:id="rId6"/>
    <sheet name="Source_Crossbreed" sheetId="4" state="hidden" r:id="rId7"/>
    <sheet name="Crossbreed_2020" sheetId="5" state="hidden" r:id="rId8"/>
    <sheet name="Source_Exotic" sheetId="7" state="hidden" r:id="rId9"/>
    <sheet name="Exotic_2020" sheetId="6" state="hidden" r:id="rId10"/>
    <sheet name="Zero_grazing" sheetId="1" state="hidden" r:id="rId11"/>
    <sheet name="Open_grazing" sheetId="9" state="hidden" r:id="rId12"/>
    <sheet name="Pasture_grazing " sheetId="11" state="hidden" r:id="rId13"/>
    <sheet name="MMS" sheetId="8" state="hidden" r:id="rId14"/>
    <sheet name="Sheet 1" sheetId="17" state="hidden" r:id="rId15"/>
    <sheet name="Raw Results" sheetId="20" state="hidden" r:id="rId16"/>
    <sheet name="Processed Results" sheetId="21" state="hidden" r:id="rId17"/>
    <sheet name="Summary Tables" sheetId="22" state="hidden" r:id="rId18"/>
    <sheet name="Input_data_042024" sheetId="26" r:id="rId19"/>
    <sheet name="Feuil2" sheetId="31" state="hidden" r:id="rId20"/>
    <sheet name="Feuil1" sheetId="30" state="hidden" r:id="rId21"/>
    <sheet name="Summary Tables 2024" sheetId="25" r:id="rId22"/>
    <sheet name="Feed intake" sheetId="29" state="hidden" r:id="rId23"/>
    <sheet name="HH Numbers &amp; Data Inputs" sheetId="19" r:id="rId24"/>
    <sheet name="Raw Results 2024" sheetId="23" r:id="rId25"/>
    <sheet name="Processed Results 2024" sheetId="24" r:id="rId26"/>
  </sheets>
  <externalReferences>
    <externalReference r:id="rId27"/>
  </externalReferences>
  <definedNames>
    <definedName name="_xlnm._FilterDatabase" localSheetId="5" hidden="1">Local_2020!$A$7:$BG$37</definedName>
    <definedName name="_xlnm._FilterDatabase" localSheetId="16" hidden="1">'Processed Results'!$A$1:$AH$75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6" i="25" l="1"/>
  <c r="AE4" i="25"/>
  <c r="AC4" i="25"/>
  <c r="Z82" i="19"/>
  <c r="AK11" i="25"/>
  <c r="AK12" i="25"/>
  <c r="AK13" i="25"/>
  <c r="AK14" i="25"/>
  <c r="AK15" i="25"/>
  <c r="AK16" i="25"/>
  <c r="AK17" i="25"/>
  <c r="AK18" i="25"/>
  <c r="AK19" i="25"/>
  <c r="AK20" i="25"/>
  <c r="AK21" i="25"/>
  <c r="AK22" i="25"/>
  <c r="AK23" i="25"/>
  <c r="AK24" i="25"/>
  <c r="AK25" i="25"/>
  <c r="AK26" i="25"/>
  <c r="AK27" i="25"/>
  <c r="AK28" i="25"/>
  <c r="AK29" i="25"/>
  <c r="AK30" i="25"/>
  <c r="AK10" i="25"/>
  <c r="AC24" i="25"/>
  <c r="AB24" i="25"/>
  <c r="AF4" i="25"/>
  <c r="P63" i="26" l="1"/>
  <c r="Q63" i="26"/>
  <c r="O63" i="26"/>
  <c r="E10" i="31" l="1"/>
  <c r="D10" i="31"/>
  <c r="AB94" i="19" l="1"/>
  <c r="AA94" i="19"/>
  <c r="AH89" i="19"/>
  <c r="AF94" i="19"/>
  <c r="AE94" i="19"/>
  <c r="AG89" i="19"/>
  <c r="C81" i="29"/>
  <c r="C79" i="29"/>
  <c r="D79" i="29"/>
  <c r="E79" i="29"/>
  <c r="F79" i="29"/>
  <c r="G79" i="29"/>
  <c r="H79" i="29"/>
  <c r="I79" i="29"/>
  <c r="J79" i="29"/>
  <c r="K79" i="29"/>
  <c r="L79" i="29"/>
  <c r="M79" i="29"/>
  <c r="N79" i="29"/>
  <c r="O79" i="29"/>
  <c r="P79" i="29"/>
  <c r="C71" i="29"/>
  <c r="D71" i="29"/>
  <c r="E71" i="29"/>
  <c r="F71" i="29"/>
  <c r="F73" i="29" s="1"/>
  <c r="F75" i="29" s="1"/>
  <c r="G71" i="29"/>
  <c r="G73" i="29" s="1"/>
  <c r="G75" i="29" s="1"/>
  <c r="H71" i="29"/>
  <c r="H72" i="29" s="1"/>
  <c r="I71" i="29"/>
  <c r="I72" i="29" s="1"/>
  <c r="J71" i="29"/>
  <c r="K71" i="29"/>
  <c r="L71" i="29"/>
  <c r="M71" i="29"/>
  <c r="N71" i="29"/>
  <c r="O71" i="29"/>
  <c r="P71" i="29"/>
  <c r="C72" i="29"/>
  <c r="D72" i="29"/>
  <c r="E72" i="29"/>
  <c r="F72" i="29"/>
  <c r="G72" i="29"/>
  <c r="J72" i="29"/>
  <c r="K72" i="29"/>
  <c r="L72" i="29"/>
  <c r="M72" i="29"/>
  <c r="N72" i="29"/>
  <c r="O72" i="29"/>
  <c r="P72" i="29"/>
  <c r="C73" i="29"/>
  <c r="C75" i="29" s="1"/>
  <c r="D73" i="29"/>
  <c r="D75" i="29" s="1"/>
  <c r="E73" i="29"/>
  <c r="E75" i="29" s="1"/>
  <c r="J73" i="29"/>
  <c r="K73" i="29"/>
  <c r="L73" i="29"/>
  <c r="M73" i="29"/>
  <c r="N73" i="29"/>
  <c r="N75" i="29" s="1"/>
  <c r="O73" i="29"/>
  <c r="O75" i="29" s="1"/>
  <c r="P73" i="29"/>
  <c r="P75" i="29" s="1"/>
  <c r="C74" i="29"/>
  <c r="D74" i="29"/>
  <c r="E74" i="29"/>
  <c r="F74" i="29"/>
  <c r="G74" i="29"/>
  <c r="H74" i="29"/>
  <c r="I74" i="29"/>
  <c r="J74" i="29"/>
  <c r="K74" i="29"/>
  <c r="L74" i="29"/>
  <c r="M74" i="29"/>
  <c r="N74" i="29"/>
  <c r="O74" i="29"/>
  <c r="P74" i="29"/>
  <c r="J75" i="29"/>
  <c r="K75" i="29"/>
  <c r="L75" i="29"/>
  <c r="M75" i="29"/>
  <c r="Q75" i="29"/>
  <c r="Q74" i="29"/>
  <c r="Q73" i="29"/>
  <c r="Q71" i="29"/>
  <c r="Q72" i="29"/>
  <c r="C37" i="29"/>
  <c r="D37" i="29"/>
  <c r="E37" i="29"/>
  <c r="F37" i="29"/>
  <c r="G37" i="29"/>
  <c r="H37" i="29"/>
  <c r="I37" i="29"/>
  <c r="J37" i="29"/>
  <c r="K37" i="29"/>
  <c r="K39" i="29" s="1"/>
  <c r="K40" i="29" s="1"/>
  <c r="L37" i="29"/>
  <c r="L39" i="29" s="1"/>
  <c r="L40" i="29" s="1"/>
  <c r="M37" i="29"/>
  <c r="M39" i="29" s="1"/>
  <c r="M40" i="29" s="1"/>
  <c r="N37" i="29"/>
  <c r="N39" i="29" s="1"/>
  <c r="N40" i="29" s="1"/>
  <c r="O37" i="29"/>
  <c r="P37" i="29"/>
  <c r="C38" i="29"/>
  <c r="D3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C39" i="29"/>
  <c r="D39" i="29"/>
  <c r="E39" i="29"/>
  <c r="F39" i="29"/>
  <c r="G39" i="29"/>
  <c r="H39" i="29"/>
  <c r="I39" i="29"/>
  <c r="I40" i="29" s="1"/>
  <c r="J39" i="29"/>
  <c r="J40" i="29" s="1"/>
  <c r="O39" i="29"/>
  <c r="P39" i="29"/>
  <c r="C40" i="29"/>
  <c r="D40" i="29"/>
  <c r="E40" i="29"/>
  <c r="F40" i="29"/>
  <c r="G40" i="29"/>
  <c r="H40" i="29"/>
  <c r="O40" i="29"/>
  <c r="P40" i="29"/>
  <c r="C21" i="29"/>
  <c r="D21" i="29"/>
  <c r="E21" i="29"/>
  <c r="F21" i="29"/>
  <c r="G21" i="29"/>
  <c r="H21" i="29"/>
  <c r="I21" i="29"/>
  <c r="J21" i="29"/>
  <c r="K21" i="29"/>
  <c r="D70" i="29"/>
  <c r="E70" i="29"/>
  <c r="F70" i="29"/>
  <c r="G70" i="29"/>
  <c r="H70" i="29"/>
  <c r="I70" i="29"/>
  <c r="J70" i="29"/>
  <c r="K70" i="29"/>
  <c r="L70" i="29"/>
  <c r="M70" i="29"/>
  <c r="N70" i="29"/>
  <c r="O70" i="29"/>
  <c r="P70" i="29"/>
  <c r="Q70" i="29"/>
  <c r="C70" i="29"/>
  <c r="C64" i="29"/>
  <c r="D64" i="29"/>
  <c r="D65" i="29" s="1"/>
  <c r="E64" i="29"/>
  <c r="E65" i="29" s="1"/>
  <c r="F64" i="29"/>
  <c r="F65" i="29" s="1"/>
  <c r="G64" i="29"/>
  <c r="G65" i="29" s="1"/>
  <c r="H64" i="29"/>
  <c r="H65" i="29" s="1"/>
  <c r="I64" i="29"/>
  <c r="I65" i="29" s="1"/>
  <c r="J64" i="29"/>
  <c r="J65" i="29" s="1"/>
  <c r="K64" i="29"/>
  <c r="K65" i="29" s="1"/>
  <c r="C65" i="29"/>
  <c r="M64" i="29"/>
  <c r="M65" i="29" s="1"/>
  <c r="N64" i="29"/>
  <c r="N65" i="29" s="1"/>
  <c r="O64" i="29"/>
  <c r="O65" i="29" s="1"/>
  <c r="P64" i="29"/>
  <c r="P65" i="29" s="1"/>
  <c r="Q64" i="29"/>
  <c r="Q65" i="29" s="1"/>
  <c r="L64" i="29"/>
  <c r="L65" i="29" s="1"/>
  <c r="S37" i="26"/>
  <c r="I73" i="29" l="1"/>
  <c r="I75" i="29" s="1"/>
  <c r="H73" i="29"/>
  <c r="H75" i="29" s="1"/>
  <c r="Q79" i="29"/>
  <c r="Q49" i="29"/>
  <c r="Q53" i="29" s="1"/>
  <c r="Q48" i="29"/>
  <c r="Q52" i="29"/>
  <c r="N49" i="29"/>
  <c r="N53" i="29" s="1"/>
  <c r="N48" i="29"/>
  <c r="L50" i="29"/>
  <c r="L51" i="29" s="1"/>
  <c r="O48" i="29"/>
  <c r="O52" i="29" s="1"/>
  <c r="P48" i="29"/>
  <c r="P52" i="29" s="1"/>
  <c r="O49" i="29"/>
  <c r="O53" i="29" s="1"/>
  <c r="P49" i="29"/>
  <c r="P53" i="29" s="1"/>
  <c r="O54" i="29"/>
  <c r="P54" i="29"/>
  <c r="Q54" i="29"/>
  <c r="O55" i="29"/>
  <c r="P55" i="29"/>
  <c r="Q55" i="29"/>
  <c r="M48" i="29"/>
  <c r="M52" i="29" s="1"/>
  <c r="M49" i="29"/>
  <c r="M53" i="29" s="1"/>
  <c r="M54" i="29"/>
  <c r="N54" i="29"/>
  <c r="M55" i="29"/>
  <c r="N55" i="29"/>
  <c r="L55" i="29"/>
  <c r="L54" i="29"/>
  <c r="L49" i="29"/>
  <c r="L53" i="29" s="1"/>
  <c r="L48" i="29"/>
  <c r="L52" i="29" s="1"/>
  <c r="N31" i="29"/>
  <c r="P50" i="29" l="1"/>
  <c r="P51" i="29" s="1"/>
  <c r="O50" i="29"/>
  <c r="O51" i="29" s="1"/>
  <c r="M50" i="29"/>
  <c r="M51" i="29" s="1"/>
  <c r="Q50" i="29"/>
  <c r="Q51" i="29" s="1"/>
  <c r="N50" i="29"/>
  <c r="N51" i="29" s="1"/>
  <c r="N52" i="29"/>
  <c r="Q38" i="29"/>
  <c r="Q37" i="29"/>
  <c r="M21" i="29"/>
  <c r="M56" i="29" s="1"/>
  <c r="M57" i="29" s="1"/>
  <c r="N21" i="29"/>
  <c r="N56" i="29" s="1"/>
  <c r="N57" i="29" s="1"/>
  <c r="O21" i="29"/>
  <c r="O56" i="29" s="1"/>
  <c r="O57" i="29" s="1"/>
  <c r="P21" i="29"/>
  <c r="P56" i="29" s="1"/>
  <c r="P57" i="29" s="1"/>
  <c r="Q21" i="29"/>
  <c r="Q56" i="29" s="1"/>
  <c r="Q57" i="29" s="1"/>
  <c r="L21" i="29"/>
  <c r="L56" i="29" s="1"/>
  <c r="L57" i="29" s="1"/>
  <c r="O60" i="29" l="1"/>
  <c r="O61" i="29" s="1"/>
  <c r="N60" i="29"/>
  <c r="N61" i="29" s="1"/>
  <c r="Q60" i="29"/>
  <c r="Q61" i="29" s="1"/>
  <c r="P60" i="29"/>
  <c r="P61" i="29" s="1"/>
  <c r="M60" i="29"/>
  <c r="M61" i="29" s="1"/>
  <c r="L60" i="29"/>
  <c r="L61" i="29" s="1"/>
  <c r="Q39" i="29"/>
  <c r="Q40" i="29" s="1"/>
  <c r="Q41" i="29"/>
  <c r="Q42" i="29"/>
  <c r="Q43" i="29" s="1"/>
  <c r="Q32" i="29"/>
  <c r="Q36" i="29" s="1"/>
  <c r="Q31" i="29"/>
  <c r="N32" i="29"/>
  <c r="N35" i="29"/>
  <c r="J23" i="29"/>
  <c r="D23" i="29"/>
  <c r="E23" i="29"/>
  <c r="F23" i="29"/>
  <c r="G23" i="29"/>
  <c r="H23" i="29"/>
  <c r="I23" i="29"/>
  <c r="K23" i="29"/>
  <c r="L23" i="29"/>
  <c r="M23" i="29"/>
  <c r="N23" i="29"/>
  <c r="O23" i="29"/>
  <c r="P23" i="29"/>
  <c r="Q23" i="29"/>
  <c r="D24" i="29"/>
  <c r="E24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D25" i="29"/>
  <c r="E25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D26" i="29"/>
  <c r="E26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C24" i="29"/>
  <c r="C25" i="29"/>
  <c r="C26" i="29"/>
  <c r="C23" i="29"/>
  <c r="N36" i="29" l="1"/>
  <c r="N33" i="29"/>
  <c r="N34" i="29" s="1"/>
  <c r="Q35" i="29"/>
  <c r="Q33" i="29"/>
  <c r="Q34" i="29" s="1"/>
  <c r="N41" i="29"/>
  <c r="N42" i="29"/>
  <c r="N43" i="29" s="1"/>
  <c r="Q37" i="26"/>
  <c r="N37" i="26"/>
  <c r="K11" i="26"/>
  <c r="K12" i="26"/>
  <c r="K13" i="26"/>
  <c r="K10" i="26"/>
  <c r="E16" i="26"/>
  <c r="D16" i="26"/>
  <c r="C16" i="26"/>
  <c r="U16" i="26"/>
  <c r="H16" i="26"/>
  <c r="K16" i="26"/>
  <c r="Q16" i="26"/>
  <c r="N16" i="26"/>
  <c r="J16" i="26"/>
  <c r="I16" i="26"/>
  <c r="G16" i="26"/>
  <c r="F16" i="26"/>
  <c r="M16" i="26"/>
  <c r="L16" i="26"/>
  <c r="V31" i="25" l="1"/>
  <c r="V30" i="25"/>
  <c r="V29" i="25"/>
  <c r="V28" i="25"/>
  <c r="R31" i="25"/>
  <c r="R30" i="25"/>
  <c r="R29" i="25"/>
  <c r="R28" i="25"/>
  <c r="N31" i="25"/>
  <c r="N30" i="25"/>
  <c r="N29" i="25"/>
  <c r="N28" i="25"/>
  <c r="Q11" i="26"/>
  <c r="Q12" i="26"/>
  <c r="V12" i="26" s="1"/>
  <c r="Q13" i="26"/>
  <c r="Q10" i="26"/>
  <c r="R16" i="26"/>
  <c r="V11" i="26"/>
  <c r="V13" i="26"/>
  <c r="V14" i="26"/>
  <c r="V15" i="26"/>
  <c r="V16" i="26"/>
  <c r="V19" i="26"/>
  <c r="V20" i="26"/>
  <c r="V10" i="26"/>
  <c r="U11" i="26"/>
  <c r="U12" i="26"/>
  <c r="U13" i="26"/>
  <c r="U14" i="26"/>
  <c r="U15" i="26"/>
  <c r="U19" i="26"/>
  <c r="U20" i="26"/>
  <c r="U10" i="26"/>
  <c r="T11" i="26"/>
  <c r="T12" i="26"/>
  <c r="T13" i="26"/>
  <c r="T14" i="26"/>
  <c r="T15" i="26"/>
  <c r="T16" i="26"/>
  <c r="T19" i="26"/>
  <c r="T20" i="26"/>
  <c r="T10" i="26"/>
  <c r="S11" i="26"/>
  <c r="S12" i="26"/>
  <c r="S13" i="26"/>
  <c r="S14" i="26"/>
  <c r="S15" i="26"/>
  <c r="S16" i="26"/>
  <c r="S19" i="26"/>
  <c r="S20" i="26"/>
  <c r="S10" i="26"/>
  <c r="R11" i="26"/>
  <c r="R12" i="26"/>
  <c r="R13" i="26"/>
  <c r="R14" i="26"/>
  <c r="R15" i="26"/>
  <c r="R19" i="26"/>
  <c r="R20" i="26"/>
  <c r="R10" i="26"/>
  <c r="N13" i="26" l="1"/>
  <c r="N12" i="26"/>
  <c r="N11" i="26"/>
  <c r="N10" i="26"/>
  <c r="AB1" i="24"/>
  <c r="AC1" i="24"/>
  <c r="AD1" i="24"/>
  <c r="AE1" i="24"/>
  <c r="AF1" i="24"/>
  <c r="AG1" i="24"/>
  <c r="AH1" i="24"/>
  <c r="AI1" i="24"/>
  <c r="AJ1" i="24"/>
  <c r="AK1" i="24"/>
  <c r="AL1" i="24"/>
  <c r="AM1" i="24"/>
  <c r="AN1" i="24"/>
  <c r="AO1" i="24"/>
  <c r="AP1" i="24"/>
  <c r="AQ1" i="24"/>
  <c r="AB2" i="24"/>
  <c r="AC2" i="24"/>
  <c r="AD2" i="24"/>
  <c r="AF2" i="24"/>
  <c r="AG2" i="24"/>
  <c r="AH2" i="24"/>
  <c r="AI2" i="24" s="1"/>
  <c r="AJ2" i="24"/>
  <c r="AK2" i="24"/>
  <c r="AL2" i="24"/>
  <c r="AN2" i="24"/>
  <c r="AO2" i="24"/>
  <c r="AP2" i="24"/>
  <c r="AB3" i="24"/>
  <c r="AC3" i="24"/>
  <c r="AD3" i="24"/>
  <c r="AE3" i="24"/>
  <c r="AF3" i="24"/>
  <c r="AG3" i="24"/>
  <c r="AH3" i="24"/>
  <c r="AI3" i="24" s="1"/>
  <c r="AJ3" i="24"/>
  <c r="AK3" i="24"/>
  <c r="AL3" i="24"/>
  <c r="AN3" i="24"/>
  <c r="AO3" i="24"/>
  <c r="AP3" i="24"/>
  <c r="AQ3" i="24" s="1"/>
  <c r="AB4" i="24"/>
  <c r="AC4" i="24"/>
  <c r="AD4" i="24"/>
  <c r="AE4" i="24" s="1"/>
  <c r="AF4" i="24"/>
  <c r="AG4" i="24"/>
  <c r="AH4" i="24"/>
  <c r="AJ4" i="24"/>
  <c r="AK4" i="24"/>
  <c r="AL4" i="24"/>
  <c r="AN4" i="24"/>
  <c r="AO4" i="24"/>
  <c r="AP4" i="24"/>
  <c r="AQ4" i="24" s="1"/>
  <c r="AB5" i="24"/>
  <c r="AC5" i="24"/>
  <c r="AD5" i="24"/>
  <c r="AF5" i="24"/>
  <c r="AG5" i="24"/>
  <c r="AH5" i="24"/>
  <c r="AI5" i="24"/>
  <c r="AJ5" i="24"/>
  <c r="AK5" i="24"/>
  <c r="AL5" i="24"/>
  <c r="AN5" i="24"/>
  <c r="AO5" i="24"/>
  <c r="AP5" i="24"/>
  <c r="AB6" i="24"/>
  <c r="AC6" i="24"/>
  <c r="AD6" i="24"/>
  <c r="AF6" i="24"/>
  <c r="AG6" i="24"/>
  <c r="AH6" i="24"/>
  <c r="AJ6" i="24"/>
  <c r="AK6" i="24"/>
  <c r="AL6" i="24"/>
  <c r="AN6" i="24"/>
  <c r="AO6" i="24"/>
  <c r="AP6" i="24"/>
  <c r="AB7" i="24"/>
  <c r="AC7" i="24"/>
  <c r="AD7" i="24"/>
  <c r="AF7" i="24"/>
  <c r="AG7" i="24"/>
  <c r="AH7" i="24"/>
  <c r="AJ7" i="24"/>
  <c r="AK7" i="24"/>
  <c r="AL7" i="24"/>
  <c r="AM7" i="24" s="1"/>
  <c r="AN7" i="24"/>
  <c r="AO7" i="24"/>
  <c r="AP7" i="24"/>
  <c r="AB8" i="24"/>
  <c r="AC8" i="24"/>
  <c r="AD8" i="24"/>
  <c r="AF8" i="24"/>
  <c r="AG8" i="24"/>
  <c r="AH8" i="24"/>
  <c r="AI8" i="24" s="1"/>
  <c r="AJ8" i="24"/>
  <c r="AK8" i="24"/>
  <c r="AL8" i="24"/>
  <c r="AN8" i="24"/>
  <c r="AO8" i="24"/>
  <c r="AP8" i="24"/>
  <c r="AB9" i="24"/>
  <c r="AC9" i="24"/>
  <c r="AD9" i="24"/>
  <c r="AE9" i="24" s="1"/>
  <c r="AF9" i="24"/>
  <c r="AG9" i="24"/>
  <c r="AH9" i="24"/>
  <c r="AI9" i="24" s="1"/>
  <c r="AJ9" i="24"/>
  <c r="AK9" i="24"/>
  <c r="AL9" i="24"/>
  <c r="AN9" i="24"/>
  <c r="AO9" i="24"/>
  <c r="AP9" i="24"/>
  <c r="AB10" i="24"/>
  <c r="AC10" i="24"/>
  <c r="AD10" i="24"/>
  <c r="AF10" i="24"/>
  <c r="AG10" i="24"/>
  <c r="AH10" i="24"/>
  <c r="AJ10" i="24"/>
  <c r="AK10" i="24"/>
  <c r="AL10" i="24"/>
  <c r="AM10" i="24" s="1"/>
  <c r="AN10" i="24"/>
  <c r="AO10" i="24"/>
  <c r="AP10" i="24"/>
  <c r="AB11" i="24"/>
  <c r="AC11" i="24"/>
  <c r="AD11" i="24"/>
  <c r="AF11" i="24"/>
  <c r="AG11" i="24"/>
  <c r="AH11" i="24"/>
  <c r="AJ11" i="24"/>
  <c r="AK11" i="24"/>
  <c r="AL11" i="24"/>
  <c r="AM11" i="24" s="1"/>
  <c r="AN11" i="24"/>
  <c r="AO11" i="24"/>
  <c r="AP11" i="24"/>
  <c r="AB12" i="24"/>
  <c r="AC12" i="24"/>
  <c r="AD12" i="24"/>
  <c r="AE12" i="24"/>
  <c r="AF12" i="24"/>
  <c r="AG12" i="24"/>
  <c r="AH12" i="24"/>
  <c r="AI12" i="24" s="1"/>
  <c r="AJ12" i="24"/>
  <c r="AK12" i="24"/>
  <c r="AL12" i="24"/>
  <c r="AN12" i="24"/>
  <c r="AO12" i="24"/>
  <c r="AP12" i="24"/>
  <c r="AB13" i="24"/>
  <c r="AC13" i="24"/>
  <c r="AD13" i="24"/>
  <c r="AE13" i="24" s="1"/>
  <c r="AF13" i="24"/>
  <c r="AG13" i="24"/>
  <c r="AH13" i="24"/>
  <c r="AJ13" i="24"/>
  <c r="AK13" i="24"/>
  <c r="AL13" i="24"/>
  <c r="AN13" i="24"/>
  <c r="AO13" i="24"/>
  <c r="AP13" i="24"/>
  <c r="AQ13" i="24" s="1"/>
  <c r="AB14" i="24"/>
  <c r="AC14" i="24"/>
  <c r="AD14" i="24"/>
  <c r="AF14" i="24"/>
  <c r="AG14" i="24"/>
  <c r="AH14" i="24"/>
  <c r="AI14" i="24" s="1"/>
  <c r="AJ14" i="24"/>
  <c r="AK14" i="24"/>
  <c r="AL14" i="24"/>
  <c r="AN14" i="24"/>
  <c r="AO14" i="24"/>
  <c r="AP14" i="24"/>
  <c r="AB15" i="24"/>
  <c r="AC15" i="24"/>
  <c r="AD15" i="24"/>
  <c r="AE15" i="24" s="1"/>
  <c r="AF15" i="24"/>
  <c r="AG15" i="24"/>
  <c r="AH15" i="24"/>
  <c r="AJ15" i="24"/>
  <c r="AK15" i="24"/>
  <c r="AL15" i="24"/>
  <c r="AN15" i="24"/>
  <c r="AO15" i="24"/>
  <c r="AP15" i="24"/>
  <c r="AQ15" i="24" s="1"/>
  <c r="AB16" i="24"/>
  <c r="AC16" i="24"/>
  <c r="AD16" i="24"/>
  <c r="AE16" i="24" s="1"/>
  <c r="AF16" i="24"/>
  <c r="AG16" i="24"/>
  <c r="AH16" i="24"/>
  <c r="AJ16" i="24"/>
  <c r="AK16" i="24"/>
  <c r="AL16" i="24"/>
  <c r="AN16" i="24"/>
  <c r="AO16" i="24"/>
  <c r="AP16" i="24"/>
  <c r="AB17" i="24"/>
  <c r="AC17" i="24"/>
  <c r="AD17" i="24"/>
  <c r="AF17" i="24"/>
  <c r="AG17" i="24"/>
  <c r="AH17" i="24"/>
  <c r="AI17" i="24" s="1"/>
  <c r="AJ17" i="24"/>
  <c r="AK17" i="24"/>
  <c r="AL17" i="24"/>
  <c r="AN17" i="24"/>
  <c r="AO17" i="24"/>
  <c r="AP17" i="24"/>
  <c r="AB18" i="24"/>
  <c r="AC18" i="24"/>
  <c r="AD18" i="24"/>
  <c r="AF18" i="24"/>
  <c r="AG18" i="24"/>
  <c r="AH18" i="24"/>
  <c r="AI18" i="24" s="1"/>
  <c r="AJ18" i="24"/>
  <c r="AK18" i="24"/>
  <c r="AL18" i="24"/>
  <c r="AN18" i="24"/>
  <c r="AO18" i="24"/>
  <c r="AP18" i="24"/>
  <c r="AQ18" i="24" s="1"/>
  <c r="AB19" i="24"/>
  <c r="AC19" i="24"/>
  <c r="AD19" i="24"/>
  <c r="AF19" i="24"/>
  <c r="AG19" i="24"/>
  <c r="AH19" i="24"/>
  <c r="AJ19" i="24"/>
  <c r="AK19" i="24"/>
  <c r="AL19" i="24"/>
  <c r="AN19" i="24"/>
  <c r="AO19" i="24"/>
  <c r="AP19" i="24"/>
  <c r="AB20" i="24"/>
  <c r="AC20" i="24"/>
  <c r="AD20" i="24"/>
  <c r="AF20" i="24"/>
  <c r="AG20" i="24"/>
  <c r="AH20" i="24"/>
  <c r="AJ20" i="24"/>
  <c r="AK20" i="24"/>
  <c r="AL20" i="24"/>
  <c r="AM20" i="24" s="1"/>
  <c r="AN20" i="24"/>
  <c r="AO20" i="24"/>
  <c r="AP20" i="24"/>
  <c r="AB21" i="24"/>
  <c r="AC21" i="24"/>
  <c r="AD21" i="24"/>
  <c r="AE21" i="24" s="1"/>
  <c r="AF21" i="24"/>
  <c r="AG21" i="24"/>
  <c r="AH21" i="24"/>
  <c r="AJ21" i="24"/>
  <c r="AK21" i="24"/>
  <c r="AL21" i="24"/>
  <c r="AN21" i="24"/>
  <c r="AO21" i="24"/>
  <c r="AP21" i="24"/>
  <c r="AQ21" i="24" s="1"/>
  <c r="AB22" i="24"/>
  <c r="AC22" i="24"/>
  <c r="AD22" i="24"/>
  <c r="AF22" i="24"/>
  <c r="AG22" i="24"/>
  <c r="AH22" i="24"/>
  <c r="AJ22" i="24"/>
  <c r="AK22" i="24"/>
  <c r="AL22" i="24"/>
  <c r="AM22" i="24" s="1"/>
  <c r="AN22" i="24"/>
  <c r="AO22" i="24"/>
  <c r="AP22" i="24"/>
  <c r="AQ22" i="24" s="1"/>
  <c r="AB23" i="24"/>
  <c r="AC23" i="24"/>
  <c r="AD23" i="24"/>
  <c r="AF23" i="24"/>
  <c r="AG23" i="24"/>
  <c r="AH23" i="24"/>
  <c r="AJ23" i="24"/>
  <c r="AK23" i="24"/>
  <c r="AL23" i="24"/>
  <c r="AN23" i="24"/>
  <c r="AO23" i="24"/>
  <c r="AP23" i="24"/>
  <c r="AB24" i="24"/>
  <c r="AC24" i="24"/>
  <c r="AD24" i="24"/>
  <c r="AE24" i="24" s="1"/>
  <c r="AF24" i="24"/>
  <c r="AG24" i="24"/>
  <c r="AH24" i="24"/>
  <c r="AJ24" i="24"/>
  <c r="AK24" i="24"/>
  <c r="AL24" i="24"/>
  <c r="AN24" i="24"/>
  <c r="AO24" i="24"/>
  <c r="AP24" i="24"/>
  <c r="AB25" i="24"/>
  <c r="AC25" i="24"/>
  <c r="AD25" i="24"/>
  <c r="AE25" i="24" s="1"/>
  <c r="AF25" i="24"/>
  <c r="AG25" i="24"/>
  <c r="AH25" i="24"/>
  <c r="AJ25" i="24"/>
  <c r="AK25" i="24"/>
  <c r="AL25" i="24"/>
  <c r="AM25" i="24" s="1"/>
  <c r="AN25" i="24"/>
  <c r="AO25" i="24"/>
  <c r="AP25" i="24"/>
  <c r="AB26" i="24"/>
  <c r="AC26" i="24"/>
  <c r="AD26" i="24"/>
  <c r="AF26" i="24"/>
  <c r="AG26" i="24"/>
  <c r="AH26" i="24"/>
  <c r="AI26" i="24" s="1"/>
  <c r="AJ26" i="24"/>
  <c r="AK26" i="24"/>
  <c r="AL26" i="24"/>
  <c r="AN26" i="24"/>
  <c r="AO26" i="24"/>
  <c r="AP26" i="24"/>
  <c r="AB27" i="24"/>
  <c r="AC27" i="24"/>
  <c r="AD27" i="24"/>
  <c r="AE27" i="24" s="1"/>
  <c r="AF27" i="24"/>
  <c r="AG27" i="24"/>
  <c r="AH27" i="24"/>
  <c r="AI27" i="24" s="1"/>
  <c r="AJ27" i="24"/>
  <c r="AK27" i="24"/>
  <c r="AL27" i="24"/>
  <c r="AN27" i="24"/>
  <c r="AO27" i="24"/>
  <c r="AP27" i="24"/>
  <c r="AB28" i="24"/>
  <c r="AC28" i="24"/>
  <c r="AD28" i="24"/>
  <c r="AF28" i="24"/>
  <c r="AG28" i="24"/>
  <c r="AH28" i="24"/>
  <c r="AJ28" i="24"/>
  <c r="AK28" i="24"/>
  <c r="AL28" i="24"/>
  <c r="AM28" i="24" s="1"/>
  <c r="AN28" i="24"/>
  <c r="AO28" i="24"/>
  <c r="AP28" i="24"/>
  <c r="AB29" i="24"/>
  <c r="AC29" i="24"/>
  <c r="AD29" i="24"/>
  <c r="AF29" i="24"/>
  <c r="AG29" i="24"/>
  <c r="AH29" i="24"/>
  <c r="AJ29" i="24"/>
  <c r="AK29" i="24"/>
  <c r="AL29" i="24"/>
  <c r="AM29" i="24" s="1"/>
  <c r="AN29" i="24"/>
  <c r="AO29" i="24"/>
  <c r="AP29" i="24"/>
  <c r="AB30" i="24"/>
  <c r="AC30" i="24"/>
  <c r="AD30" i="24"/>
  <c r="AE30" i="24" s="1"/>
  <c r="AF30" i="24"/>
  <c r="AG30" i="24"/>
  <c r="AH30" i="24"/>
  <c r="AI30" i="24" s="1"/>
  <c r="AJ30" i="24"/>
  <c r="AK30" i="24"/>
  <c r="AL30" i="24"/>
  <c r="AN30" i="24"/>
  <c r="AO30" i="24"/>
  <c r="AP30" i="24"/>
  <c r="AQ30" i="24" s="1"/>
  <c r="AB31" i="24"/>
  <c r="AC31" i="24"/>
  <c r="AD31" i="24"/>
  <c r="AE31" i="24" s="1"/>
  <c r="AF31" i="24"/>
  <c r="AG31" i="24"/>
  <c r="AH31" i="24"/>
  <c r="AJ31" i="24"/>
  <c r="AK31" i="24"/>
  <c r="AL31" i="24"/>
  <c r="AN31" i="24"/>
  <c r="AO31" i="24"/>
  <c r="AP31" i="24"/>
  <c r="AQ31" i="24" s="1"/>
  <c r="AB32" i="24"/>
  <c r="AC32" i="24"/>
  <c r="AD32" i="24"/>
  <c r="AF32" i="24"/>
  <c r="AG32" i="24"/>
  <c r="AH32" i="24"/>
  <c r="AI32" i="24" s="1"/>
  <c r="AJ32" i="24"/>
  <c r="AK32" i="24"/>
  <c r="AL32" i="24"/>
  <c r="AN32" i="24"/>
  <c r="AO32" i="24"/>
  <c r="AP32" i="24"/>
  <c r="AB33" i="24"/>
  <c r="AC33" i="24"/>
  <c r="AD33" i="24"/>
  <c r="AE33" i="24" s="1"/>
  <c r="AF33" i="24"/>
  <c r="AG33" i="24"/>
  <c r="AH33" i="24"/>
  <c r="AJ33" i="24"/>
  <c r="AK33" i="24"/>
  <c r="AL33" i="24"/>
  <c r="AN33" i="24"/>
  <c r="AO33" i="24"/>
  <c r="AP33" i="24"/>
  <c r="AQ33" i="24" s="1"/>
  <c r="AB34" i="24"/>
  <c r="AC34" i="24"/>
  <c r="AD34" i="24"/>
  <c r="AE34" i="24" s="1"/>
  <c r="AF34" i="24"/>
  <c r="AG34" i="24"/>
  <c r="AH34" i="24"/>
  <c r="AJ34" i="24"/>
  <c r="AK34" i="24"/>
  <c r="AL34" i="24"/>
  <c r="AM34" i="24" s="1"/>
  <c r="AN34" i="24"/>
  <c r="AO34" i="24"/>
  <c r="AP34" i="24"/>
  <c r="AQ34" i="24" s="1"/>
  <c r="AB35" i="24"/>
  <c r="AC35" i="24"/>
  <c r="AD35" i="24"/>
  <c r="AF35" i="24"/>
  <c r="AG35" i="24"/>
  <c r="AH35" i="24"/>
  <c r="AJ35" i="24"/>
  <c r="AK35" i="24"/>
  <c r="AL35" i="24"/>
  <c r="AN35" i="24"/>
  <c r="AO35" i="24"/>
  <c r="AP35" i="24"/>
  <c r="AB36" i="24"/>
  <c r="AC36" i="24"/>
  <c r="AD36" i="24"/>
  <c r="AE36" i="24" s="1"/>
  <c r="AF36" i="24"/>
  <c r="AG36" i="24"/>
  <c r="AH36" i="24"/>
  <c r="AJ36" i="24"/>
  <c r="AK36" i="24"/>
  <c r="AL36" i="24"/>
  <c r="AN36" i="24"/>
  <c r="AO36" i="24"/>
  <c r="AP36" i="24"/>
  <c r="AQ36" i="24" s="1"/>
  <c r="AB37" i="24"/>
  <c r="AC37" i="24"/>
  <c r="AD37" i="24"/>
  <c r="AF37" i="24"/>
  <c r="AG37" i="24"/>
  <c r="AH37" i="24"/>
  <c r="AJ37" i="24"/>
  <c r="AK37" i="24"/>
  <c r="AL37" i="24"/>
  <c r="AM37" i="24" s="1"/>
  <c r="AN37" i="24"/>
  <c r="AO37" i="24"/>
  <c r="AP37" i="24"/>
  <c r="AB38" i="24"/>
  <c r="AC38" i="24"/>
  <c r="AD38" i="24"/>
  <c r="AF38" i="24"/>
  <c r="AG38" i="24"/>
  <c r="AH38" i="24"/>
  <c r="AJ38" i="24"/>
  <c r="AK38" i="24"/>
  <c r="AL38" i="24"/>
  <c r="AM38" i="24" s="1"/>
  <c r="AN38" i="24"/>
  <c r="AO38" i="24"/>
  <c r="AP38" i="24"/>
  <c r="AB39" i="24"/>
  <c r="AC39" i="24"/>
  <c r="AD39" i="24"/>
  <c r="AE39" i="24" s="1"/>
  <c r="AF39" i="24"/>
  <c r="AG39" i="24"/>
  <c r="AH39" i="24"/>
  <c r="AI39" i="24" s="1"/>
  <c r="AJ39" i="24"/>
  <c r="AK39" i="24"/>
  <c r="AL39" i="24"/>
  <c r="AM39" i="24" s="1"/>
  <c r="AN39" i="24"/>
  <c r="AO39" i="24"/>
  <c r="AP39" i="24"/>
  <c r="AQ39" i="24" s="1"/>
  <c r="AB40" i="24"/>
  <c r="AC40" i="24"/>
  <c r="AD40" i="24"/>
  <c r="AF40" i="24"/>
  <c r="AG40" i="24"/>
  <c r="AH40" i="24"/>
  <c r="AJ40" i="24"/>
  <c r="AK40" i="24"/>
  <c r="AL40" i="24"/>
  <c r="AM40" i="24" s="1"/>
  <c r="AN40" i="24"/>
  <c r="AO40" i="24"/>
  <c r="AP40" i="24"/>
  <c r="AQ40" i="24" s="1"/>
  <c r="AB41" i="24"/>
  <c r="AC41" i="24"/>
  <c r="AD41" i="24"/>
  <c r="AF41" i="24"/>
  <c r="AG41" i="24"/>
  <c r="AH41" i="24"/>
  <c r="AI41" i="24" s="1"/>
  <c r="AJ41" i="24"/>
  <c r="AK41" i="24"/>
  <c r="AL41" i="24"/>
  <c r="AM41" i="24" s="1"/>
  <c r="AN41" i="24"/>
  <c r="AO41" i="24"/>
  <c r="AP41" i="24"/>
  <c r="AQ41" i="24" s="1"/>
  <c r="AB42" i="24"/>
  <c r="AC42" i="24"/>
  <c r="AD42" i="24"/>
  <c r="AF42" i="24"/>
  <c r="AG42" i="24"/>
  <c r="AH42" i="24"/>
  <c r="AJ42" i="24"/>
  <c r="AK42" i="24"/>
  <c r="AL42" i="24"/>
  <c r="AN42" i="24"/>
  <c r="AO42" i="24"/>
  <c r="AP42" i="24"/>
  <c r="AQ42" i="24" s="1"/>
  <c r="AB43" i="24"/>
  <c r="AC43" i="24"/>
  <c r="AD43" i="24"/>
  <c r="AF43" i="24"/>
  <c r="AG43" i="24"/>
  <c r="AH43" i="24"/>
  <c r="AJ43" i="24"/>
  <c r="AK43" i="24"/>
  <c r="AL43" i="24"/>
  <c r="AM43" i="24" s="1"/>
  <c r="AN43" i="24"/>
  <c r="AO43" i="24"/>
  <c r="AP43" i="24"/>
  <c r="AQ43" i="24" s="1"/>
  <c r="AB44" i="24"/>
  <c r="AC44" i="24"/>
  <c r="AD44" i="24"/>
  <c r="AF44" i="24"/>
  <c r="AG44" i="24"/>
  <c r="AH44" i="24"/>
  <c r="AI44" i="24" s="1"/>
  <c r="AJ44" i="24"/>
  <c r="AK44" i="24"/>
  <c r="AL44" i="24"/>
  <c r="AM44" i="24" s="1"/>
  <c r="AN44" i="24"/>
  <c r="AO44" i="24"/>
  <c r="AP44" i="24"/>
  <c r="AB45" i="24"/>
  <c r="AC45" i="24"/>
  <c r="AD45" i="24"/>
  <c r="AF45" i="24"/>
  <c r="AG45" i="24"/>
  <c r="AH45" i="24"/>
  <c r="AI45" i="24" s="1"/>
  <c r="AJ45" i="24"/>
  <c r="AK45" i="24"/>
  <c r="AL45" i="24"/>
  <c r="AN45" i="24"/>
  <c r="AO45" i="24"/>
  <c r="AP45" i="24"/>
  <c r="AQ45" i="24"/>
  <c r="AB46" i="24"/>
  <c r="AC46" i="24"/>
  <c r="AD46" i="24"/>
  <c r="AE46" i="24" s="1"/>
  <c r="AF46" i="24"/>
  <c r="AG46" i="24"/>
  <c r="AH46" i="24"/>
  <c r="AJ46" i="24"/>
  <c r="AK46" i="24"/>
  <c r="AL46" i="24"/>
  <c r="AN46" i="24"/>
  <c r="AO46" i="24"/>
  <c r="AP46" i="24"/>
  <c r="AB47" i="24"/>
  <c r="AC47" i="24"/>
  <c r="AD47" i="24"/>
  <c r="AF47" i="24"/>
  <c r="AG47" i="24"/>
  <c r="AH47" i="24"/>
  <c r="AJ47" i="24"/>
  <c r="AK47" i="24"/>
  <c r="AL47" i="24"/>
  <c r="AN47" i="24"/>
  <c r="AO47" i="24"/>
  <c r="AP47" i="24"/>
  <c r="AB48" i="24"/>
  <c r="AC48" i="24"/>
  <c r="AD48" i="24"/>
  <c r="AE48" i="24" s="1"/>
  <c r="AF48" i="24"/>
  <c r="AG48" i="24"/>
  <c r="AH48" i="24"/>
  <c r="AI48" i="24" s="1"/>
  <c r="AJ48" i="24"/>
  <c r="AK48" i="24"/>
  <c r="AL48" i="24"/>
  <c r="AN48" i="24"/>
  <c r="AO48" i="24"/>
  <c r="AP48" i="24"/>
  <c r="AQ48" i="24" s="1"/>
  <c r="AB49" i="24"/>
  <c r="AC49" i="24"/>
  <c r="AD49" i="24"/>
  <c r="AF49" i="24"/>
  <c r="AG49" i="24"/>
  <c r="AH49" i="24"/>
  <c r="AJ49" i="24"/>
  <c r="AK49" i="24"/>
  <c r="AL49" i="24"/>
  <c r="AM49" i="24" s="1"/>
  <c r="AN49" i="24"/>
  <c r="AO49" i="24"/>
  <c r="AP49" i="24"/>
  <c r="AQ49" i="24" s="1"/>
  <c r="AB50" i="24"/>
  <c r="AC50" i="24"/>
  <c r="AD50" i="24"/>
  <c r="AF50" i="24"/>
  <c r="AG50" i="24"/>
  <c r="AH50" i="24"/>
  <c r="AI50" i="24"/>
  <c r="AJ50" i="24"/>
  <c r="AK50" i="24"/>
  <c r="AL50" i="24"/>
  <c r="AN50" i="24"/>
  <c r="AO50" i="24"/>
  <c r="AP50" i="24"/>
  <c r="AB51" i="24"/>
  <c r="AC51" i="24"/>
  <c r="AD51" i="24"/>
  <c r="AF51" i="24"/>
  <c r="AG51" i="24"/>
  <c r="AH51" i="24"/>
  <c r="AJ51" i="24"/>
  <c r="AK51" i="24"/>
  <c r="AL51" i="24"/>
  <c r="AN51" i="24"/>
  <c r="AO51" i="24"/>
  <c r="AP51" i="24"/>
  <c r="AB52" i="24"/>
  <c r="AC52" i="24"/>
  <c r="AD52" i="24"/>
  <c r="AF52" i="24"/>
  <c r="AG52" i="24"/>
  <c r="AH52" i="24"/>
  <c r="AJ52" i="24"/>
  <c r="AK52" i="24"/>
  <c r="AL52" i="24"/>
  <c r="AM52" i="24"/>
  <c r="AN52" i="24"/>
  <c r="AO52" i="24"/>
  <c r="AP52" i="24"/>
  <c r="AB53" i="24"/>
  <c r="AC53" i="24"/>
  <c r="AD53" i="24"/>
  <c r="AF53" i="24"/>
  <c r="AG53" i="24"/>
  <c r="AH53" i="24"/>
  <c r="AI53" i="24" s="1"/>
  <c r="AJ53" i="24"/>
  <c r="AK53" i="24"/>
  <c r="AL53" i="24"/>
  <c r="AM53" i="24" s="1"/>
  <c r="AN53" i="24"/>
  <c r="AO53" i="24"/>
  <c r="AP53" i="24"/>
  <c r="AB54" i="24"/>
  <c r="AC54" i="24"/>
  <c r="AD54" i="24"/>
  <c r="AE54" i="24" s="1"/>
  <c r="AF54" i="24"/>
  <c r="AG54" i="24"/>
  <c r="AH54" i="24"/>
  <c r="AI54" i="24" s="1"/>
  <c r="AJ54" i="24"/>
  <c r="AK54" i="24"/>
  <c r="AL54" i="24"/>
  <c r="AN54" i="24"/>
  <c r="AO54" i="24"/>
  <c r="AP54" i="24"/>
  <c r="AB55" i="24"/>
  <c r="AC55" i="24"/>
  <c r="AD55" i="24"/>
  <c r="AF55" i="24"/>
  <c r="AG55" i="24"/>
  <c r="AH55" i="24"/>
  <c r="AJ55" i="24"/>
  <c r="AK55" i="24"/>
  <c r="AL55" i="24"/>
  <c r="AM55" i="24" s="1"/>
  <c r="AN55" i="24"/>
  <c r="AO55" i="24"/>
  <c r="AP55" i="24"/>
  <c r="AB56" i="24"/>
  <c r="AC56" i="24"/>
  <c r="AD56" i="24"/>
  <c r="AF56" i="24"/>
  <c r="AG56" i="24"/>
  <c r="AH56" i="24"/>
  <c r="AI56" i="24" s="1"/>
  <c r="AJ56" i="24"/>
  <c r="AK56" i="24"/>
  <c r="AL56" i="24"/>
  <c r="AN56" i="24"/>
  <c r="AO56" i="24"/>
  <c r="AP56" i="24"/>
  <c r="AB57" i="24"/>
  <c r="AC57" i="24"/>
  <c r="AD57" i="24"/>
  <c r="AE57" i="24" s="1"/>
  <c r="AF57" i="24"/>
  <c r="AG57" i="24"/>
  <c r="AH57" i="24"/>
  <c r="AJ57" i="24"/>
  <c r="AK57" i="24"/>
  <c r="AL57" i="24"/>
  <c r="AM57" i="24" s="1"/>
  <c r="AN57" i="24"/>
  <c r="AO57" i="24"/>
  <c r="AP57" i="24"/>
  <c r="AB58" i="24"/>
  <c r="AC58" i="24"/>
  <c r="AD58" i="24"/>
  <c r="AF58" i="24"/>
  <c r="AG58" i="24"/>
  <c r="AH58" i="24"/>
  <c r="AI58" i="24" s="1"/>
  <c r="AJ58" i="24"/>
  <c r="AK58" i="24"/>
  <c r="AL58" i="24"/>
  <c r="AM58" i="24" s="1"/>
  <c r="AN58" i="24"/>
  <c r="AO58" i="24"/>
  <c r="AP58" i="24"/>
  <c r="AQ58" i="24" s="1"/>
  <c r="AB59" i="24"/>
  <c r="AC59" i="24"/>
  <c r="AD59" i="24"/>
  <c r="AE59" i="24" s="1"/>
  <c r="AF59" i="24"/>
  <c r="AG59" i="24"/>
  <c r="AH59" i="24"/>
  <c r="AJ59" i="24"/>
  <c r="AK59" i="24"/>
  <c r="AL59" i="24"/>
  <c r="AM59" i="24" s="1"/>
  <c r="AN59" i="24"/>
  <c r="AO59" i="24"/>
  <c r="AP59" i="24"/>
  <c r="AQ59" i="24" s="1"/>
  <c r="AB60" i="24"/>
  <c r="AC60" i="24"/>
  <c r="AD60" i="24"/>
  <c r="AE60" i="24" s="1"/>
  <c r="AF60" i="24"/>
  <c r="AG60" i="24"/>
  <c r="AH60" i="24"/>
  <c r="AI60" i="24" s="1"/>
  <c r="AJ60" i="24"/>
  <c r="AK60" i="24"/>
  <c r="AL60" i="24"/>
  <c r="AN60" i="24"/>
  <c r="AO60" i="24"/>
  <c r="AP60" i="24"/>
  <c r="AQ60" i="24" s="1"/>
  <c r="AB61" i="24"/>
  <c r="AC61" i="24"/>
  <c r="AD61" i="24"/>
  <c r="AE61" i="24" s="1"/>
  <c r="AF61" i="24"/>
  <c r="AG61" i="24"/>
  <c r="AH61" i="24"/>
  <c r="AI61" i="24" s="1"/>
  <c r="AJ61" i="24"/>
  <c r="AK61" i="24"/>
  <c r="AL61" i="24"/>
  <c r="AN61" i="24"/>
  <c r="AO61" i="24"/>
  <c r="AP61" i="24"/>
  <c r="AQ61" i="24" s="1"/>
  <c r="AB62" i="24"/>
  <c r="AC62" i="24"/>
  <c r="AD62" i="24"/>
  <c r="AE62" i="24" s="1"/>
  <c r="AF62" i="24"/>
  <c r="AG62" i="24"/>
  <c r="AH62" i="24"/>
  <c r="AJ62" i="24"/>
  <c r="AK62" i="24"/>
  <c r="AL62" i="24"/>
  <c r="AN62" i="24"/>
  <c r="AO62" i="24"/>
  <c r="AQ62" i="24" s="1"/>
  <c r="AP62" i="24"/>
  <c r="AB63" i="24"/>
  <c r="AC63" i="24"/>
  <c r="AD63" i="24"/>
  <c r="AF63" i="24"/>
  <c r="AG63" i="24"/>
  <c r="AH63" i="24"/>
  <c r="AJ63" i="24"/>
  <c r="AK63" i="24"/>
  <c r="AL63" i="24"/>
  <c r="AM63" i="24" s="1"/>
  <c r="AN63" i="24"/>
  <c r="AO63" i="24"/>
  <c r="AP63" i="24"/>
  <c r="AB64" i="24"/>
  <c r="AC64" i="24"/>
  <c r="AD64" i="24"/>
  <c r="AF64" i="24"/>
  <c r="AG64" i="24"/>
  <c r="AH64" i="24"/>
  <c r="AJ64" i="24"/>
  <c r="AK64" i="24"/>
  <c r="AL64" i="24"/>
  <c r="AN64" i="24"/>
  <c r="AO64" i="24"/>
  <c r="AP64" i="24"/>
  <c r="AB65" i="24"/>
  <c r="AC65" i="24"/>
  <c r="AE65" i="24" s="1"/>
  <c r="AD65" i="24"/>
  <c r="AF65" i="24"/>
  <c r="AG65" i="24"/>
  <c r="AH65" i="24"/>
  <c r="AI65" i="24"/>
  <c r="AJ65" i="24"/>
  <c r="AK65" i="24"/>
  <c r="AL65" i="24"/>
  <c r="AM65" i="24" s="1"/>
  <c r="AN65" i="24"/>
  <c r="AO65" i="24"/>
  <c r="AP65" i="24"/>
  <c r="AB66" i="24"/>
  <c r="AC66" i="24"/>
  <c r="AD66" i="24"/>
  <c r="AF66" i="24"/>
  <c r="AG66" i="24"/>
  <c r="AH66" i="24"/>
  <c r="AI66" i="24"/>
  <c r="AJ66" i="24"/>
  <c r="AK66" i="24"/>
  <c r="AL66" i="24"/>
  <c r="AN66" i="24"/>
  <c r="AO66" i="24"/>
  <c r="AP66" i="24"/>
  <c r="AQ66" i="24" s="1"/>
  <c r="AB67" i="24"/>
  <c r="AC67" i="24"/>
  <c r="AD67" i="24"/>
  <c r="AE67" i="24"/>
  <c r="AF67" i="24"/>
  <c r="AG67" i="24"/>
  <c r="AH67" i="24"/>
  <c r="AJ67" i="24"/>
  <c r="AK67" i="24"/>
  <c r="AL67" i="24"/>
  <c r="AM67" i="24" s="1"/>
  <c r="AN67" i="24"/>
  <c r="AO67" i="24"/>
  <c r="AQ67" i="24" s="1"/>
  <c r="AP67" i="24"/>
  <c r="AB68" i="24"/>
  <c r="AC68" i="24"/>
  <c r="AD68" i="24"/>
  <c r="AE68" i="24" s="1"/>
  <c r="AF68" i="24"/>
  <c r="AG68" i="24"/>
  <c r="AH68" i="24"/>
  <c r="AJ68" i="24"/>
  <c r="AK68" i="24"/>
  <c r="AL68" i="24"/>
  <c r="AM68" i="24" s="1"/>
  <c r="AN68" i="24"/>
  <c r="AO68" i="24"/>
  <c r="AP68" i="24"/>
  <c r="AQ68" i="24" s="1"/>
  <c r="AB69" i="24"/>
  <c r="AC69" i="24"/>
  <c r="AD69" i="24"/>
  <c r="AE69" i="24" s="1"/>
  <c r="AF69" i="24"/>
  <c r="AG69" i="24"/>
  <c r="AH69" i="24"/>
  <c r="AI69" i="24" s="1"/>
  <c r="AJ69" i="24"/>
  <c r="AK69" i="24"/>
  <c r="AL69" i="24"/>
  <c r="AM69" i="24" s="1"/>
  <c r="AN69" i="24"/>
  <c r="AO69" i="24"/>
  <c r="AP69" i="24"/>
  <c r="AQ69" i="24" s="1"/>
  <c r="AB70" i="24"/>
  <c r="AC70" i="24"/>
  <c r="AD70" i="24"/>
  <c r="AE70" i="24" s="1"/>
  <c r="AF70" i="24"/>
  <c r="AG70" i="24"/>
  <c r="AH70" i="24"/>
  <c r="AJ70" i="24"/>
  <c r="AK70" i="24"/>
  <c r="AM70" i="24" s="1"/>
  <c r="AL70" i="24"/>
  <c r="AN70" i="24"/>
  <c r="AO70" i="24"/>
  <c r="AP70" i="24"/>
  <c r="AQ70" i="24" s="1"/>
  <c r="AB71" i="24"/>
  <c r="AC71" i="24"/>
  <c r="AD71" i="24"/>
  <c r="AF71" i="24"/>
  <c r="AG71" i="24"/>
  <c r="AH71" i="24"/>
  <c r="AI71" i="24" s="1"/>
  <c r="AJ71" i="24"/>
  <c r="AK71" i="24"/>
  <c r="AL71" i="24"/>
  <c r="AN71" i="24"/>
  <c r="AO71" i="24"/>
  <c r="AP71" i="24"/>
  <c r="AQ71" i="24" s="1"/>
  <c r="AB72" i="24"/>
  <c r="AC72" i="24"/>
  <c r="AD72" i="24"/>
  <c r="AF72" i="24"/>
  <c r="AG72" i="24"/>
  <c r="AH72" i="24"/>
  <c r="AI72" i="24" s="1"/>
  <c r="AJ72" i="24"/>
  <c r="AK72" i="24"/>
  <c r="AL72" i="24"/>
  <c r="AM72" i="24" s="1"/>
  <c r="AN72" i="24"/>
  <c r="AO72" i="24"/>
  <c r="AP72" i="24"/>
  <c r="AQ72" i="24" s="1"/>
  <c r="AB73" i="24"/>
  <c r="AC73" i="24"/>
  <c r="AE73" i="24" s="1"/>
  <c r="AD73" i="24"/>
  <c r="AF73" i="24"/>
  <c r="AG73" i="24"/>
  <c r="AH73" i="24"/>
  <c r="AJ73" i="24"/>
  <c r="AK73" i="24"/>
  <c r="AL73" i="24"/>
  <c r="AN73" i="24"/>
  <c r="AO73" i="24"/>
  <c r="AP73" i="24"/>
  <c r="AQ73" i="24"/>
  <c r="AB74" i="24"/>
  <c r="AC74" i="24"/>
  <c r="AD74" i="24"/>
  <c r="AF74" i="24"/>
  <c r="AG74" i="24"/>
  <c r="AI74" i="24" s="1"/>
  <c r="AH74" i="24"/>
  <c r="AJ74" i="24"/>
  <c r="AK74" i="24"/>
  <c r="AL74" i="24"/>
  <c r="AM74" i="24"/>
  <c r="AN74" i="24"/>
  <c r="AO74" i="24"/>
  <c r="AP74" i="24"/>
  <c r="AB75" i="24"/>
  <c r="AC75" i="24"/>
  <c r="AD75" i="24"/>
  <c r="AE75" i="24"/>
  <c r="AF75" i="24"/>
  <c r="AG75" i="24"/>
  <c r="AH75" i="24"/>
  <c r="AI75" i="24" s="1"/>
  <c r="AJ75" i="24"/>
  <c r="AK75" i="24"/>
  <c r="AL75" i="24"/>
  <c r="AM75" i="24" s="1"/>
  <c r="AN75" i="24"/>
  <c r="AO75" i="24"/>
  <c r="AP75" i="24"/>
  <c r="AQ75" i="24" l="1"/>
  <c r="AE72" i="24"/>
  <c r="AE71" i="24"/>
  <c r="AI68" i="24"/>
  <c r="AI67" i="24"/>
  <c r="AM64" i="24"/>
  <c r="AQ57" i="24"/>
  <c r="AQ56" i="24"/>
  <c r="AQ54" i="24"/>
  <c r="AQ52" i="24"/>
  <c r="AE43" i="24"/>
  <c r="AE42" i="24"/>
  <c r="AE40" i="24"/>
  <c r="AI23" i="24"/>
  <c r="AI21" i="24"/>
  <c r="AI20" i="24"/>
  <c r="AI19" i="24"/>
  <c r="AI64" i="24"/>
  <c r="AI63" i="24"/>
  <c r="AQ32" i="24"/>
  <c r="AM73" i="24"/>
  <c r="AI57" i="24"/>
  <c r="AQ27" i="24"/>
  <c r="AQ25" i="24"/>
  <c r="AE8" i="24"/>
  <c r="AE66" i="24"/>
  <c r="AI59" i="24"/>
  <c r="AM71" i="24"/>
  <c r="AQ12" i="24"/>
  <c r="AI47" i="24"/>
  <c r="AM26" i="24"/>
  <c r="AQ9" i="24"/>
  <c r="AQ7" i="24"/>
  <c r="AE53" i="24"/>
  <c r="AM19" i="24"/>
  <c r="AM60" i="24"/>
  <c r="AE74" i="24"/>
  <c r="AI70" i="24"/>
  <c r="AM66" i="24"/>
  <c r="AE52" i="24"/>
  <c r="AI36" i="24"/>
  <c r="AI35" i="24"/>
  <c r="AM17" i="24"/>
  <c r="AM16" i="24"/>
  <c r="AM13" i="24"/>
  <c r="AQ74" i="24"/>
  <c r="AQ65" i="24"/>
  <c r="AE63" i="24"/>
  <c r="AM56" i="24"/>
  <c r="AQ51" i="24"/>
  <c r="AQ50" i="24"/>
  <c r="AE45" i="24"/>
  <c r="AE44" i="24"/>
  <c r="AI38" i="24"/>
  <c r="AI37" i="24"/>
  <c r="AM31" i="24"/>
  <c r="AM30" i="24"/>
  <c r="AQ24" i="24"/>
  <c r="AQ23" i="24"/>
  <c r="AE18" i="24"/>
  <c r="AE17" i="24"/>
  <c r="AI11" i="24"/>
  <c r="AI10" i="24"/>
  <c r="AM4" i="24"/>
  <c r="AQ63" i="24"/>
  <c r="AM50" i="24"/>
  <c r="AQ16" i="24"/>
  <c r="AI55" i="24"/>
  <c r="AM48" i="24"/>
  <c r="AE35" i="24"/>
  <c r="AI29" i="24"/>
  <c r="AI28" i="24"/>
  <c r="AM21" i="24"/>
  <c r="AQ14" i="24"/>
  <c r="AM47" i="24"/>
  <c r="AM46" i="24"/>
  <c r="AE7" i="24"/>
  <c r="AE6" i="24"/>
  <c r="AE55" i="24"/>
  <c r="AM61" i="24"/>
  <c r="AE56" i="24"/>
  <c r="AI46" i="24"/>
  <c r="AE26" i="24"/>
  <c r="AM12" i="24"/>
  <c r="AQ6" i="24"/>
  <c r="AQ5" i="24"/>
  <c r="AE51" i="24"/>
  <c r="AM2" i="24"/>
  <c r="AI73" i="24"/>
  <c r="AI62" i="24"/>
  <c r="AE49" i="24"/>
  <c r="AM35" i="24"/>
  <c r="AE22" i="24"/>
  <c r="AM8" i="24"/>
  <c r="AM54" i="24"/>
  <c r="AE50" i="24"/>
  <c r="AM45" i="24"/>
  <c r="AE41" i="24"/>
  <c r="AM36" i="24"/>
  <c r="AE32" i="24"/>
  <c r="AM27" i="24"/>
  <c r="AE23" i="24"/>
  <c r="AM18" i="24"/>
  <c r="AE14" i="24"/>
  <c r="AM9" i="24"/>
  <c r="AE5" i="24"/>
  <c r="AM62" i="24"/>
  <c r="AM51" i="24"/>
  <c r="AE47" i="24"/>
  <c r="AM42" i="24"/>
  <c r="AE38" i="24"/>
  <c r="AM33" i="24"/>
  <c r="AE29" i="24"/>
  <c r="AM24" i="24"/>
  <c r="AE20" i="24"/>
  <c r="AM15" i="24"/>
  <c r="AE11" i="24"/>
  <c r="AM6" i="24"/>
  <c r="AE2" i="24"/>
  <c r="AE37" i="24"/>
  <c r="AM32" i="24"/>
  <c r="AE28" i="24"/>
  <c r="AM23" i="24"/>
  <c r="AE19" i="24"/>
  <c r="AM14" i="24"/>
  <c r="AE10" i="24"/>
  <c r="AM5" i="24"/>
  <c r="AE64" i="24"/>
  <c r="AI52" i="24"/>
  <c r="AQ47" i="24"/>
  <c r="AI43" i="24"/>
  <c r="AQ38" i="24"/>
  <c r="AI34" i="24"/>
  <c r="AQ29" i="24"/>
  <c r="AI25" i="24"/>
  <c r="AQ20" i="24"/>
  <c r="AI16" i="24"/>
  <c r="AQ11" i="24"/>
  <c r="AI7" i="24"/>
  <c r="AQ2" i="24"/>
  <c r="AQ64" i="24"/>
  <c r="AQ55" i="24"/>
  <c r="AI51" i="24"/>
  <c r="AQ46" i="24"/>
  <c r="AI42" i="24"/>
  <c r="AQ37" i="24"/>
  <c r="AI33" i="24"/>
  <c r="AQ28" i="24"/>
  <c r="AI24" i="24"/>
  <c r="AQ19" i="24"/>
  <c r="AI15" i="24"/>
  <c r="AQ10" i="24"/>
  <c r="AI6" i="24"/>
  <c r="AM3" i="24"/>
  <c r="AE58" i="24"/>
  <c r="AQ53" i="24"/>
  <c r="AI49" i="24"/>
  <c r="AQ44" i="24"/>
  <c r="AI40" i="24"/>
  <c r="AQ35" i="24"/>
  <c r="AI31" i="24"/>
  <c r="AQ26" i="24"/>
  <c r="AI22" i="24"/>
  <c r="AQ17" i="24"/>
  <c r="AI13" i="24"/>
  <c r="AQ8" i="24"/>
  <c r="AI4" i="24"/>
  <c r="K36" i="26"/>
  <c r="K51" i="26"/>
  <c r="K50" i="26"/>
  <c r="K49" i="26"/>
  <c r="K48" i="26"/>
  <c r="K47" i="26"/>
  <c r="K46" i="26"/>
  <c r="K45" i="26"/>
  <c r="K44" i="26"/>
  <c r="K43" i="26"/>
  <c r="K40" i="26"/>
  <c r="K39" i="26"/>
  <c r="K38" i="26"/>
  <c r="K35" i="26"/>
  <c r="K34" i="26"/>
  <c r="K33" i="26"/>
  <c r="K32" i="26"/>
  <c r="K31" i="26"/>
  <c r="K30" i="26"/>
  <c r="K29" i="26"/>
  <c r="K28" i="26"/>
  <c r="K27" i="26"/>
  <c r="K26" i="26"/>
  <c r="K25" i="26"/>
  <c r="K24" i="26"/>
  <c r="K23" i="26"/>
  <c r="J28" i="25"/>
  <c r="J29" i="25"/>
  <c r="J30" i="25"/>
  <c r="J31" i="25"/>
  <c r="F28" i="25"/>
  <c r="F29" i="25"/>
  <c r="F30" i="25"/>
  <c r="F31" i="25"/>
  <c r="C52" i="26"/>
  <c r="D52" i="26" l="1"/>
  <c r="E52" i="26"/>
  <c r="F52" i="26"/>
  <c r="G52" i="26"/>
  <c r="H52" i="26"/>
  <c r="I52" i="26"/>
  <c r="J52" i="26"/>
  <c r="K52" i="26"/>
  <c r="L52" i="26"/>
  <c r="M52" i="26"/>
  <c r="O52" i="26"/>
  <c r="P52" i="26"/>
  <c r="P19" i="26"/>
  <c r="O19" i="26"/>
  <c r="P16" i="26"/>
  <c r="O16" i="26"/>
  <c r="M19" i="26"/>
  <c r="L19" i="26"/>
  <c r="J19" i="26"/>
  <c r="I19" i="26"/>
  <c r="G19" i="26"/>
  <c r="F19" i="26"/>
  <c r="Q15" i="26"/>
  <c r="N15" i="26"/>
  <c r="K15" i="26"/>
  <c r="H15" i="26"/>
  <c r="Q14" i="26"/>
  <c r="N14" i="26"/>
  <c r="K14" i="26"/>
  <c r="H14" i="26"/>
  <c r="D19" i="26"/>
  <c r="C19" i="26"/>
  <c r="H51" i="26"/>
  <c r="E51" i="26"/>
  <c r="H50" i="26"/>
  <c r="E50" i="26"/>
  <c r="H49" i="26"/>
  <c r="E49" i="26"/>
  <c r="H48" i="26"/>
  <c r="E48" i="26"/>
  <c r="H47" i="26"/>
  <c r="E47" i="26"/>
  <c r="H46" i="26"/>
  <c r="E46" i="26"/>
  <c r="H45" i="26"/>
  <c r="E45" i="26"/>
  <c r="H44" i="26"/>
  <c r="E44" i="26"/>
  <c r="H43" i="26"/>
  <c r="E43" i="26"/>
  <c r="E42" i="26"/>
  <c r="E41" i="26"/>
  <c r="H40" i="26"/>
  <c r="E40" i="26"/>
  <c r="H39" i="26"/>
  <c r="E39" i="26"/>
  <c r="H38" i="26"/>
  <c r="E38" i="26"/>
  <c r="E37" i="26"/>
  <c r="E36" i="26"/>
  <c r="H35" i="26"/>
  <c r="E35" i="26"/>
  <c r="H34" i="26"/>
  <c r="E34" i="26"/>
  <c r="H33" i="26"/>
  <c r="E33" i="26"/>
  <c r="H32" i="26"/>
  <c r="E32" i="26"/>
  <c r="H31" i="26"/>
  <c r="E31" i="26"/>
  <c r="H30" i="26"/>
  <c r="E30" i="26"/>
  <c r="H29" i="26"/>
  <c r="E29" i="26"/>
  <c r="H28" i="26"/>
  <c r="E28" i="26"/>
  <c r="H27" i="26"/>
  <c r="E27" i="26"/>
  <c r="H26" i="26"/>
  <c r="E26" i="26"/>
  <c r="H25" i="26"/>
  <c r="E25" i="26"/>
  <c r="H24" i="26"/>
  <c r="E24" i="26"/>
  <c r="H23" i="26"/>
  <c r="E23" i="26"/>
  <c r="E15" i="26"/>
  <c r="E14" i="26"/>
  <c r="Q52" i="26" l="1"/>
  <c r="N52" i="26"/>
  <c r="E9" i="22"/>
  <c r="E8" i="22" s="1"/>
  <c r="F9" i="22"/>
  <c r="F8" i="22" s="1"/>
  <c r="G9" i="22"/>
  <c r="H9" i="22"/>
  <c r="I9" i="22"/>
  <c r="J9" i="22"/>
  <c r="E10" i="22"/>
  <c r="F10" i="22"/>
  <c r="G10" i="22"/>
  <c r="G8" i="22" s="1"/>
  <c r="H10" i="22"/>
  <c r="H8" i="22" s="1"/>
  <c r="I10" i="22"/>
  <c r="J10" i="22"/>
  <c r="I6" i="22"/>
  <c r="J6" i="22"/>
  <c r="G6" i="22"/>
  <c r="H6" i="22"/>
  <c r="E6" i="22"/>
  <c r="F6" i="22"/>
  <c r="D6" i="22"/>
  <c r="D9" i="22" s="1"/>
  <c r="D8" i="22" s="1"/>
  <c r="AL34" i="21"/>
  <c r="AM34" i="21"/>
  <c r="AN34" i="21"/>
  <c r="AO34" i="21"/>
  <c r="AP34" i="21"/>
  <c r="AK34" i="21"/>
  <c r="C9" i="22"/>
  <c r="D10" i="22"/>
  <c r="C10" i="22"/>
  <c r="T70" i="24"/>
  <c r="U70" i="24"/>
  <c r="V70" i="24"/>
  <c r="X70" i="24"/>
  <c r="Y70" i="24"/>
  <c r="Z70" i="24"/>
  <c r="T71" i="24"/>
  <c r="U71" i="24"/>
  <c r="V71" i="24"/>
  <c r="X71" i="24"/>
  <c r="Y71" i="24"/>
  <c r="Z71" i="24"/>
  <c r="T72" i="24"/>
  <c r="U72" i="24"/>
  <c r="V72" i="24"/>
  <c r="X72" i="24"/>
  <c r="Y72" i="24"/>
  <c r="Z72" i="24"/>
  <c r="T73" i="24"/>
  <c r="U73" i="24"/>
  <c r="V73" i="24"/>
  <c r="X73" i="24"/>
  <c r="Y73" i="24"/>
  <c r="Z73" i="24"/>
  <c r="T74" i="24"/>
  <c r="U74" i="24"/>
  <c r="V74" i="24"/>
  <c r="X74" i="24"/>
  <c r="Y74" i="24"/>
  <c r="Z74" i="24"/>
  <c r="T75" i="24"/>
  <c r="U75" i="24"/>
  <c r="V75" i="24"/>
  <c r="X75" i="24"/>
  <c r="Y75" i="24"/>
  <c r="Z75" i="24"/>
  <c r="T2" i="24"/>
  <c r="U2" i="24"/>
  <c r="V2" i="24"/>
  <c r="X2" i="24"/>
  <c r="Y2" i="24"/>
  <c r="Z2" i="24"/>
  <c r="T3" i="24"/>
  <c r="U3" i="24"/>
  <c r="V3" i="24"/>
  <c r="X3" i="24"/>
  <c r="Y3" i="24"/>
  <c r="Z3" i="24"/>
  <c r="T4" i="24"/>
  <c r="U4" i="24"/>
  <c r="V4" i="24"/>
  <c r="X4" i="24"/>
  <c r="Y4" i="24"/>
  <c r="Z4" i="24"/>
  <c r="T5" i="24"/>
  <c r="U5" i="24"/>
  <c r="V5" i="24"/>
  <c r="X5" i="24"/>
  <c r="Y5" i="24"/>
  <c r="Z5" i="24"/>
  <c r="T6" i="24"/>
  <c r="U6" i="24"/>
  <c r="V6" i="24"/>
  <c r="X6" i="24"/>
  <c r="Y6" i="24"/>
  <c r="Z6" i="24"/>
  <c r="T7" i="24"/>
  <c r="U7" i="24"/>
  <c r="V7" i="24"/>
  <c r="X7" i="24"/>
  <c r="Y7" i="24"/>
  <c r="Z7" i="24"/>
  <c r="T8" i="24"/>
  <c r="U8" i="24"/>
  <c r="V8" i="24"/>
  <c r="X8" i="24"/>
  <c r="Y8" i="24"/>
  <c r="Z8" i="24"/>
  <c r="T9" i="24"/>
  <c r="U9" i="24"/>
  <c r="V9" i="24"/>
  <c r="X9" i="24"/>
  <c r="Y9" i="24"/>
  <c r="Z9" i="24"/>
  <c r="T10" i="24"/>
  <c r="U10" i="24"/>
  <c r="V10" i="24"/>
  <c r="X10" i="24"/>
  <c r="Y10" i="24"/>
  <c r="Z10" i="24"/>
  <c r="T11" i="24"/>
  <c r="U11" i="24"/>
  <c r="V11" i="24"/>
  <c r="X11" i="24"/>
  <c r="Y11" i="24"/>
  <c r="Z11" i="24"/>
  <c r="T12" i="24"/>
  <c r="U12" i="24"/>
  <c r="V12" i="24"/>
  <c r="X12" i="24"/>
  <c r="Y12" i="24"/>
  <c r="Z12" i="24"/>
  <c r="T13" i="24"/>
  <c r="U13" i="24"/>
  <c r="V13" i="24"/>
  <c r="X13" i="24"/>
  <c r="Y13" i="24"/>
  <c r="Z13" i="24"/>
  <c r="T14" i="24"/>
  <c r="U14" i="24"/>
  <c r="V14" i="24"/>
  <c r="X14" i="24"/>
  <c r="Y14" i="24"/>
  <c r="Z14" i="24"/>
  <c r="T15" i="24"/>
  <c r="U15" i="24"/>
  <c r="V15" i="24"/>
  <c r="X15" i="24"/>
  <c r="Y15" i="24"/>
  <c r="Z15" i="24"/>
  <c r="T16" i="24"/>
  <c r="U16" i="24"/>
  <c r="V16" i="24"/>
  <c r="X16" i="24"/>
  <c r="Y16" i="24"/>
  <c r="Z16" i="24"/>
  <c r="T17" i="24"/>
  <c r="U17" i="24"/>
  <c r="V17" i="24"/>
  <c r="X17" i="24"/>
  <c r="Y17" i="24"/>
  <c r="Z17" i="24"/>
  <c r="T18" i="24"/>
  <c r="U18" i="24"/>
  <c r="V18" i="24"/>
  <c r="X18" i="24"/>
  <c r="Y18" i="24"/>
  <c r="Z18" i="24"/>
  <c r="T19" i="24"/>
  <c r="U19" i="24"/>
  <c r="V19" i="24"/>
  <c r="X19" i="24"/>
  <c r="Y19" i="24"/>
  <c r="Z19" i="24"/>
  <c r="T20" i="24"/>
  <c r="U20" i="24"/>
  <c r="V20" i="24"/>
  <c r="X20" i="24"/>
  <c r="Y20" i="24"/>
  <c r="Z20" i="24"/>
  <c r="T21" i="24"/>
  <c r="O17" i="25" s="1"/>
  <c r="U21" i="24"/>
  <c r="P17" i="25" s="1"/>
  <c r="P32" i="25" s="1"/>
  <c r="V21" i="24"/>
  <c r="X21" i="24"/>
  <c r="S17" i="25" s="1"/>
  <c r="Y21" i="24"/>
  <c r="T17" i="25" s="1"/>
  <c r="Z21" i="24"/>
  <c r="U17" i="25" s="1"/>
  <c r="T22" i="24"/>
  <c r="O18" i="25" s="1"/>
  <c r="O33" i="25" s="1"/>
  <c r="U22" i="24"/>
  <c r="P18" i="25" s="1"/>
  <c r="P33" i="25" s="1"/>
  <c r="V22" i="24"/>
  <c r="X22" i="24"/>
  <c r="S18" i="25" s="1"/>
  <c r="Y22" i="24"/>
  <c r="T18" i="25" s="1"/>
  <c r="Z22" i="24"/>
  <c r="U18" i="25" s="1"/>
  <c r="U33" i="25" s="1"/>
  <c r="T23" i="24"/>
  <c r="U23" i="24"/>
  <c r="V23" i="24"/>
  <c r="X23" i="24"/>
  <c r="Y23" i="24"/>
  <c r="Z23" i="24"/>
  <c r="T24" i="24"/>
  <c r="O19" i="25" s="1"/>
  <c r="O34" i="25" s="1"/>
  <c r="U24" i="24"/>
  <c r="P19" i="25" s="1"/>
  <c r="P34" i="25" s="1"/>
  <c r="V24" i="24"/>
  <c r="X24" i="24"/>
  <c r="S19" i="25" s="1"/>
  <c r="Y24" i="24"/>
  <c r="T19" i="25" s="1"/>
  <c r="Z24" i="24"/>
  <c r="U19" i="25" s="1"/>
  <c r="U34" i="25" s="1"/>
  <c r="T25" i="24"/>
  <c r="O20" i="25" s="1"/>
  <c r="O35" i="25" s="1"/>
  <c r="U25" i="24"/>
  <c r="P20" i="25" s="1"/>
  <c r="P35" i="25" s="1"/>
  <c r="V25" i="24"/>
  <c r="X25" i="24"/>
  <c r="S20" i="25" s="1"/>
  <c r="Y25" i="24"/>
  <c r="T20" i="25" s="1"/>
  <c r="Z25" i="24"/>
  <c r="U20" i="25" s="1"/>
  <c r="U35" i="25" s="1"/>
  <c r="T26" i="24"/>
  <c r="O21" i="25" s="1"/>
  <c r="O36" i="25" s="1"/>
  <c r="U26" i="24"/>
  <c r="P21" i="25" s="1"/>
  <c r="P36" i="25" s="1"/>
  <c r="V26" i="24"/>
  <c r="X26" i="24"/>
  <c r="S21" i="25" s="1"/>
  <c r="Y26" i="24"/>
  <c r="T21" i="25" s="1"/>
  <c r="Z26" i="24"/>
  <c r="U21" i="25" s="1"/>
  <c r="U36" i="25" s="1"/>
  <c r="T27" i="24"/>
  <c r="O22" i="25" s="1"/>
  <c r="O37" i="25" s="1"/>
  <c r="U27" i="24"/>
  <c r="P22" i="25" s="1"/>
  <c r="P37" i="25" s="1"/>
  <c r="V27" i="24"/>
  <c r="X27" i="24"/>
  <c r="S22" i="25" s="1"/>
  <c r="Y27" i="24"/>
  <c r="T22" i="25" s="1"/>
  <c r="Z27" i="24"/>
  <c r="U22" i="25" s="1"/>
  <c r="U37" i="25" s="1"/>
  <c r="T28" i="24"/>
  <c r="O23" i="25" s="1"/>
  <c r="O38" i="25" s="1"/>
  <c r="U28" i="24"/>
  <c r="P23" i="25" s="1"/>
  <c r="P38" i="25" s="1"/>
  <c r="V28" i="24"/>
  <c r="X28" i="24"/>
  <c r="S23" i="25" s="1"/>
  <c r="Y28" i="24"/>
  <c r="T23" i="25" s="1"/>
  <c r="Z28" i="24"/>
  <c r="U23" i="25" s="1"/>
  <c r="U38" i="25" s="1"/>
  <c r="T29" i="24"/>
  <c r="O24" i="25" s="1"/>
  <c r="O39" i="25" s="1"/>
  <c r="U29" i="24"/>
  <c r="P24" i="25" s="1"/>
  <c r="P39" i="25" s="1"/>
  <c r="V29" i="24"/>
  <c r="X29" i="24"/>
  <c r="S24" i="25" s="1"/>
  <c r="Y29" i="24"/>
  <c r="T24" i="25" s="1"/>
  <c r="Z29" i="24"/>
  <c r="U24" i="25" s="1"/>
  <c r="U39" i="25" s="1"/>
  <c r="T30" i="24"/>
  <c r="O25" i="25" s="1"/>
  <c r="O40" i="25" s="1"/>
  <c r="U30" i="24"/>
  <c r="P25" i="25" s="1"/>
  <c r="P40" i="25" s="1"/>
  <c r="V30" i="24"/>
  <c r="X30" i="24"/>
  <c r="S25" i="25" s="1"/>
  <c r="Y30" i="24"/>
  <c r="T25" i="25" s="1"/>
  <c r="Z30" i="24"/>
  <c r="U25" i="25" s="1"/>
  <c r="U40" i="25" s="1"/>
  <c r="T31" i="24"/>
  <c r="U31" i="24"/>
  <c r="V31" i="24"/>
  <c r="X31" i="24"/>
  <c r="Y31" i="24"/>
  <c r="Z31" i="24"/>
  <c r="T32" i="24"/>
  <c r="O4" i="25" s="1"/>
  <c r="U32" i="24"/>
  <c r="P4" i="25" s="1"/>
  <c r="V32" i="24"/>
  <c r="X32" i="24"/>
  <c r="S4" i="25" s="1"/>
  <c r="Y32" i="24"/>
  <c r="T4" i="25" s="1"/>
  <c r="Z32" i="24"/>
  <c r="U4" i="25" s="1"/>
  <c r="T33" i="24"/>
  <c r="O5" i="25" s="1"/>
  <c r="U33" i="24"/>
  <c r="P5" i="25" s="1"/>
  <c r="V33" i="24"/>
  <c r="X33" i="24"/>
  <c r="S5" i="25" s="1"/>
  <c r="Y33" i="24"/>
  <c r="T5" i="25" s="1"/>
  <c r="Z33" i="24"/>
  <c r="U5" i="25" s="1"/>
  <c r="T34" i="24"/>
  <c r="U34" i="24"/>
  <c r="V34" i="24"/>
  <c r="X34" i="24"/>
  <c r="Y34" i="24"/>
  <c r="Z34" i="24"/>
  <c r="T35" i="24"/>
  <c r="U35" i="24"/>
  <c r="V35" i="24"/>
  <c r="X35" i="24"/>
  <c r="Y35" i="24"/>
  <c r="Z35" i="24"/>
  <c r="T36" i="24"/>
  <c r="U36" i="24"/>
  <c r="V36" i="24"/>
  <c r="X36" i="24"/>
  <c r="Y36" i="24"/>
  <c r="Z36" i="24"/>
  <c r="T37" i="24"/>
  <c r="U37" i="24"/>
  <c r="V37" i="24"/>
  <c r="X37" i="24"/>
  <c r="Y37" i="24"/>
  <c r="Z37" i="24"/>
  <c r="T38" i="24"/>
  <c r="U38" i="24"/>
  <c r="V38" i="24"/>
  <c r="X38" i="24"/>
  <c r="Y38" i="24"/>
  <c r="Z38" i="24"/>
  <c r="T39" i="24"/>
  <c r="U39" i="24"/>
  <c r="V39" i="24"/>
  <c r="X39" i="24"/>
  <c r="Y39" i="24"/>
  <c r="Z39" i="24"/>
  <c r="T40" i="24"/>
  <c r="O7" i="25" s="1"/>
  <c r="U40" i="24"/>
  <c r="P7" i="25" s="1"/>
  <c r="V40" i="24"/>
  <c r="X40" i="24"/>
  <c r="S7" i="25" s="1"/>
  <c r="Y40" i="24"/>
  <c r="T7" i="25" s="1"/>
  <c r="Z40" i="24"/>
  <c r="U7" i="25" s="1"/>
  <c r="T41" i="24"/>
  <c r="O26" i="25" s="1"/>
  <c r="O41" i="25" s="1"/>
  <c r="U41" i="24"/>
  <c r="P26" i="25" s="1"/>
  <c r="P41" i="25" s="1"/>
  <c r="V41" i="24"/>
  <c r="X41" i="24"/>
  <c r="S26" i="25" s="1"/>
  <c r="Y41" i="24"/>
  <c r="T26" i="25" s="1"/>
  <c r="Z41" i="24"/>
  <c r="U26" i="25" s="1"/>
  <c r="U41" i="25" s="1"/>
  <c r="T42" i="24"/>
  <c r="O27" i="25" s="1"/>
  <c r="O42" i="25" s="1"/>
  <c r="U42" i="24"/>
  <c r="P27" i="25" s="1"/>
  <c r="P42" i="25" s="1"/>
  <c r="V42" i="24"/>
  <c r="X42" i="24"/>
  <c r="S27" i="25" s="1"/>
  <c r="Y42" i="24"/>
  <c r="T27" i="25" s="1"/>
  <c r="Z42" i="24"/>
  <c r="U27" i="25" s="1"/>
  <c r="U42" i="25" s="1"/>
  <c r="T43" i="24"/>
  <c r="U43" i="24"/>
  <c r="V43" i="24"/>
  <c r="X43" i="24"/>
  <c r="Y43" i="24"/>
  <c r="Z43" i="24"/>
  <c r="T44" i="24"/>
  <c r="U44" i="24"/>
  <c r="V44" i="24"/>
  <c r="X44" i="24"/>
  <c r="Y44" i="24"/>
  <c r="Z44" i="24"/>
  <c r="T45" i="24"/>
  <c r="U45" i="24"/>
  <c r="V45" i="24"/>
  <c r="X45" i="24"/>
  <c r="Y45" i="24"/>
  <c r="Z45" i="24"/>
  <c r="T46" i="24"/>
  <c r="U46" i="24"/>
  <c r="V46" i="24"/>
  <c r="X46" i="24"/>
  <c r="Y46" i="24"/>
  <c r="Z46" i="24"/>
  <c r="T47" i="24"/>
  <c r="U47" i="24"/>
  <c r="V47" i="24"/>
  <c r="X47" i="24"/>
  <c r="Y47" i="24"/>
  <c r="Z47" i="24"/>
  <c r="T48" i="24"/>
  <c r="U48" i="24"/>
  <c r="V48" i="24"/>
  <c r="X48" i="24"/>
  <c r="Y48" i="24"/>
  <c r="Z48" i="24"/>
  <c r="T49" i="24"/>
  <c r="O12" i="25" s="1"/>
  <c r="U49" i="24"/>
  <c r="P12" i="25" s="1"/>
  <c r="P14" i="25" s="1"/>
  <c r="V49" i="24"/>
  <c r="X49" i="24"/>
  <c r="S12" i="25" s="1"/>
  <c r="Y49" i="24"/>
  <c r="T12" i="25" s="1"/>
  <c r="Z49" i="24"/>
  <c r="U12" i="25" s="1"/>
  <c r="T50" i="24"/>
  <c r="U50" i="24"/>
  <c r="V50" i="24"/>
  <c r="X50" i="24"/>
  <c r="Y50" i="24"/>
  <c r="Z50" i="24"/>
  <c r="T51" i="24"/>
  <c r="U51" i="24"/>
  <c r="V51" i="24"/>
  <c r="X51" i="24"/>
  <c r="Y51" i="24"/>
  <c r="Z51" i="24"/>
  <c r="T52" i="24"/>
  <c r="O6" i="25" s="1"/>
  <c r="U52" i="24"/>
  <c r="P6" i="25" s="1"/>
  <c r="V52" i="24"/>
  <c r="X52" i="24"/>
  <c r="S6" i="25" s="1"/>
  <c r="Y52" i="24"/>
  <c r="T6" i="25" s="1"/>
  <c r="Z52" i="24"/>
  <c r="U6" i="25" s="1"/>
  <c r="T53" i="24"/>
  <c r="U53" i="24"/>
  <c r="V53" i="24"/>
  <c r="X53" i="24"/>
  <c r="Y53" i="24"/>
  <c r="Z53" i="24"/>
  <c r="T54" i="24"/>
  <c r="U54" i="24"/>
  <c r="V54" i="24"/>
  <c r="X54" i="24"/>
  <c r="Y54" i="24"/>
  <c r="Z54" i="24"/>
  <c r="T55" i="24"/>
  <c r="U55" i="24"/>
  <c r="V55" i="24"/>
  <c r="X55" i="24"/>
  <c r="Y55" i="24"/>
  <c r="Z55" i="24"/>
  <c r="T56" i="24"/>
  <c r="U56" i="24"/>
  <c r="V56" i="24"/>
  <c r="X56" i="24"/>
  <c r="Y56" i="24"/>
  <c r="Z56" i="24"/>
  <c r="T57" i="24"/>
  <c r="U57" i="24"/>
  <c r="V57" i="24"/>
  <c r="X57" i="24"/>
  <c r="Y57" i="24"/>
  <c r="Z57" i="24"/>
  <c r="T58" i="24"/>
  <c r="U58" i="24"/>
  <c r="V58" i="24"/>
  <c r="X58" i="24"/>
  <c r="Y58" i="24"/>
  <c r="Z58" i="24"/>
  <c r="T59" i="24"/>
  <c r="O11" i="25" s="1"/>
  <c r="U59" i="24"/>
  <c r="P11" i="25" s="1"/>
  <c r="V59" i="24"/>
  <c r="X59" i="24"/>
  <c r="S11" i="25" s="1"/>
  <c r="Y59" i="24"/>
  <c r="T11" i="25" s="1"/>
  <c r="Z59" i="24"/>
  <c r="U11" i="25" s="1"/>
  <c r="T60" i="24"/>
  <c r="O3" i="25" s="1"/>
  <c r="O13" i="25" s="1"/>
  <c r="U60" i="24"/>
  <c r="P3" i="25" s="1"/>
  <c r="P13" i="25" s="1"/>
  <c r="V60" i="24"/>
  <c r="X60" i="24"/>
  <c r="S3" i="25" s="1"/>
  <c r="Y60" i="24"/>
  <c r="T3" i="25" s="1"/>
  <c r="Z60" i="24"/>
  <c r="U3" i="25" s="1"/>
  <c r="U13" i="25" s="1"/>
  <c r="T61" i="24"/>
  <c r="U61" i="24"/>
  <c r="V61" i="24"/>
  <c r="X61" i="24"/>
  <c r="Y61" i="24"/>
  <c r="Z61" i="24"/>
  <c r="T62" i="24"/>
  <c r="U62" i="24"/>
  <c r="V62" i="24"/>
  <c r="X62" i="24"/>
  <c r="Y62" i="24"/>
  <c r="Z62" i="24"/>
  <c r="T63" i="24"/>
  <c r="U63" i="24"/>
  <c r="V63" i="24"/>
  <c r="X63" i="24"/>
  <c r="Y63" i="24"/>
  <c r="Z63" i="24"/>
  <c r="T64" i="24"/>
  <c r="U64" i="24"/>
  <c r="V64" i="24"/>
  <c r="X64" i="24"/>
  <c r="Y64" i="24"/>
  <c r="Z64" i="24"/>
  <c r="T65" i="24"/>
  <c r="U65" i="24"/>
  <c r="V65" i="24"/>
  <c r="X65" i="24"/>
  <c r="Y65" i="24"/>
  <c r="Z65" i="24"/>
  <c r="T66" i="24"/>
  <c r="U66" i="24"/>
  <c r="V66" i="24"/>
  <c r="X66" i="24"/>
  <c r="Y66" i="24"/>
  <c r="Z66" i="24"/>
  <c r="T67" i="24"/>
  <c r="U67" i="24"/>
  <c r="V67" i="24"/>
  <c r="X67" i="24"/>
  <c r="Y67" i="24"/>
  <c r="Z67" i="24"/>
  <c r="T68" i="24"/>
  <c r="U68" i="24"/>
  <c r="V68" i="24"/>
  <c r="X68" i="24"/>
  <c r="Y68" i="24"/>
  <c r="Z68" i="24"/>
  <c r="T69" i="24"/>
  <c r="U69" i="24"/>
  <c r="V69" i="24"/>
  <c r="X69" i="24"/>
  <c r="Y69" i="24"/>
  <c r="Z69" i="24"/>
  <c r="U1" i="24"/>
  <c r="V1" i="24"/>
  <c r="W1" i="24"/>
  <c r="X1" i="24"/>
  <c r="Y1" i="24"/>
  <c r="Z1" i="24"/>
  <c r="AA1" i="24"/>
  <c r="T1" i="24"/>
  <c r="H2" i="24"/>
  <c r="I2" i="24"/>
  <c r="J2" i="24"/>
  <c r="L2" i="24"/>
  <c r="M2" i="24"/>
  <c r="N2" i="24"/>
  <c r="P2" i="24"/>
  <c r="Q2" i="24"/>
  <c r="R2" i="24"/>
  <c r="H3" i="24"/>
  <c r="I3" i="24"/>
  <c r="J3" i="24"/>
  <c r="L3" i="24"/>
  <c r="M3" i="24"/>
  <c r="N3" i="24"/>
  <c r="P3" i="24"/>
  <c r="BD3" i="24" s="1"/>
  <c r="Q3" i="24"/>
  <c r="R3" i="24"/>
  <c r="H4" i="24"/>
  <c r="I4" i="24"/>
  <c r="J4" i="24"/>
  <c r="L4" i="24"/>
  <c r="M4" i="24"/>
  <c r="N4" i="24"/>
  <c r="P4" i="24"/>
  <c r="Q4" i="24"/>
  <c r="R4" i="24"/>
  <c r="H5" i="24"/>
  <c r="I5" i="24"/>
  <c r="J5" i="24"/>
  <c r="L5" i="24"/>
  <c r="M5" i="24"/>
  <c r="N5" i="24"/>
  <c r="P5" i="24"/>
  <c r="BD5" i="24" s="1"/>
  <c r="Q5" i="24"/>
  <c r="R5" i="24"/>
  <c r="H6" i="24"/>
  <c r="I6" i="24"/>
  <c r="J6" i="24"/>
  <c r="L6" i="24"/>
  <c r="M6" i="24"/>
  <c r="N6" i="24"/>
  <c r="P6" i="24"/>
  <c r="Q6" i="24"/>
  <c r="R6" i="24"/>
  <c r="H7" i="24"/>
  <c r="I7" i="24"/>
  <c r="J7" i="24"/>
  <c r="L7" i="24"/>
  <c r="M7" i="24"/>
  <c r="N7" i="24"/>
  <c r="P7" i="24"/>
  <c r="BD7" i="24" s="1"/>
  <c r="Q7" i="24"/>
  <c r="R7" i="24"/>
  <c r="H8" i="24"/>
  <c r="I8" i="24"/>
  <c r="J8" i="24"/>
  <c r="L8" i="24"/>
  <c r="M8" i="24"/>
  <c r="N8" i="24"/>
  <c r="P8" i="24"/>
  <c r="Q8" i="24"/>
  <c r="R8" i="24"/>
  <c r="H9" i="24"/>
  <c r="I9" i="24"/>
  <c r="J9" i="24"/>
  <c r="L9" i="24"/>
  <c r="M9" i="24"/>
  <c r="N9" i="24"/>
  <c r="P9" i="24"/>
  <c r="BD9" i="24" s="1"/>
  <c r="Q9" i="24"/>
  <c r="R9" i="24"/>
  <c r="H10" i="24"/>
  <c r="I10" i="24"/>
  <c r="J10" i="24"/>
  <c r="L10" i="24"/>
  <c r="M10" i="24"/>
  <c r="N10" i="24"/>
  <c r="P10" i="24"/>
  <c r="Q10" i="24"/>
  <c r="R10" i="24"/>
  <c r="H11" i="24"/>
  <c r="I11" i="24"/>
  <c r="J11" i="24"/>
  <c r="L11" i="24"/>
  <c r="M11" i="24"/>
  <c r="N11" i="24"/>
  <c r="P11" i="24"/>
  <c r="BD11" i="24" s="1"/>
  <c r="Q11" i="24"/>
  <c r="R11" i="24"/>
  <c r="H12" i="24"/>
  <c r="I12" i="24"/>
  <c r="J12" i="24"/>
  <c r="L12" i="24"/>
  <c r="M12" i="24"/>
  <c r="N12" i="24"/>
  <c r="P12" i="24"/>
  <c r="Q12" i="24"/>
  <c r="R12" i="24"/>
  <c r="H13" i="24"/>
  <c r="I13" i="24"/>
  <c r="J13" i="24"/>
  <c r="L13" i="24"/>
  <c r="M13" i="24"/>
  <c r="N13" i="24"/>
  <c r="P13" i="24"/>
  <c r="BD13" i="24" s="1"/>
  <c r="Q13" i="24"/>
  <c r="R13" i="24"/>
  <c r="H14" i="24"/>
  <c r="I14" i="24"/>
  <c r="J14" i="24"/>
  <c r="L14" i="24"/>
  <c r="M14" i="24"/>
  <c r="N14" i="24"/>
  <c r="P14" i="24"/>
  <c r="Q14" i="24"/>
  <c r="R14" i="24"/>
  <c r="H15" i="24"/>
  <c r="I15" i="24"/>
  <c r="J15" i="24"/>
  <c r="L15" i="24"/>
  <c r="M15" i="24"/>
  <c r="N15" i="24"/>
  <c r="P15" i="24"/>
  <c r="BD15" i="24" s="1"/>
  <c r="Q15" i="24"/>
  <c r="R15" i="24"/>
  <c r="H16" i="24"/>
  <c r="I16" i="24"/>
  <c r="J16" i="24"/>
  <c r="L16" i="24"/>
  <c r="M16" i="24"/>
  <c r="N16" i="24"/>
  <c r="P16" i="24"/>
  <c r="Q16" i="24"/>
  <c r="R16" i="24"/>
  <c r="H17" i="24"/>
  <c r="I17" i="24"/>
  <c r="J17" i="24"/>
  <c r="L17" i="24"/>
  <c r="M17" i="24"/>
  <c r="N17" i="24"/>
  <c r="P17" i="24"/>
  <c r="BD17" i="24" s="1"/>
  <c r="Q17" i="24"/>
  <c r="R17" i="24"/>
  <c r="H18" i="24"/>
  <c r="I18" i="24"/>
  <c r="J18" i="24"/>
  <c r="L18" i="24"/>
  <c r="M18" i="24"/>
  <c r="N18" i="24"/>
  <c r="P18" i="24"/>
  <c r="Q18" i="24"/>
  <c r="R18" i="24"/>
  <c r="H19" i="24"/>
  <c r="I19" i="24"/>
  <c r="J19" i="24"/>
  <c r="L19" i="24"/>
  <c r="M19" i="24"/>
  <c r="N19" i="24"/>
  <c r="P19" i="24"/>
  <c r="BD19" i="24" s="1"/>
  <c r="Q19" i="24"/>
  <c r="R19" i="24"/>
  <c r="H20" i="24"/>
  <c r="I20" i="24"/>
  <c r="J20" i="24"/>
  <c r="L20" i="24"/>
  <c r="M20" i="24"/>
  <c r="N20" i="24"/>
  <c r="P20" i="24"/>
  <c r="Q20" i="24"/>
  <c r="R20" i="24"/>
  <c r="H21" i="24"/>
  <c r="C17" i="25" s="1"/>
  <c r="I21" i="24"/>
  <c r="J21" i="24"/>
  <c r="L21" i="24"/>
  <c r="M21" i="24"/>
  <c r="N21" i="24"/>
  <c r="P21" i="24"/>
  <c r="Q21" i="24"/>
  <c r="L17" i="25" s="1"/>
  <c r="R21" i="24"/>
  <c r="M17" i="25" s="1"/>
  <c r="N17" i="25" s="1"/>
  <c r="H22" i="24"/>
  <c r="I22" i="24"/>
  <c r="J22" i="24"/>
  <c r="L22" i="24"/>
  <c r="M22" i="24"/>
  <c r="N22" i="24"/>
  <c r="P22" i="24"/>
  <c r="K18" i="25" s="1"/>
  <c r="Q22" i="24"/>
  <c r="L18" i="25" s="1"/>
  <c r="R22" i="24"/>
  <c r="M18" i="25" s="1"/>
  <c r="H23" i="24"/>
  <c r="I23" i="24"/>
  <c r="J23" i="24"/>
  <c r="L23" i="24"/>
  <c r="M23" i="24"/>
  <c r="N23" i="24"/>
  <c r="P23" i="24"/>
  <c r="BD23" i="24" s="1"/>
  <c r="Q23" i="24"/>
  <c r="R23" i="24"/>
  <c r="H24" i="24"/>
  <c r="I24" i="24"/>
  <c r="J24" i="24"/>
  <c r="E19" i="25" s="1"/>
  <c r="L24" i="24"/>
  <c r="M24" i="24"/>
  <c r="H19" i="25" s="1"/>
  <c r="N24" i="24"/>
  <c r="I19" i="25" s="1"/>
  <c r="P24" i="24"/>
  <c r="K19" i="25" s="1"/>
  <c r="Q24" i="24"/>
  <c r="L19" i="25" s="1"/>
  <c r="R24" i="24"/>
  <c r="M19" i="25" s="1"/>
  <c r="H25" i="24"/>
  <c r="C20" i="25" s="1"/>
  <c r="I25" i="24"/>
  <c r="J25" i="24"/>
  <c r="L25" i="24"/>
  <c r="M25" i="24"/>
  <c r="N25" i="24"/>
  <c r="P25" i="24"/>
  <c r="Q25" i="24"/>
  <c r="L20" i="25" s="1"/>
  <c r="R25" i="24"/>
  <c r="M20" i="25" s="1"/>
  <c r="N20" i="25" s="1"/>
  <c r="H26" i="24"/>
  <c r="I26" i="24"/>
  <c r="J26" i="24"/>
  <c r="L26" i="24"/>
  <c r="M26" i="24"/>
  <c r="N26" i="24"/>
  <c r="P26" i="24"/>
  <c r="K21" i="25" s="1"/>
  <c r="Q26" i="24"/>
  <c r="L21" i="25" s="1"/>
  <c r="R26" i="24"/>
  <c r="M21" i="25" s="1"/>
  <c r="H27" i="24"/>
  <c r="C22" i="25" s="1"/>
  <c r="I27" i="24"/>
  <c r="D22" i="25" s="1"/>
  <c r="J27" i="24"/>
  <c r="E22" i="25" s="1"/>
  <c r="L27" i="24"/>
  <c r="G22" i="25" s="1"/>
  <c r="M27" i="24"/>
  <c r="N27" i="24"/>
  <c r="P27" i="24"/>
  <c r="Q27" i="24"/>
  <c r="L22" i="25" s="1"/>
  <c r="R27" i="24"/>
  <c r="M22" i="25" s="1"/>
  <c r="H28" i="24"/>
  <c r="I28" i="24"/>
  <c r="J28" i="24"/>
  <c r="E23" i="25" s="1"/>
  <c r="L28" i="24"/>
  <c r="M28" i="24"/>
  <c r="H23" i="25" s="1"/>
  <c r="N28" i="24"/>
  <c r="I23" i="25" s="1"/>
  <c r="P28" i="24"/>
  <c r="K23" i="25" s="1"/>
  <c r="Q28" i="24"/>
  <c r="L23" i="25" s="1"/>
  <c r="R28" i="24"/>
  <c r="M23" i="25" s="1"/>
  <c r="H29" i="24"/>
  <c r="C24" i="25" s="1"/>
  <c r="I29" i="24"/>
  <c r="J29" i="24"/>
  <c r="L29" i="24"/>
  <c r="M29" i="24"/>
  <c r="N29" i="24"/>
  <c r="P29" i="24"/>
  <c r="Q29" i="24"/>
  <c r="L24" i="25" s="1"/>
  <c r="R29" i="24"/>
  <c r="M24" i="25" s="1"/>
  <c r="N24" i="25" s="1"/>
  <c r="H30" i="24"/>
  <c r="I30" i="24"/>
  <c r="J30" i="24"/>
  <c r="L30" i="24"/>
  <c r="M30" i="24"/>
  <c r="N30" i="24"/>
  <c r="P30" i="24"/>
  <c r="K25" i="25" s="1"/>
  <c r="Q30" i="24"/>
  <c r="L25" i="25" s="1"/>
  <c r="R30" i="24"/>
  <c r="M25" i="25" s="1"/>
  <c r="H31" i="24"/>
  <c r="I31" i="24"/>
  <c r="J31" i="24"/>
  <c r="L31" i="24"/>
  <c r="M31" i="24"/>
  <c r="N31" i="24"/>
  <c r="P31" i="24"/>
  <c r="BD31" i="24" s="1"/>
  <c r="Q31" i="24"/>
  <c r="R31" i="24"/>
  <c r="H32" i="24"/>
  <c r="I32" i="24"/>
  <c r="J32" i="24"/>
  <c r="E4" i="25" s="1"/>
  <c r="L32" i="24"/>
  <c r="M32" i="24"/>
  <c r="H4" i="25" s="1"/>
  <c r="N32" i="24"/>
  <c r="I4" i="25" s="1"/>
  <c r="P32" i="24"/>
  <c r="K4" i="25" s="1"/>
  <c r="Q32" i="24"/>
  <c r="L4" i="25" s="1"/>
  <c r="R32" i="24"/>
  <c r="M4" i="25" s="1"/>
  <c r="H33" i="24"/>
  <c r="C5" i="25" s="1"/>
  <c r="I33" i="24"/>
  <c r="J33" i="24"/>
  <c r="L33" i="24"/>
  <c r="M33" i="24"/>
  <c r="N33" i="24"/>
  <c r="P33" i="24"/>
  <c r="Q33" i="24"/>
  <c r="L5" i="25" s="1"/>
  <c r="R33" i="24"/>
  <c r="M5" i="25" s="1"/>
  <c r="N5" i="25" s="1"/>
  <c r="H34" i="24"/>
  <c r="I34" i="24"/>
  <c r="J34" i="24"/>
  <c r="L34" i="24"/>
  <c r="M34" i="24"/>
  <c r="N34" i="24"/>
  <c r="P34" i="24"/>
  <c r="Q34" i="24"/>
  <c r="R34" i="24"/>
  <c r="H35" i="24"/>
  <c r="I35" i="24"/>
  <c r="J35" i="24"/>
  <c r="L35" i="24"/>
  <c r="M35" i="24"/>
  <c r="N35" i="24"/>
  <c r="P35" i="24"/>
  <c r="BD35" i="24" s="1"/>
  <c r="Q35" i="24"/>
  <c r="R35" i="24"/>
  <c r="H36" i="24"/>
  <c r="I36" i="24"/>
  <c r="J36" i="24"/>
  <c r="L36" i="24"/>
  <c r="M36" i="24"/>
  <c r="N36" i="24"/>
  <c r="P36" i="24"/>
  <c r="Q36" i="24"/>
  <c r="R36" i="24"/>
  <c r="H37" i="24"/>
  <c r="I37" i="24"/>
  <c r="J37" i="24"/>
  <c r="L37" i="24"/>
  <c r="M37" i="24"/>
  <c r="N37" i="24"/>
  <c r="P37" i="24"/>
  <c r="BD37" i="24" s="1"/>
  <c r="Q37" i="24"/>
  <c r="R37" i="24"/>
  <c r="H38" i="24"/>
  <c r="I38" i="24"/>
  <c r="J38" i="24"/>
  <c r="L38" i="24"/>
  <c r="M38" i="24"/>
  <c r="N38" i="24"/>
  <c r="P38" i="24"/>
  <c r="Q38" i="24"/>
  <c r="R38" i="24"/>
  <c r="H39" i="24"/>
  <c r="I39" i="24"/>
  <c r="J39" i="24"/>
  <c r="L39" i="24"/>
  <c r="M39" i="24"/>
  <c r="N39" i="24"/>
  <c r="P39" i="24"/>
  <c r="Q39" i="24"/>
  <c r="R39" i="24"/>
  <c r="H40" i="24"/>
  <c r="I40" i="24"/>
  <c r="J40" i="24"/>
  <c r="E7" i="25" s="1"/>
  <c r="L40" i="24"/>
  <c r="M40" i="24"/>
  <c r="H7" i="25" s="1"/>
  <c r="N40" i="24"/>
  <c r="I7" i="25" s="1"/>
  <c r="P40" i="24"/>
  <c r="K7" i="25" s="1"/>
  <c r="Q40" i="24"/>
  <c r="L7" i="25" s="1"/>
  <c r="R40" i="24"/>
  <c r="M7" i="25" s="1"/>
  <c r="H41" i="24"/>
  <c r="C26" i="25" s="1"/>
  <c r="I41" i="24"/>
  <c r="J41" i="24"/>
  <c r="L41" i="24"/>
  <c r="M41" i="24"/>
  <c r="N41" i="24"/>
  <c r="P41" i="24"/>
  <c r="Q41" i="24"/>
  <c r="L26" i="25" s="1"/>
  <c r="R41" i="24"/>
  <c r="M26" i="25" s="1"/>
  <c r="N26" i="25" s="1"/>
  <c r="H42" i="24"/>
  <c r="I42" i="24"/>
  <c r="J42" i="24"/>
  <c r="L42" i="24"/>
  <c r="M42" i="24"/>
  <c r="N42" i="24"/>
  <c r="P42" i="24"/>
  <c r="K27" i="25" s="1"/>
  <c r="Q42" i="24"/>
  <c r="L27" i="25" s="1"/>
  <c r="R42" i="24"/>
  <c r="H43" i="24"/>
  <c r="I43" i="24"/>
  <c r="J43" i="24"/>
  <c r="L43" i="24"/>
  <c r="M43" i="24"/>
  <c r="N43" i="24"/>
  <c r="P43" i="24"/>
  <c r="BD43" i="24" s="1"/>
  <c r="Q43" i="24"/>
  <c r="R43" i="24"/>
  <c r="H44" i="24"/>
  <c r="I44" i="24"/>
  <c r="J44" i="24"/>
  <c r="L44" i="24"/>
  <c r="M44" i="24"/>
  <c r="N44" i="24"/>
  <c r="P44" i="24"/>
  <c r="Q44" i="24"/>
  <c r="R44" i="24"/>
  <c r="H45" i="24"/>
  <c r="I45" i="24"/>
  <c r="J45" i="24"/>
  <c r="L45" i="24"/>
  <c r="M45" i="24"/>
  <c r="N45" i="24"/>
  <c r="P45" i="24"/>
  <c r="BD45" i="24" s="1"/>
  <c r="Q45" i="24"/>
  <c r="R45" i="24"/>
  <c r="H46" i="24"/>
  <c r="I46" i="24"/>
  <c r="J46" i="24"/>
  <c r="L46" i="24"/>
  <c r="M46" i="24"/>
  <c r="N46" i="24"/>
  <c r="P46" i="24"/>
  <c r="Q46" i="24"/>
  <c r="R46" i="24"/>
  <c r="H47" i="24"/>
  <c r="I47" i="24"/>
  <c r="J47" i="24"/>
  <c r="L47" i="24"/>
  <c r="M47" i="24"/>
  <c r="N47" i="24"/>
  <c r="P47" i="24"/>
  <c r="BD47" i="24" s="1"/>
  <c r="Q47" i="24"/>
  <c r="R47" i="24"/>
  <c r="H48" i="24"/>
  <c r="I48" i="24"/>
  <c r="J48" i="24"/>
  <c r="L48" i="24"/>
  <c r="M48" i="24"/>
  <c r="N48" i="24"/>
  <c r="P48" i="24"/>
  <c r="Q48" i="24"/>
  <c r="R48" i="24"/>
  <c r="H49" i="24"/>
  <c r="C12" i="25" s="1"/>
  <c r="I49" i="24"/>
  <c r="J49" i="24"/>
  <c r="E12" i="25" s="1"/>
  <c r="L49" i="24"/>
  <c r="M49" i="24"/>
  <c r="N49" i="24"/>
  <c r="P49" i="24"/>
  <c r="Q49" i="24"/>
  <c r="L12" i="25" s="1"/>
  <c r="R49" i="24"/>
  <c r="M12" i="25" s="1"/>
  <c r="H50" i="24"/>
  <c r="I50" i="24"/>
  <c r="J50" i="24"/>
  <c r="L50" i="24"/>
  <c r="M50" i="24"/>
  <c r="N50" i="24"/>
  <c r="P50" i="24"/>
  <c r="Q50" i="24"/>
  <c r="R50" i="24"/>
  <c r="H51" i="24"/>
  <c r="I51" i="24"/>
  <c r="J51" i="24"/>
  <c r="L51" i="24"/>
  <c r="M51" i="24"/>
  <c r="N51" i="24"/>
  <c r="P51" i="24"/>
  <c r="BD51" i="24" s="1"/>
  <c r="Q51" i="24"/>
  <c r="R51" i="24"/>
  <c r="H52" i="24"/>
  <c r="I52" i="24"/>
  <c r="J52" i="24"/>
  <c r="E6" i="25" s="1"/>
  <c r="L52" i="24"/>
  <c r="M52" i="24"/>
  <c r="H6" i="25" s="1"/>
  <c r="N52" i="24"/>
  <c r="I6" i="25" s="1"/>
  <c r="P52" i="24"/>
  <c r="K6" i="25" s="1"/>
  <c r="Q52" i="24"/>
  <c r="L6" i="25" s="1"/>
  <c r="R52" i="24"/>
  <c r="M6" i="25" s="1"/>
  <c r="H53" i="24"/>
  <c r="I53" i="24"/>
  <c r="J53" i="24"/>
  <c r="L53" i="24"/>
  <c r="M53" i="24"/>
  <c r="N53" i="24"/>
  <c r="P53" i="24"/>
  <c r="BD53" i="24" s="1"/>
  <c r="Q53" i="24"/>
  <c r="R53" i="24"/>
  <c r="H54" i="24"/>
  <c r="I54" i="24"/>
  <c r="J54" i="24"/>
  <c r="L54" i="24"/>
  <c r="M54" i="24"/>
  <c r="N54" i="24"/>
  <c r="P54" i="24"/>
  <c r="Q54" i="24"/>
  <c r="R54" i="24"/>
  <c r="H55" i="24"/>
  <c r="I55" i="24"/>
  <c r="J55" i="24"/>
  <c r="L55" i="24"/>
  <c r="M55" i="24"/>
  <c r="N55" i="24"/>
  <c r="P55" i="24"/>
  <c r="BD55" i="24" s="1"/>
  <c r="Q55" i="24"/>
  <c r="R55" i="24"/>
  <c r="H56" i="24"/>
  <c r="I56" i="24"/>
  <c r="J56" i="24"/>
  <c r="L56" i="24"/>
  <c r="M56" i="24"/>
  <c r="N56" i="24"/>
  <c r="P56" i="24"/>
  <c r="Q56" i="24"/>
  <c r="R56" i="24"/>
  <c r="H57" i="24"/>
  <c r="I57" i="24"/>
  <c r="J57" i="24"/>
  <c r="L57" i="24"/>
  <c r="M57" i="24"/>
  <c r="N57" i="24"/>
  <c r="P57" i="24"/>
  <c r="BD57" i="24" s="1"/>
  <c r="Q57" i="24"/>
  <c r="R57" i="24"/>
  <c r="H58" i="24"/>
  <c r="I58" i="24"/>
  <c r="J58" i="24"/>
  <c r="L58" i="24"/>
  <c r="M58" i="24"/>
  <c r="N58" i="24"/>
  <c r="P58" i="24"/>
  <c r="Q58" i="24"/>
  <c r="R58" i="24"/>
  <c r="H59" i="24"/>
  <c r="C11" i="25" s="1"/>
  <c r="I59" i="24"/>
  <c r="D11" i="25" s="1"/>
  <c r="J59" i="24"/>
  <c r="E11" i="25" s="1"/>
  <c r="L59" i="24"/>
  <c r="G11" i="25" s="1"/>
  <c r="M59" i="24"/>
  <c r="N59" i="24"/>
  <c r="P59" i="24"/>
  <c r="Q59" i="24"/>
  <c r="L11" i="25" s="1"/>
  <c r="R59" i="24"/>
  <c r="H60" i="24"/>
  <c r="I60" i="24"/>
  <c r="J60" i="24"/>
  <c r="E3" i="25" s="1"/>
  <c r="L60" i="24"/>
  <c r="M60" i="24"/>
  <c r="H3" i="25" s="1"/>
  <c r="N60" i="24"/>
  <c r="I3" i="25" s="1"/>
  <c r="P60" i="24"/>
  <c r="K3" i="25" s="1"/>
  <c r="Q60" i="24"/>
  <c r="L3" i="25" s="1"/>
  <c r="R60" i="24"/>
  <c r="M3" i="25" s="1"/>
  <c r="H61" i="24"/>
  <c r="I61" i="24"/>
  <c r="J61" i="24"/>
  <c r="L61" i="24"/>
  <c r="M61" i="24"/>
  <c r="N61" i="24"/>
  <c r="P61" i="24"/>
  <c r="BD61" i="24" s="1"/>
  <c r="Q61" i="24"/>
  <c r="R61" i="24"/>
  <c r="H62" i="24"/>
  <c r="I62" i="24"/>
  <c r="J62" i="24"/>
  <c r="L62" i="24"/>
  <c r="M62" i="24"/>
  <c r="N62" i="24"/>
  <c r="P62" i="24"/>
  <c r="Q62" i="24"/>
  <c r="R62" i="24"/>
  <c r="H63" i="24"/>
  <c r="I63" i="24"/>
  <c r="J63" i="24"/>
  <c r="L63" i="24"/>
  <c r="M63" i="24"/>
  <c r="N63" i="24"/>
  <c r="P63" i="24"/>
  <c r="BD63" i="24" s="1"/>
  <c r="Q63" i="24"/>
  <c r="R63" i="24"/>
  <c r="BF63" i="24" s="1"/>
  <c r="H64" i="24"/>
  <c r="I64" i="24"/>
  <c r="J64" i="24"/>
  <c r="L64" i="24"/>
  <c r="M64" i="24"/>
  <c r="N64" i="24"/>
  <c r="P64" i="24"/>
  <c r="Q64" i="24"/>
  <c r="R64" i="24"/>
  <c r="H65" i="24"/>
  <c r="I65" i="24"/>
  <c r="J65" i="24"/>
  <c r="L65" i="24"/>
  <c r="M65" i="24"/>
  <c r="N65" i="24"/>
  <c r="P65" i="24"/>
  <c r="BD65" i="24" s="1"/>
  <c r="Q65" i="24"/>
  <c r="R65" i="24"/>
  <c r="H66" i="24"/>
  <c r="I66" i="24"/>
  <c r="J66" i="24"/>
  <c r="L66" i="24"/>
  <c r="M66" i="24"/>
  <c r="N66" i="24"/>
  <c r="P66" i="24"/>
  <c r="Q66" i="24"/>
  <c r="R66" i="24"/>
  <c r="H67" i="24"/>
  <c r="I67" i="24"/>
  <c r="J67" i="24"/>
  <c r="L67" i="24"/>
  <c r="M67" i="24"/>
  <c r="N67" i="24"/>
  <c r="P67" i="24"/>
  <c r="BD67" i="24" s="1"/>
  <c r="Q67" i="24"/>
  <c r="R67" i="24"/>
  <c r="BF67" i="24" s="1"/>
  <c r="H68" i="24"/>
  <c r="I68" i="24"/>
  <c r="J68" i="24"/>
  <c r="L68" i="24"/>
  <c r="M68" i="24"/>
  <c r="N68" i="24"/>
  <c r="P68" i="24"/>
  <c r="Q68" i="24"/>
  <c r="R68" i="24"/>
  <c r="H69" i="24"/>
  <c r="I69" i="24"/>
  <c r="J69" i="24"/>
  <c r="L69" i="24"/>
  <c r="M69" i="24"/>
  <c r="N69" i="24"/>
  <c r="P69" i="24"/>
  <c r="BD69" i="24" s="1"/>
  <c r="Q69" i="24"/>
  <c r="R69" i="24"/>
  <c r="H70" i="24"/>
  <c r="I70" i="24"/>
  <c r="J70" i="24"/>
  <c r="L70" i="24"/>
  <c r="M70" i="24"/>
  <c r="N70" i="24"/>
  <c r="P70" i="24"/>
  <c r="Q70" i="24"/>
  <c r="R70" i="24"/>
  <c r="H71" i="24"/>
  <c r="I71" i="24"/>
  <c r="J71" i="24"/>
  <c r="L71" i="24"/>
  <c r="M71" i="24"/>
  <c r="N71" i="24"/>
  <c r="P71" i="24"/>
  <c r="BD71" i="24" s="1"/>
  <c r="Q71" i="24"/>
  <c r="R71" i="24"/>
  <c r="BF71" i="24" s="1"/>
  <c r="H72" i="24"/>
  <c r="I72" i="24"/>
  <c r="J72" i="24"/>
  <c r="L72" i="24"/>
  <c r="M72" i="24"/>
  <c r="N72" i="24"/>
  <c r="P72" i="24"/>
  <c r="Q72" i="24"/>
  <c r="R72" i="24"/>
  <c r="H73" i="24"/>
  <c r="I73" i="24"/>
  <c r="J73" i="24"/>
  <c r="L73" i="24"/>
  <c r="M73" i="24"/>
  <c r="N73" i="24"/>
  <c r="P73" i="24"/>
  <c r="BD73" i="24" s="1"/>
  <c r="Q73" i="24"/>
  <c r="R73" i="24"/>
  <c r="H74" i="24"/>
  <c r="I74" i="24"/>
  <c r="AU74" i="24" s="1"/>
  <c r="J74" i="24"/>
  <c r="L74" i="24"/>
  <c r="M74" i="24"/>
  <c r="N74" i="24"/>
  <c r="P74" i="24"/>
  <c r="Q74" i="24"/>
  <c r="R74" i="24"/>
  <c r="H75" i="24"/>
  <c r="I75" i="24"/>
  <c r="J75" i="24"/>
  <c r="L75" i="24"/>
  <c r="M75" i="24"/>
  <c r="N75" i="24"/>
  <c r="P75" i="24"/>
  <c r="BD75" i="24" s="1"/>
  <c r="Q75" i="24"/>
  <c r="R75" i="24"/>
  <c r="BF75" i="24" s="1"/>
  <c r="S1" i="24"/>
  <c r="R1" i="24"/>
  <c r="N1" i="24"/>
  <c r="O1" i="24"/>
  <c r="P1" i="24"/>
  <c r="Q1" i="24"/>
  <c r="I1" i="24"/>
  <c r="J1" i="24"/>
  <c r="K1" i="24"/>
  <c r="L1" i="24"/>
  <c r="M1" i="24"/>
  <c r="H1" i="24"/>
  <c r="CD16" i="19"/>
  <c r="BX16" i="19"/>
  <c r="BR16" i="19"/>
  <c r="CB2" i="19"/>
  <c r="CC16" i="19"/>
  <c r="CA2" i="19"/>
  <c r="BW16" i="19"/>
  <c r="BZ2" i="19"/>
  <c r="BQ16" i="19"/>
  <c r="BS16" i="19" s="1"/>
  <c r="F2" i="19"/>
  <c r="BA73" i="24" l="1"/>
  <c r="U10" i="25"/>
  <c r="U32" i="25"/>
  <c r="U14" i="25"/>
  <c r="V11" i="25"/>
  <c r="V12" i="25"/>
  <c r="U9" i="25"/>
  <c r="BA37" i="24"/>
  <c r="V6" i="25"/>
  <c r="BA69" i="24"/>
  <c r="BA61" i="24"/>
  <c r="BA57" i="24"/>
  <c r="BA13" i="24"/>
  <c r="V7" i="25"/>
  <c r="BA65" i="24"/>
  <c r="BA53" i="24"/>
  <c r="BA45" i="24"/>
  <c r="BA17" i="24"/>
  <c r="BA9" i="24"/>
  <c r="BA5" i="24"/>
  <c r="T41" i="25"/>
  <c r="V41" i="25" s="1"/>
  <c r="V26" i="25"/>
  <c r="T39" i="25"/>
  <c r="V39" i="25" s="1"/>
  <c r="V24" i="25"/>
  <c r="T35" i="25"/>
  <c r="V35" i="25" s="1"/>
  <c r="V20" i="25"/>
  <c r="V17" i="25"/>
  <c r="T14" i="25"/>
  <c r="V14" i="25" s="1"/>
  <c r="T32" i="25"/>
  <c r="AZ75" i="24"/>
  <c r="AZ71" i="24"/>
  <c r="T37" i="25"/>
  <c r="V37" i="25" s="1"/>
  <c r="V22" i="25"/>
  <c r="T10" i="25"/>
  <c r="V5" i="25"/>
  <c r="T42" i="25"/>
  <c r="V42" i="25" s="1"/>
  <c r="V27" i="25"/>
  <c r="V4" i="25"/>
  <c r="T9" i="25"/>
  <c r="T40" i="25"/>
  <c r="V40" i="25" s="1"/>
  <c r="V25" i="25"/>
  <c r="V23" i="25"/>
  <c r="T38" i="25"/>
  <c r="V38" i="25" s="1"/>
  <c r="T36" i="25"/>
  <c r="V36" i="25" s="1"/>
  <c r="V21" i="25"/>
  <c r="T34" i="25"/>
  <c r="V34" i="25" s="1"/>
  <c r="V19" i="25"/>
  <c r="T33" i="25"/>
  <c r="V33" i="25" s="1"/>
  <c r="V18" i="25"/>
  <c r="V3" i="25"/>
  <c r="T13" i="25"/>
  <c r="V13" i="25" s="1"/>
  <c r="AV17" i="24"/>
  <c r="AV13" i="24"/>
  <c r="AV9" i="24"/>
  <c r="AV5" i="24"/>
  <c r="AV73" i="24"/>
  <c r="AV61" i="24"/>
  <c r="AV53" i="24"/>
  <c r="AV37" i="24"/>
  <c r="AV69" i="24"/>
  <c r="AV57" i="24"/>
  <c r="AV45" i="24"/>
  <c r="AU70" i="24"/>
  <c r="N12" i="25"/>
  <c r="S34" i="24"/>
  <c r="N25" i="25"/>
  <c r="N21" i="25"/>
  <c r="N18" i="25"/>
  <c r="N22" i="25"/>
  <c r="N3" i="25"/>
  <c r="N6" i="25"/>
  <c r="N7" i="25"/>
  <c r="N4" i="25"/>
  <c r="N23" i="25"/>
  <c r="N19" i="25"/>
  <c r="O10" i="25"/>
  <c r="P10" i="25"/>
  <c r="J3" i="25"/>
  <c r="F11" i="25"/>
  <c r="J6" i="25"/>
  <c r="J7" i="25"/>
  <c r="J4" i="25"/>
  <c r="J23" i="25"/>
  <c r="F22" i="25"/>
  <c r="BD49" i="24"/>
  <c r="K12" i="25"/>
  <c r="BD29" i="24"/>
  <c r="K24" i="25"/>
  <c r="O32" i="25"/>
  <c r="O14" i="25"/>
  <c r="Q6" i="25"/>
  <c r="P9" i="25"/>
  <c r="Q7" i="25"/>
  <c r="S40" i="25"/>
  <c r="Q25" i="25"/>
  <c r="S36" i="25"/>
  <c r="Q21" i="25"/>
  <c r="O9" i="25"/>
  <c r="Q19" i="25"/>
  <c r="S34" i="25"/>
  <c r="BF59" i="24"/>
  <c r="M11" i="25"/>
  <c r="N11" i="25" s="1"/>
  <c r="AY70" i="24"/>
  <c r="BD59" i="24"/>
  <c r="K11" i="25"/>
  <c r="W11" i="25" s="1"/>
  <c r="BD27" i="24"/>
  <c r="K22" i="25"/>
  <c r="Q3" i="25"/>
  <c r="Q27" i="25"/>
  <c r="S42" i="25"/>
  <c r="S38" i="25"/>
  <c r="Q23" i="25"/>
  <c r="AV74" i="24"/>
  <c r="AW74" i="24" s="1"/>
  <c r="AV70" i="24"/>
  <c r="BD41" i="24"/>
  <c r="K26" i="25"/>
  <c r="BD33" i="24"/>
  <c r="K5" i="25"/>
  <c r="BD25" i="24"/>
  <c r="K20" i="25"/>
  <c r="BD21" i="24"/>
  <c r="K17" i="25"/>
  <c r="K32" i="25" s="1"/>
  <c r="Q18" i="25"/>
  <c r="S33" i="25"/>
  <c r="Q4" i="25"/>
  <c r="S9" i="25"/>
  <c r="Q11" i="25"/>
  <c r="R11" i="25" s="1"/>
  <c r="Q12" i="25"/>
  <c r="R12" i="25" s="1"/>
  <c r="S41" i="25"/>
  <c r="Q26" i="25"/>
  <c r="Q5" i="25"/>
  <c r="R5" i="25" s="1"/>
  <c r="Q24" i="25"/>
  <c r="S39" i="25"/>
  <c r="Q22" i="25"/>
  <c r="S37" i="25"/>
  <c r="Q20" i="25"/>
  <c r="S35" i="25"/>
  <c r="S32" i="25"/>
  <c r="Q17" i="25"/>
  <c r="AA63" i="24"/>
  <c r="AA61" i="24"/>
  <c r="AA59" i="24"/>
  <c r="AA57" i="24"/>
  <c r="AA55" i="24"/>
  <c r="AA53" i="24"/>
  <c r="AA51" i="24"/>
  <c r="AA49" i="24"/>
  <c r="AA47" i="24"/>
  <c r="AA45" i="24"/>
  <c r="AZ67" i="24"/>
  <c r="AZ63" i="24"/>
  <c r="AZ51" i="24"/>
  <c r="AZ47" i="24"/>
  <c r="AZ43" i="24"/>
  <c r="AZ35" i="24"/>
  <c r="AZ31" i="24"/>
  <c r="AZ23" i="24"/>
  <c r="AZ19" i="24"/>
  <c r="AZ15" i="24"/>
  <c r="AZ11" i="24"/>
  <c r="AZ7" i="24"/>
  <c r="AZ3" i="24"/>
  <c r="AZ55" i="24"/>
  <c r="AY74" i="24"/>
  <c r="AY66" i="24"/>
  <c r="AY62" i="24"/>
  <c r="AY58" i="24"/>
  <c r="AY54" i="24"/>
  <c r="AY50" i="24"/>
  <c r="AY38" i="24"/>
  <c r="AY18" i="24"/>
  <c r="AY14" i="24"/>
  <c r="AY10" i="24"/>
  <c r="AY6" i="24"/>
  <c r="AY2" i="24"/>
  <c r="AY46" i="24"/>
  <c r="AZ73" i="24"/>
  <c r="AZ69" i="24"/>
  <c r="AZ65" i="24"/>
  <c r="AZ61" i="24"/>
  <c r="AZ57" i="24"/>
  <c r="AZ53" i="24"/>
  <c r="AZ45" i="24"/>
  <c r="AZ37" i="24"/>
  <c r="AZ17" i="24"/>
  <c r="AZ13" i="24"/>
  <c r="AZ9" i="24"/>
  <c r="AZ5" i="24"/>
  <c r="AY73" i="24"/>
  <c r="AT72" i="24"/>
  <c r="AY69" i="24"/>
  <c r="AY65" i="24"/>
  <c r="AY61" i="24"/>
  <c r="AY57" i="24"/>
  <c r="AY53" i="24"/>
  <c r="AT48" i="24"/>
  <c r="AY45" i="24"/>
  <c r="AT44" i="24"/>
  <c r="AY37" i="24"/>
  <c r="AT36" i="24"/>
  <c r="AT20" i="24"/>
  <c r="AY17" i="24"/>
  <c r="AT16" i="24"/>
  <c r="AY13" i="24"/>
  <c r="AT12" i="24"/>
  <c r="AY9" i="24"/>
  <c r="AT8" i="24"/>
  <c r="AT4" i="24"/>
  <c r="BA74" i="24"/>
  <c r="AU69" i="24"/>
  <c r="AU61" i="24"/>
  <c r="AU53" i="24"/>
  <c r="AU45" i="24"/>
  <c r="AU37" i="24"/>
  <c r="AU17" i="24"/>
  <c r="AU13" i="24"/>
  <c r="AU9" i="24"/>
  <c r="AU5" i="24"/>
  <c r="AU65" i="24"/>
  <c r="AU57" i="24"/>
  <c r="AV66" i="24"/>
  <c r="AV62" i="24"/>
  <c r="AV58" i="24"/>
  <c r="AV54" i="24"/>
  <c r="AV50" i="24"/>
  <c r="AV46" i="24"/>
  <c r="AV38" i="24"/>
  <c r="AV18" i="24"/>
  <c r="AV14" i="24"/>
  <c r="AV10" i="24"/>
  <c r="AV6" i="24"/>
  <c r="AV2" i="24"/>
  <c r="AU62" i="24"/>
  <c r="AU58" i="24"/>
  <c r="AU54" i="24"/>
  <c r="AU50" i="24"/>
  <c r="AU38" i="24"/>
  <c r="AU18" i="24"/>
  <c r="AU14" i="24"/>
  <c r="AU10" i="24"/>
  <c r="AU6" i="24"/>
  <c r="AU2" i="24"/>
  <c r="BA70" i="24"/>
  <c r="BA66" i="24"/>
  <c r="BA62" i="24"/>
  <c r="AU73" i="24"/>
  <c r="AU46" i="24"/>
  <c r="AT74" i="24"/>
  <c r="AT70" i="24"/>
  <c r="AT62" i="24"/>
  <c r="AT54" i="24"/>
  <c r="AT50" i="24"/>
  <c r="AT46" i="24"/>
  <c r="AT38" i="24"/>
  <c r="AT18" i="24"/>
  <c r="AT14" i="24"/>
  <c r="AT10" i="24"/>
  <c r="AT6" i="24"/>
  <c r="AT2" i="24"/>
  <c r="W69" i="24"/>
  <c r="W67" i="24"/>
  <c r="W65" i="24"/>
  <c r="W63" i="24"/>
  <c r="W61" i="24"/>
  <c r="W59" i="24"/>
  <c r="AT68" i="24"/>
  <c r="AT64" i="24"/>
  <c r="AT56" i="24"/>
  <c r="AU66" i="24"/>
  <c r="AT66" i="24"/>
  <c r="AT58" i="24"/>
  <c r="BA58" i="24"/>
  <c r="BF55" i="24"/>
  <c r="BA54" i="24"/>
  <c r="BF51" i="24"/>
  <c r="BA50" i="24"/>
  <c r="BF47" i="24"/>
  <c r="BA46" i="24"/>
  <c r="BF43" i="24"/>
  <c r="BA38" i="24"/>
  <c r="BF35" i="24"/>
  <c r="BF31" i="24"/>
  <c r="BF27" i="24"/>
  <c r="M37" i="25" s="1"/>
  <c r="BF23" i="24"/>
  <c r="BF19" i="24"/>
  <c r="BA18" i="24"/>
  <c r="BF15" i="24"/>
  <c r="BA14" i="24"/>
  <c r="BF11" i="24"/>
  <c r="BA10" i="24"/>
  <c r="BF7" i="24"/>
  <c r="BA6" i="24"/>
  <c r="BF3" i="24"/>
  <c r="BA2" i="24"/>
  <c r="BE75" i="24"/>
  <c r="BG75" i="24" s="1"/>
  <c r="AZ74" i="24"/>
  <c r="BE71" i="24"/>
  <c r="BG71" i="24" s="1"/>
  <c r="AZ70" i="24"/>
  <c r="BE67" i="24"/>
  <c r="BG67" i="24" s="1"/>
  <c r="AZ66" i="24"/>
  <c r="BE63" i="24"/>
  <c r="BG63" i="24" s="1"/>
  <c r="AZ62" i="24"/>
  <c r="BE59" i="24"/>
  <c r="AZ58" i="24"/>
  <c r="BE55" i="24"/>
  <c r="AZ54" i="24"/>
  <c r="BE51" i="24"/>
  <c r="AZ50" i="24"/>
  <c r="BE47" i="24"/>
  <c r="AZ46" i="24"/>
  <c r="BE43" i="24"/>
  <c r="AZ38" i="24"/>
  <c r="BE35" i="24"/>
  <c r="BE31" i="24"/>
  <c r="BE27" i="24"/>
  <c r="L37" i="25" s="1"/>
  <c r="BE23" i="24"/>
  <c r="BE19" i="24"/>
  <c r="AZ18" i="24"/>
  <c r="BE15" i="24"/>
  <c r="AZ14" i="24"/>
  <c r="BE11" i="24"/>
  <c r="AZ10" i="24"/>
  <c r="BE7" i="24"/>
  <c r="AZ6" i="24"/>
  <c r="BE3" i="24"/>
  <c r="AZ2" i="24"/>
  <c r="BF69" i="24"/>
  <c r="BF65" i="24"/>
  <c r="BF61" i="24"/>
  <c r="BF57" i="24"/>
  <c r="BF53" i="24"/>
  <c r="BF49" i="24"/>
  <c r="BF45" i="24"/>
  <c r="BF41" i="24"/>
  <c r="M41" i="25" s="1"/>
  <c r="BF37" i="24"/>
  <c r="BF33" i="24"/>
  <c r="BF29" i="24"/>
  <c r="BF25" i="24"/>
  <c r="M35" i="25" s="1"/>
  <c r="BF21" i="24"/>
  <c r="BF17" i="24"/>
  <c r="BF13" i="24"/>
  <c r="BF9" i="24"/>
  <c r="BF5" i="24"/>
  <c r="BE73" i="24"/>
  <c r="BE69" i="24"/>
  <c r="BE65" i="24"/>
  <c r="BE61" i="24"/>
  <c r="BE57" i="24"/>
  <c r="BE53" i="24"/>
  <c r="BE49" i="24"/>
  <c r="BE45" i="24"/>
  <c r="BE41" i="24"/>
  <c r="L41" i="25" s="1"/>
  <c r="BE37" i="24"/>
  <c r="BE33" i="24"/>
  <c r="BE29" i="24"/>
  <c r="L39" i="25" s="1"/>
  <c r="BE25" i="24"/>
  <c r="L35" i="25" s="1"/>
  <c r="BE21" i="24"/>
  <c r="L32" i="25" s="1"/>
  <c r="BE17" i="24"/>
  <c r="BE13" i="24"/>
  <c r="BE9" i="24"/>
  <c r="BE5" i="24"/>
  <c r="BF73" i="24"/>
  <c r="AY44" i="24"/>
  <c r="AY36" i="24"/>
  <c r="AY20" i="24"/>
  <c r="AY16" i="24"/>
  <c r="AY12" i="24"/>
  <c r="AY8" i="24"/>
  <c r="AY4" i="24"/>
  <c r="AV72" i="24"/>
  <c r="AY72" i="24"/>
  <c r="AV68" i="24"/>
  <c r="AU72" i="24"/>
  <c r="AU68" i="24"/>
  <c r="AU64" i="24"/>
  <c r="AU56" i="24"/>
  <c r="AU48" i="24"/>
  <c r="AU44" i="24"/>
  <c r="AU36" i="24"/>
  <c r="AU20" i="24"/>
  <c r="AU16" i="24"/>
  <c r="AU12" i="24"/>
  <c r="AU8" i="24"/>
  <c r="AU4" i="24"/>
  <c r="BD74" i="24"/>
  <c r="BD70" i="24"/>
  <c r="BD66" i="24"/>
  <c r="BD62" i="24"/>
  <c r="BD58" i="24"/>
  <c r="BD54" i="24"/>
  <c r="BD50" i="24"/>
  <c r="BD46" i="24"/>
  <c r="BD42" i="24"/>
  <c r="K42" i="25" s="1"/>
  <c r="BD38" i="24"/>
  <c r="BD30" i="24"/>
  <c r="K40" i="25" s="1"/>
  <c r="BD26" i="24"/>
  <c r="K36" i="25" s="1"/>
  <c r="BD22" i="24"/>
  <c r="K33" i="25" s="1"/>
  <c r="BD18" i="24"/>
  <c r="BD14" i="24"/>
  <c r="BD10" i="24"/>
  <c r="BD2" i="24"/>
  <c r="BA49" i="24"/>
  <c r="I12" i="25"/>
  <c r="BA41" i="24"/>
  <c r="I26" i="25"/>
  <c r="BA33" i="24"/>
  <c r="I5" i="25"/>
  <c r="BA29" i="24"/>
  <c r="I24" i="25"/>
  <c r="I39" i="25" s="1"/>
  <c r="BA25" i="24"/>
  <c r="I20" i="25"/>
  <c r="I35" i="25" s="1"/>
  <c r="BA21" i="24"/>
  <c r="I17" i="25"/>
  <c r="AU60" i="24"/>
  <c r="D3" i="25"/>
  <c r="AU52" i="24"/>
  <c r="D6" i="25"/>
  <c r="AZ49" i="24"/>
  <c r="H12" i="25"/>
  <c r="AZ41" i="24"/>
  <c r="H26" i="25"/>
  <c r="AU40" i="24"/>
  <c r="D7" i="25"/>
  <c r="AZ33" i="24"/>
  <c r="H5" i="25"/>
  <c r="H10" i="25" s="1"/>
  <c r="AU32" i="24"/>
  <c r="D4" i="25"/>
  <c r="AZ29" i="24"/>
  <c r="H24" i="25"/>
  <c r="AU28" i="24"/>
  <c r="D23" i="25"/>
  <c r="F23" i="25" s="1"/>
  <c r="AZ25" i="24"/>
  <c r="H20" i="25"/>
  <c r="AU24" i="24"/>
  <c r="D19" i="25"/>
  <c r="F19" i="25" s="1"/>
  <c r="AZ21" i="24"/>
  <c r="H17" i="25"/>
  <c r="AU49" i="24"/>
  <c r="D12" i="25"/>
  <c r="AZ42" i="24"/>
  <c r="H27" i="25"/>
  <c r="AU41" i="24"/>
  <c r="D26" i="25"/>
  <c r="AU33" i="24"/>
  <c r="D5" i="25"/>
  <c r="AZ30" i="24"/>
  <c r="H25" i="25"/>
  <c r="AU29" i="24"/>
  <c r="D24" i="25"/>
  <c r="AZ26" i="24"/>
  <c r="H21" i="25"/>
  <c r="AU25" i="24"/>
  <c r="D20" i="25"/>
  <c r="AZ22" i="24"/>
  <c r="H18" i="25"/>
  <c r="AU21" i="24"/>
  <c r="D17" i="25"/>
  <c r="BA30" i="24"/>
  <c r="I25" i="25"/>
  <c r="AT40" i="24"/>
  <c r="C7" i="25"/>
  <c r="AT28" i="24"/>
  <c r="C23" i="25"/>
  <c r="BA75" i="24"/>
  <c r="BB75" i="24" s="1"/>
  <c r="BA71" i="24"/>
  <c r="BA67" i="24"/>
  <c r="BA63" i="24"/>
  <c r="BA59" i="24"/>
  <c r="I11" i="25"/>
  <c r="BA55" i="24"/>
  <c r="BA51" i="24"/>
  <c r="BA47" i="24"/>
  <c r="BA43" i="24"/>
  <c r="AV42" i="24"/>
  <c r="E27" i="25"/>
  <c r="BA35" i="24"/>
  <c r="BA31" i="24"/>
  <c r="AV30" i="24"/>
  <c r="E25" i="25"/>
  <c r="BA27" i="24"/>
  <c r="I22" i="25"/>
  <c r="AV26" i="24"/>
  <c r="E21" i="25"/>
  <c r="BA23" i="24"/>
  <c r="AV22" i="24"/>
  <c r="E18" i="25"/>
  <c r="BA19" i="24"/>
  <c r="BA15" i="24"/>
  <c r="BA11" i="24"/>
  <c r="BA7" i="24"/>
  <c r="BA3" i="24"/>
  <c r="AY25" i="24"/>
  <c r="G20" i="25"/>
  <c r="AV41" i="24"/>
  <c r="E26" i="25"/>
  <c r="AY26" i="24"/>
  <c r="G21" i="25"/>
  <c r="AZ59" i="24"/>
  <c r="H11" i="25"/>
  <c r="X11" i="25" s="1"/>
  <c r="AU42" i="24"/>
  <c r="D27" i="25"/>
  <c r="AU30" i="24"/>
  <c r="D25" i="25"/>
  <c r="AZ27" i="24"/>
  <c r="H22" i="25"/>
  <c r="AU26" i="24"/>
  <c r="D21" i="25"/>
  <c r="AU22" i="24"/>
  <c r="D18" i="25"/>
  <c r="BA42" i="24"/>
  <c r="I27" i="25"/>
  <c r="BA26" i="24"/>
  <c r="I21" i="25"/>
  <c r="AV21" i="24"/>
  <c r="E17" i="25"/>
  <c r="AT42" i="24"/>
  <c r="C27" i="25"/>
  <c r="AT30" i="24"/>
  <c r="C25" i="25"/>
  <c r="AT26" i="24"/>
  <c r="C21" i="25"/>
  <c r="AT22" i="24"/>
  <c r="C18" i="25"/>
  <c r="AY33" i="24"/>
  <c r="G5" i="25"/>
  <c r="AY29" i="24"/>
  <c r="G24" i="25"/>
  <c r="AT24" i="24"/>
  <c r="C19" i="25"/>
  <c r="AV33" i="24"/>
  <c r="E5" i="25"/>
  <c r="AV25" i="24"/>
  <c r="E20" i="25"/>
  <c r="AY42" i="24"/>
  <c r="G27" i="25"/>
  <c r="AY30" i="24"/>
  <c r="G25" i="25"/>
  <c r="AY22" i="24"/>
  <c r="G18" i="25"/>
  <c r="J19" i="25"/>
  <c r="AY49" i="24"/>
  <c r="G12" i="25"/>
  <c r="AV29" i="24"/>
  <c r="E24" i="25"/>
  <c r="BA22" i="24"/>
  <c r="I18" i="25"/>
  <c r="I33" i="25" s="1"/>
  <c r="AT60" i="24"/>
  <c r="C3" i="25"/>
  <c r="AT52" i="24"/>
  <c r="C6" i="25"/>
  <c r="AY41" i="24"/>
  <c r="G26" i="25"/>
  <c r="AT32" i="24"/>
  <c r="C4" i="25"/>
  <c r="AY21" i="24"/>
  <c r="G17" i="25"/>
  <c r="AY68" i="24"/>
  <c r="AY64" i="24"/>
  <c r="AY60" i="24"/>
  <c r="G3" i="25"/>
  <c r="AY56" i="24"/>
  <c r="AY52" i="24"/>
  <c r="G6" i="25"/>
  <c r="AY48" i="24"/>
  <c r="AY40" i="24"/>
  <c r="G7" i="25"/>
  <c r="AY32" i="24"/>
  <c r="G4" i="25"/>
  <c r="AY28" i="24"/>
  <c r="G23" i="25"/>
  <c r="AY24" i="24"/>
  <c r="G19" i="25"/>
  <c r="BD6" i="24"/>
  <c r="AY5" i="24"/>
  <c r="K49" i="24"/>
  <c r="AV49" i="24"/>
  <c r="AT73" i="24"/>
  <c r="AT69" i="24"/>
  <c r="AT65" i="24"/>
  <c r="AT61" i="24"/>
  <c r="AT57" i="24"/>
  <c r="AT53" i="24"/>
  <c r="AT49" i="24"/>
  <c r="AT45" i="24"/>
  <c r="AT41" i="24"/>
  <c r="AT37" i="24"/>
  <c r="AT33" i="24"/>
  <c r="AT29" i="24"/>
  <c r="AT25" i="24"/>
  <c r="AT21" i="24"/>
  <c r="AT17" i="24"/>
  <c r="AT13" i="24"/>
  <c r="AT9" i="24"/>
  <c r="AT5" i="24"/>
  <c r="K65" i="24"/>
  <c r="AV65" i="24"/>
  <c r="BF52" i="24"/>
  <c r="BF48" i="24"/>
  <c r="BF44" i="24"/>
  <c r="BF40" i="24"/>
  <c r="BF36" i="24"/>
  <c r="BF32" i="24"/>
  <c r="BF28" i="24"/>
  <c r="BF24" i="24"/>
  <c r="BF20" i="24"/>
  <c r="BF16" i="24"/>
  <c r="BF12" i="24"/>
  <c r="BF8" i="24"/>
  <c r="BF4" i="24"/>
  <c r="BF64" i="24"/>
  <c r="BE68" i="24"/>
  <c r="BE64" i="24"/>
  <c r="BE60" i="24"/>
  <c r="BE56" i="24"/>
  <c r="BE52" i="24"/>
  <c r="BE48" i="24"/>
  <c r="BE44" i="24"/>
  <c r="BE40" i="24"/>
  <c r="BE36" i="24"/>
  <c r="BE32" i="24"/>
  <c r="BE28" i="24"/>
  <c r="L38" i="25" s="1"/>
  <c r="BE24" i="24"/>
  <c r="L34" i="25" s="1"/>
  <c r="BE20" i="24"/>
  <c r="BE16" i="24"/>
  <c r="BE12" i="24"/>
  <c r="BE8" i="24"/>
  <c r="BE4" i="24"/>
  <c r="M32" i="25"/>
  <c r="BF56" i="24"/>
  <c r="BD60" i="24"/>
  <c r="AY59" i="24"/>
  <c r="BD56" i="24"/>
  <c r="AY55" i="24"/>
  <c r="BD52" i="24"/>
  <c r="AY51" i="24"/>
  <c r="BD48" i="24"/>
  <c r="AY47" i="24"/>
  <c r="BD44" i="24"/>
  <c r="AY43" i="24"/>
  <c r="BD40" i="24"/>
  <c r="BD36" i="24"/>
  <c r="AY35" i="24"/>
  <c r="BD32" i="24"/>
  <c r="AY31" i="24"/>
  <c r="BD28" i="24"/>
  <c r="K38" i="25" s="1"/>
  <c r="AY27" i="24"/>
  <c r="G37" i="25" s="1"/>
  <c r="BD24" i="24"/>
  <c r="K34" i="25" s="1"/>
  <c r="AY23" i="24"/>
  <c r="BD20" i="24"/>
  <c r="AY19" i="24"/>
  <c r="BD16" i="24"/>
  <c r="AY15" i="24"/>
  <c r="BD12" i="24"/>
  <c r="AY11" i="24"/>
  <c r="BD8" i="24"/>
  <c r="AY7" i="24"/>
  <c r="BD4" i="24"/>
  <c r="AY3" i="24"/>
  <c r="BF72" i="24"/>
  <c r="BE72" i="24"/>
  <c r="BD72" i="24"/>
  <c r="AV67" i="24"/>
  <c r="BA52" i="24"/>
  <c r="BA48" i="24"/>
  <c r="BA44" i="24"/>
  <c r="BA36" i="24"/>
  <c r="AV35" i="24"/>
  <c r="BA32" i="24"/>
  <c r="AV31" i="24"/>
  <c r="BA28" i="24"/>
  <c r="AV27" i="24"/>
  <c r="BA24" i="24"/>
  <c r="AV23" i="24"/>
  <c r="BA20" i="24"/>
  <c r="AV19" i="24"/>
  <c r="BA16" i="24"/>
  <c r="AV15" i="24"/>
  <c r="BA12" i="24"/>
  <c r="AV11" i="24"/>
  <c r="BA8" i="24"/>
  <c r="AV7" i="24"/>
  <c r="BA4" i="24"/>
  <c r="AV3" i="24"/>
  <c r="BD68" i="24"/>
  <c r="AV75" i="24"/>
  <c r="AV71" i="24"/>
  <c r="AV63" i="24"/>
  <c r="AV47" i="24"/>
  <c r="AV43" i="24"/>
  <c r="AU71" i="24"/>
  <c r="AZ60" i="24"/>
  <c r="AU59" i="24"/>
  <c r="AZ56" i="24"/>
  <c r="AU55" i="24"/>
  <c r="AZ52" i="24"/>
  <c r="AU51" i="24"/>
  <c r="AZ48" i="24"/>
  <c r="AU47" i="24"/>
  <c r="AZ44" i="24"/>
  <c r="AU43" i="24"/>
  <c r="AZ40" i="24"/>
  <c r="AZ36" i="24"/>
  <c r="AU35" i="24"/>
  <c r="AZ32" i="24"/>
  <c r="AU31" i="24"/>
  <c r="AZ28" i="24"/>
  <c r="H38" i="25" s="1"/>
  <c r="AU27" i="24"/>
  <c r="AZ24" i="24"/>
  <c r="H34" i="25" s="1"/>
  <c r="AU23" i="24"/>
  <c r="AZ20" i="24"/>
  <c r="AU19" i="24"/>
  <c r="AZ16" i="24"/>
  <c r="AU15" i="24"/>
  <c r="AZ12" i="24"/>
  <c r="AU11" i="24"/>
  <c r="AZ8" i="24"/>
  <c r="AU7" i="24"/>
  <c r="AZ4" i="24"/>
  <c r="AU3" i="24"/>
  <c r="AY75" i="24"/>
  <c r="AY67" i="24"/>
  <c r="BA72" i="24"/>
  <c r="AV59" i="24"/>
  <c r="AV55" i="24"/>
  <c r="AU67" i="24"/>
  <c r="AZ64" i="24"/>
  <c r="AT47" i="24"/>
  <c r="AT43" i="24"/>
  <c r="AT35" i="24"/>
  <c r="AT31" i="24"/>
  <c r="AT27" i="24"/>
  <c r="AT23" i="24"/>
  <c r="AT19" i="24"/>
  <c r="AT15" i="24"/>
  <c r="AT11" i="24"/>
  <c r="AT7" i="24"/>
  <c r="AT3" i="24"/>
  <c r="BF68" i="24"/>
  <c r="BF60" i="24"/>
  <c r="BD64" i="24"/>
  <c r="BA68" i="24"/>
  <c r="BA64" i="24"/>
  <c r="BA60" i="24"/>
  <c r="BA56" i="24"/>
  <c r="AV51" i="24"/>
  <c r="AU75" i="24"/>
  <c r="AT75" i="24"/>
  <c r="AT71" i="24"/>
  <c r="AT67" i="24"/>
  <c r="AT63" i="24"/>
  <c r="AT59" i="24"/>
  <c r="AT55" i="24"/>
  <c r="BF74" i="24"/>
  <c r="BF70" i="24"/>
  <c r="BF66" i="24"/>
  <c r="K64" i="24"/>
  <c r="AV64" i="24"/>
  <c r="S62" i="24"/>
  <c r="BF62" i="24"/>
  <c r="K60" i="24"/>
  <c r="AV60" i="24"/>
  <c r="BF58" i="24"/>
  <c r="K56" i="24"/>
  <c r="AV56" i="24"/>
  <c r="S54" i="24"/>
  <c r="BF54" i="24"/>
  <c r="K52" i="24"/>
  <c r="AV52" i="24"/>
  <c r="S50" i="24"/>
  <c r="BF50" i="24"/>
  <c r="K48" i="24"/>
  <c r="AV48" i="24"/>
  <c r="S46" i="24"/>
  <c r="BF46" i="24"/>
  <c r="K44" i="24"/>
  <c r="AV44" i="24"/>
  <c r="S42" i="24"/>
  <c r="BF42" i="24"/>
  <c r="K40" i="24"/>
  <c r="AV40" i="24"/>
  <c r="S38" i="24"/>
  <c r="BF38" i="24"/>
  <c r="K36" i="24"/>
  <c r="AV36" i="24"/>
  <c r="K32" i="24"/>
  <c r="AV32" i="24"/>
  <c r="S30" i="24"/>
  <c r="BF30" i="24"/>
  <c r="K28" i="24"/>
  <c r="AV28" i="24"/>
  <c r="S26" i="24"/>
  <c r="BF26" i="24"/>
  <c r="K24" i="24"/>
  <c r="AV24" i="24"/>
  <c r="S22" i="24"/>
  <c r="BF22" i="24"/>
  <c r="K20" i="24"/>
  <c r="AV20" i="24"/>
  <c r="S18" i="24"/>
  <c r="BF18" i="24"/>
  <c r="K16" i="24"/>
  <c r="AV16" i="24"/>
  <c r="S14" i="24"/>
  <c r="BF14" i="24"/>
  <c r="K12" i="24"/>
  <c r="AV12" i="24"/>
  <c r="BF10" i="24"/>
  <c r="K8" i="24"/>
  <c r="AV8" i="24"/>
  <c r="S6" i="24"/>
  <c r="BF6" i="24"/>
  <c r="K4" i="24"/>
  <c r="AV4" i="24"/>
  <c r="BF2" i="24"/>
  <c r="AY71" i="24"/>
  <c r="AY63" i="24"/>
  <c r="BA40" i="24"/>
  <c r="AZ72" i="24"/>
  <c r="AZ68" i="24"/>
  <c r="AU63" i="24"/>
  <c r="AT51" i="24"/>
  <c r="BE74" i="24"/>
  <c r="BE70" i="24"/>
  <c r="BE66" i="24"/>
  <c r="BE62" i="24"/>
  <c r="BE58" i="24"/>
  <c r="BE54" i="24"/>
  <c r="BE50" i="24"/>
  <c r="BE46" i="24"/>
  <c r="BE42" i="24"/>
  <c r="L42" i="25" s="1"/>
  <c r="BE38" i="24"/>
  <c r="BE30" i="24"/>
  <c r="L40" i="25" s="1"/>
  <c r="BE26" i="24"/>
  <c r="L36" i="25" s="1"/>
  <c r="BE22" i="24"/>
  <c r="L33" i="25" s="1"/>
  <c r="BE18" i="24"/>
  <c r="BE14" i="24"/>
  <c r="BE10" i="24"/>
  <c r="BE6" i="24"/>
  <c r="BE2" i="24"/>
  <c r="M39" i="25"/>
  <c r="K75" i="24"/>
  <c r="S73" i="24"/>
  <c r="O72" i="24"/>
  <c r="K71" i="24"/>
  <c r="O68" i="24"/>
  <c r="K67" i="24"/>
  <c r="O64" i="24"/>
  <c r="K63" i="24"/>
  <c r="O60" i="24"/>
  <c r="K59" i="24"/>
  <c r="O56" i="24"/>
  <c r="K55" i="24"/>
  <c r="S53" i="24"/>
  <c r="O52" i="24"/>
  <c r="K51" i="24"/>
  <c r="O48" i="24"/>
  <c r="K47" i="24"/>
  <c r="O44" i="24"/>
  <c r="K43" i="24"/>
  <c r="K39" i="24"/>
  <c r="O36" i="24"/>
  <c r="K35" i="24"/>
  <c r="K31" i="24"/>
  <c r="S29" i="24"/>
  <c r="O28" i="24"/>
  <c r="K27" i="24"/>
  <c r="O24" i="24"/>
  <c r="K23" i="24"/>
  <c r="K19" i="24"/>
  <c r="O16" i="24"/>
  <c r="K15" i="24"/>
  <c r="O12" i="24"/>
  <c r="K11" i="24"/>
  <c r="O8" i="24"/>
  <c r="K7" i="24"/>
  <c r="O4" i="24"/>
  <c r="K3" i="24"/>
  <c r="AA69" i="24"/>
  <c r="AA67" i="24"/>
  <c r="AA65" i="24"/>
  <c r="AA64" i="24"/>
  <c r="AA8" i="24"/>
  <c r="O75" i="24"/>
  <c r="K74" i="24"/>
  <c r="S72" i="24"/>
  <c r="O71" i="24"/>
  <c r="K70" i="24"/>
  <c r="S68" i="24"/>
  <c r="O67" i="24"/>
  <c r="S64" i="24"/>
  <c r="O63" i="24"/>
  <c r="K62" i="24"/>
  <c r="S60" i="24"/>
  <c r="O59" i="24"/>
  <c r="K58" i="24"/>
  <c r="S56" i="24"/>
  <c r="O55" i="24"/>
  <c r="K54" i="24"/>
  <c r="S52" i="24"/>
  <c r="O51" i="24"/>
  <c r="K50" i="24"/>
  <c r="S48" i="24"/>
  <c r="O47" i="24"/>
  <c r="K46" i="24"/>
  <c r="S44" i="24"/>
  <c r="O43" i="24"/>
  <c r="K42" i="24"/>
  <c r="S40" i="24"/>
  <c r="O39" i="24"/>
  <c r="K38" i="24"/>
  <c r="S36" i="24"/>
  <c r="O35" i="24"/>
  <c r="K34" i="24"/>
  <c r="S32" i="24"/>
  <c r="O31" i="24"/>
  <c r="K30" i="24"/>
  <c r="S28" i="24"/>
  <c r="O27" i="24"/>
  <c r="K26" i="24"/>
  <c r="S24" i="24"/>
  <c r="O23" i="24"/>
  <c r="K22" i="24"/>
  <c r="S20" i="24"/>
  <c r="O19" i="24"/>
  <c r="S16" i="24"/>
  <c r="O15" i="24"/>
  <c r="K14" i="24"/>
  <c r="S12" i="24"/>
  <c r="O11" i="24"/>
  <c r="K10" i="24"/>
  <c r="S8" i="24"/>
  <c r="O7" i="24"/>
  <c r="K6" i="24"/>
  <c r="S4" i="24"/>
  <c r="O3" i="24"/>
  <c r="W68" i="24"/>
  <c r="W66" i="24"/>
  <c r="W64" i="24"/>
  <c r="W62" i="24"/>
  <c r="W60" i="24"/>
  <c r="W58" i="24"/>
  <c r="W56" i="24"/>
  <c r="W54" i="24"/>
  <c r="W52" i="24"/>
  <c r="W50" i="24"/>
  <c r="AA41" i="24"/>
  <c r="AA39" i="24"/>
  <c r="AA37" i="24"/>
  <c r="AA35" i="24"/>
  <c r="AA33" i="24"/>
  <c r="AA31" i="24"/>
  <c r="AA29" i="24"/>
  <c r="AA27" i="24"/>
  <c r="AA25" i="24"/>
  <c r="AA23" i="24"/>
  <c r="AA21" i="24"/>
  <c r="AA19" i="24"/>
  <c r="AA17" i="24"/>
  <c r="AA15" i="24"/>
  <c r="AA13" i="24"/>
  <c r="AA11" i="24"/>
  <c r="AA9" i="24"/>
  <c r="AA7" i="24"/>
  <c r="AA5" i="24"/>
  <c r="AA3" i="24"/>
  <c r="AA75" i="24"/>
  <c r="AA73" i="24"/>
  <c r="AA71" i="24"/>
  <c r="S65" i="24"/>
  <c r="S57" i="24"/>
  <c r="S49" i="24"/>
  <c r="S41" i="24"/>
  <c r="S37" i="24"/>
  <c r="O32" i="24"/>
  <c r="S25" i="24"/>
  <c r="O20" i="24"/>
  <c r="S69" i="24"/>
  <c r="S61" i="24"/>
  <c r="S45" i="24"/>
  <c r="O40" i="24"/>
  <c r="S33" i="24"/>
  <c r="S21" i="24"/>
  <c r="S17" i="24"/>
  <c r="S13" i="24"/>
  <c r="S9" i="24"/>
  <c r="S5" i="24"/>
  <c r="AA43" i="24"/>
  <c r="K72" i="24"/>
  <c r="K68" i="24"/>
  <c r="S58" i="24"/>
  <c r="S10" i="24"/>
  <c r="W57" i="24"/>
  <c r="W55" i="24"/>
  <c r="W53" i="24"/>
  <c r="W51" i="24"/>
  <c r="W49" i="24"/>
  <c r="W47" i="24"/>
  <c r="W45" i="24"/>
  <c r="W43" i="24"/>
  <c r="W41" i="24"/>
  <c r="W39" i="24"/>
  <c r="W37" i="24"/>
  <c r="W35" i="24"/>
  <c r="W33" i="24"/>
  <c r="W31" i="24"/>
  <c r="W29" i="24"/>
  <c r="W27" i="24"/>
  <c r="W25" i="24"/>
  <c r="W23" i="24"/>
  <c r="W21" i="24"/>
  <c r="W19" i="24"/>
  <c r="W17" i="24"/>
  <c r="W15" i="24"/>
  <c r="W13" i="24"/>
  <c r="W11" i="24"/>
  <c r="W9" i="24"/>
  <c r="W7" i="24"/>
  <c r="W5" i="24"/>
  <c r="W3" i="24"/>
  <c r="W75" i="24"/>
  <c r="W73" i="24"/>
  <c r="W71" i="24"/>
  <c r="S74" i="24"/>
  <c r="O73" i="24"/>
  <c r="S70" i="24"/>
  <c r="O69" i="24"/>
  <c r="S66" i="24"/>
  <c r="O65" i="24"/>
  <c r="O61" i="24"/>
  <c r="O49" i="24"/>
  <c r="O45" i="24"/>
  <c r="O25" i="24"/>
  <c r="O21" i="24"/>
  <c r="O13" i="24"/>
  <c r="O53" i="24"/>
  <c r="O41" i="24"/>
  <c r="O29" i="24"/>
  <c r="O17" i="24"/>
  <c r="O9" i="24"/>
  <c r="O5" i="24"/>
  <c r="S23" i="24"/>
  <c r="O57" i="24"/>
  <c r="O37" i="24"/>
  <c r="O33" i="24"/>
  <c r="S2" i="24"/>
  <c r="O46" i="24"/>
  <c r="W48" i="24"/>
  <c r="W46" i="24"/>
  <c r="W44" i="24"/>
  <c r="W42" i="24"/>
  <c r="W40" i="24"/>
  <c r="W38" i="24"/>
  <c r="W36" i="24"/>
  <c r="W34" i="24"/>
  <c r="W32" i="24"/>
  <c r="W30" i="24"/>
  <c r="W28" i="24"/>
  <c r="W26" i="24"/>
  <c r="W24" i="24"/>
  <c r="W22" i="24"/>
  <c r="W20" i="24"/>
  <c r="W18" i="24"/>
  <c r="W16" i="24"/>
  <c r="W14" i="24"/>
  <c r="W12" i="24"/>
  <c r="W10" i="24"/>
  <c r="W8" i="24"/>
  <c r="W6" i="24"/>
  <c r="W4" i="24"/>
  <c r="W2" i="24"/>
  <c r="W74" i="24"/>
  <c r="W72" i="24"/>
  <c r="W70" i="24"/>
  <c r="O66" i="24"/>
  <c r="K21" i="24"/>
  <c r="O18" i="24"/>
  <c r="AA12" i="24"/>
  <c r="K66" i="24"/>
  <c r="K18" i="24"/>
  <c r="O74" i="24"/>
  <c r="O70" i="24"/>
  <c r="S67" i="24"/>
  <c r="O62" i="24"/>
  <c r="S59" i="24"/>
  <c r="K57" i="24"/>
  <c r="O54" i="24"/>
  <c r="O50" i="24"/>
  <c r="S47" i="24"/>
  <c r="K45" i="24"/>
  <c r="S43" i="24"/>
  <c r="K41" i="24"/>
  <c r="K37" i="24"/>
  <c r="O34" i="24"/>
  <c r="S31" i="24"/>
  <c r="K29" i="24"/>
  <c r="O26" i="24"/>
  <c r="K73" i="24"/>
  <c r="S71" i="24"/>
  <c r="K69" i="24"/>
  <c r="K61" i="24"/>
  <c r="O58" i="24"/>
  <c r="S55" i="24"/>
  <c r="K53" i="24"/>
  <c r="O42" i="24"/>
  <c r="O38" i="24"/>
  <c r="S35" i="24"/>
  <c r="K33" i="24"/>
  <c r="O30" i="24"/>
  <c r="K2" i="24"/>
  <c r="K25" i="24"/>
  <c r="O22" i="24"/>
  <c r="S19" i="24"/>
  <c r="K17" i="24"/>
  <c r="O14" i="24"/>
  <c r="K13" i="24"/>
  <c r="S11" i="24"/>
  <c r="O10" i="24"/>
  <c r="K9" i="24"/>
  <c r="S7" i="24"/>
  <c r="O6" i="24"/>
  <c r="K5" i="24"/>
  <c r="AA68" i="24"/>
  <c r="AA62" i="24"/>
  <c r="AA60" i="24"/>
  <c r="AA56" i="24"/>
  <c r="AA52" i="24"/>
  <c r="AA50" i="24"/>
  <c r="AA48" i="24"/>
  <c r="AA44" i="24"/>
  <c r="AA40" i="24"/>
  <c r="AA38" i="24"/>
  <c r="AA36" i="24"/>
  <c r="AA32" i="24"/>
  <c r="AA28" i="24"/>
  <c r="AA26" i="24"/>
  <c r="AA24" i="24"/>
  <c r="AA20" i="24"/>
  <c r="AA16" i="24"/>
  <c r="AA14" i="24"/>
  <c r="AA4" i="24"/>
  <c r="AA2" i="24"/>
  <c r="AA74" i="24"/>
  <c r="AA72" i="24"/>
  <c r="S75" i="24"/>
  <c r="S63" i="24"/>
  <c r="S51" i="24"/>
  <c r="S39" i="24"/>
  <c r="S27" i="24"/>
  <c r="S15" i="24"/>
  <c r="S3" i="24"/>
  <c r="O2" i="24"/>
  <c r="AA66" i="24"/>
  <c r="AA58" i="24"/>
  <c r="AA54" i="24"/>
  <c r="AA46" i="24"/>
  <c r="AA42" i="24"/>
  <c r="AA34" i="24"/>
  <c r="AA30" i="24"/>
  <c r="AA22" i="24"/>
  <c r="AA18" i="24"/>
  <c r="AA10" i="24"/>
  <c r="AA6" i="24"/>
  <c r="AA70" i="24"/>
  <c r="BB51" i="24" l="1"/>
  <c r="BB57" i="24"/>
  <c r="BB53" i="24"/>
  <c r="V10" i="25"/>
  <c r="AW5" i="24"/>
  <c r="AW13" i="24"/>
  <c r="BB73" i="24"/>
  <c r="BB13" i="24"/>
  <c r="BB30" i="24"/>
  <c r="V32" i="25"/>
  <c r="AW9" i="24"/>
  <c r="AW45" i="24"/>
  <c r="AW61" i="24"/>
  <c r="BB61" i="24"/>
  <c r="U8" i="25"/>
  <c r="BB17" i="24"/>
  <c r="BB37" i="24"/>
  <c r="BB69" i="24"/>
  <c r="BB5" i="24"/>
  <c r="BB9" i="24"/>
  <c r="BB71" i="24"/>
  <c r="T8" i="25"/>
  <c r="V9" i="25"/>
  <c r="AW73" i="24"/>
  <c r="AW69" i="24"/>
  <c r="AW17" i="24"/>
  <c r="AW37" i="24"/>
  <c r="AW57" i="24"/>
  <c r="AW70" i="24"/>
  <c r="P8" i="25"/>
  <c r="N32" i="25"/>
  <c r="N39" i="25"/>
  <c r="W17" i="25"/>
  <c r="W12" i="25"/>
  <c r="AW10" i="24"/>
  <c r="AW14" i="24"/>
  <c r="AW64" i="24"/>
  <c r="BJ2" i="24"/>
  <c r="W5" i="25"/>
  <c r="BB43" i="24"/>
  <c r="BB47" i="24"/>
  <c r="BJ66" i="24"/>
  <c r="BJ53" i="24"/>
  <c r="BJ9" i="24"/>
  <c r="BJ57" i="24"/>
  <c r="BJ61" i="24"/>
  <c r="BJ56" i="24"/>
  <c r="Q42" i="25"/>
  <c r="R42" i="25" s="1"/>
  <c r="R27" i="25"/>
  <c r="Q40" i="25"/>
  <c r="R40" i="25" s="1"/>
  <c r="R25" i="25"/>
  <c r="Q41" i="25"/>
  <c r="R41" i="25" s="1"/>
  <c r="R26" i="25"/>
  <c r="Q36" i="25"/>
  <c r="R36" i="25" s="1"/>
  <c r="R21" i="25"/>
  <c r="Y7" i="25"/>
  <c r="R7" i="25"/>
  <c r="Q32" i="25"/>
  <c r="R32" i="25" s="1"/>
  <c r="R17" i="25"/>
  <c r="Y6" i="25"/>
  <c r="R6" i="25"/>
  <c r="N41" i="25"/>
  <c r="Y3" i="25"/>
  <c r="R3" i="25"/>
  <c r="Y4" i="25"/>
  <c r="R4" i="25"/>
  <c r="Q35" i="25"/>
  <c r="R35" i="25" s="1"/>
  <c r="R20" i="25"/>
  <c r="Q38" i="25"/>
  <c r="R38" i="25" s="1"/>
  <c r="R23" i="25"/>
  <c r="N37" i="25"/>
  <c r="Q33" i="25"/>
  <c r="R33" i="25" s="1"/>
  <c r="R18" i="25"/>
  <c r="Q34" i="25"/>
  <c r="R34" i="25" s="1"/>
  <c r="R19" i="25"/>
  <c r="Q39" i="25"/>
  <c r="R39" i="25" s="1"/>
  <c r="R24" i="25"/>
  <c r="Q37" i="25"/>
  <c r="R37" i="25" s="1"/>
  <c r="R22" i="25"/>
  <c r="Y11" i="25"/>
  <c r="Y12" i="25"/>
  <c r="W7" i="25"/>
  <c r="K14" i="25"/>
  <c r="W4" i="25"/>
  <c r="N35" i="25"/>
  <c r="Y5" i="25"/>
  <c r="F7" i="25"/>
  <c r="X7" i="25"/>
  <c r="X17" i="25"/>
  <c r="X5" i="25"/>
  <c r="X16" i="25" s="1"/>
  <c r="Y17" i="25"/>
  <c r="W6" i="25"/>
  <c r="F6" i="25"/>
  <c r="X6" i="25"/>
  <c r="W3" i="25"/>
  <c r="F12" i="25"/>
  <c r="X12" i="25"/>
  <c r="F4" i="25"/>
  <c r="X4" i="25"/>
  <c r="F3" i="25"/>
  <c r="X3" i="25"/>
  <c r="O8" i="25"/>
  <c r="BB23" i="24"/>
  <c r="K37" i="25"/>
  <c r="BK9" i="24"/>
  <c r="Q10" i="25"/>
  <c r="R10" i="25" s="1"/>
  <c r="S10" i="25"/>
  <c r="S8" i="25" s="1"/>
  <c r="BB31" i="24"/>
  <c r="BB35" i="24"/>
  <c r="S13" i="25"/>
  <c r="J25" i="25"/>
  <c r="K39" i="25"/>
  <c r="AW18" i="24"/>
  <c r="Q13" i="25"/>
  <c r="R13" i="25" s="1"/>
  <c r="BG37" i="24"/>
  <c r="K41" i="25"/>
  <c r="BJ62" i="24"/>
  <c r="BK45" i="24"/>
  <c r="AW66" i="24"/>
  <c r="AW48" i="24"/>
  <c r="BG19" i="24"/>
  <c r="BG55" i="24"/>
  <c r="BG23" i="24"/>
  <c r="BJ74" i="24"/>
  <c r="BK58" i="24"/>
  <c r="BB55" i="24"/>
  <c r="S14" i="25"/>
  <c r="Q9" i="25"/>
  <c r="R9" i="25" s="1"/>
  <c r="K35" i="25"/>
  <c r="BK19" i="24"/>
  <c r="BJ16" i="24"/>
  <c r="BK65" i="24"/>
  <c r="Q14" i="25"/>
  <c r="R14" i="25" s="1"/>
  <c r="I40" i="25"/>
  <c r="G14" i="25"/>
  <c r="J24" i="25"/>
  <c r="G13" i="25"/>
  <c r="BB21" i="24"/>
  <c r="BB62" i="24"/>
  <c r="BK5" i="24"/>
  <c r="BB63" i="24"/>
  <c r="BB65" i="24"/>
  <c r="BB7" i="24"/>
  <c r="BB67" i="24"/>
  <c r="BB3" i="24"/>
  <c r="BB11" i="24"/>
  <c r="BB54" i="24"/>
  <c r="BB15" i="24"/>
  <c r="BK55" i="24"/>
  <c r="BB19" i="24"/>
  <c r="BB41" i="24"/>
  <c r="BK73" i="24"/>
  <c r="BB58" i="24"/>
  <c r="BJ7" i="24"/>
  <c r="BJ36" i="24"/>
  <c r="BJ13" i="24"/>
  <c r="BJ65" i="24"/>
  <c r="BJ20" i="24"/>
  <c r="BJ69" i="24"/>
  <c r="L13" i="25"/>
  <c r="H37" i="25"/>
  <c r="G35" i="25"/>
  <c r="H14" i="25"/>
  <c r="AW62" i="24"/>
  <c r="BJ14" i="24"/>
  <c r="AW59" i="24"/>
  <c r="BK61" i="24"/>
  <c r="AW38" i="24"/>
  <c r="AU34" i="24"/>
  <c r="BK37" i="24"/>
  <c r="AW44" i="24"/>
  <c r="BJ38" i="24"/>
  <c r="AW72" i="24"/>
  <c r="BK17" i="24"/>
  <c r="AW46" i="24"/>
  <c r="BK20" i="24"/>
  <c r="BB22" i="24"/>
  <c r="BK54" i="24"/>
  <c r="BK31" i="24"/>
  <c r="BJ37" i="24"/>
  <c r="G9" i="25"/>
  <c r="BK53" i="24"/>
  <c r="AW24" i="24"/>
  <c r="BJ6" i="24"/>
  <c r="AW29" i="24"/>
  <c r="BK35" i="24"/>
  <c r="BJ45" i="24"/>
  <c r="BJ10" i="24"/>
  <c r="AW2" i="24"/>
  <c r="BJ18" i="24"/>
  <c r="AW6" i="24"/>
  <c r="BB27" i="24"/>
  <c r="BJ50" i="24"/>
  <c r="BJ17" i="24"/>
  <c r="AT34" i="24"/>
  <c r="BJ72" i="24"/>
  <c r="BK13" i="24"/>
  <c r="BJ54" i="24"/>
  <c r="AY39" i="24"/>
  <c r="BB46" i="24"/>
  <c r="BB70" i="24"/>
  <c r="BB45" i="24"/>
  <c r="BJ73" i="24"/>
  <c r="J26" i="25"/>
  <c r="BG45" i="24"/>
  <c r="AW12" i="24"/>
  <c r="G40" i="25"/>
  <c r="BK57" i="24"/>
  <c r="BB66" i="24"/>
  <c r="G36" i="25"/>
  <c r="BJ46" i="24"/>
  <c r="BJ8" i="24"/>
  <c r="AW65" i="24"/>
  <c r="BK69" i="24"/>
  <c r="BK43" i="24"/>
  <c r="BK46" i="24"/>
  <c r="G32" i="25"/>
  <c r="F5" i="25"/>
  <c r="BG5" i="24"/>
  <c r="BG53" i="24"/>
  <c r="BG27" i="24"/>
  <c r="BG59" i="24"/>
  <c r="BK70" i="24"/>
  <c r="AW33" i="24"/>
  <c r="AW26" i="24"/>
  <c r="AW50" i="24"/>
  <c r="BB74" i="24"/>
  <c r="BJ23" i="24"/>
  <c r="BJ58" i="24"/>
  <c r="AW54" i="24"/>
  <c r="AW8" i="24"/>
  <c r="AW58" i="24"/>
  <c r="BK63" i="24"/>
  <c r="BK3" i="24"/>
  <c r="BB59" i="24"/>
  <c r="AW53" i="24"/>
  <c r="BG10" i="24"/>
  <c r="G33" i="25"/>
  <c r="BJ70" i="24"/>
  <c r="BK2" i="24"/>
  <c r="BB10" i="24"/>
  <c r="BJ4" i="24"/>
  <c r="BJ55" i="24"/>
  <c r="L10" i="25"/>
  <c r="BB2" i="24"/>
  <c r="BK50" i="24"/>
  <c r="BG68" i="24"/>
  <c r="BK11" i="24"/>
  <c r="BK36" i="24"/>
  <c r="BK71" i="24"/>
  <c r="AW16" i="24"/>
  <c r="BK15" i="24"/>
  <c r="BJ12" i="24"/>
  <c r="BK14" i="24"/>
  <c r="BG54" i="24"/>
  <c r="BG73" i="24"/>
  <c r="L14" i="25"/>
  <c r="BG25" i="24"/>
  <c r="BG18" i="24"/>
  <c r="BG66" i="24"/>
  <c r="BK75" i="24"/>
  <c r="BG11" i="24"/>
  <c r="BG47" i="24"/>
  <c r="AW56" i="24"/>
  <c r="BK47" i="24"/>
  <c r="BB20" i="24"/>
  <c r="BJ44" i="24"/>
  <c r="BB26" i="24"/>
  <c r="BB49" i="24"/>
  <c r="AW68" i="24"/>
  <c r="BB6" i="24"/>
  <c r="BB38" i="24"/>
  <c r="BB14" i="24"/>
  <c r="BB50" i="24"/>
  <c r="BK74" i="24"/>
  <c r="AW20" i="24"/>
  <c r="BG46" i="24"/>
  <c r="BK23" i="24"/>
  <c r="BB33" i="24"/>
  <c r="BG15" i="24"/>
  <c r="BG51" i="24"/>
  <c r="BG58" i="24"/>
  <c r="BK51" i="24"/>
  <c r="BJ68" i="24"/>
  <c r="BJ64" i="24"/>
  <c r="BG41" i="24"/>
  <c r="BK10" i="24"/>
  <c r="BB18" i="24"/>
  <c r="BE39" i="24"/>
  <c r="BG6" i="24"/>
  <c r="BK67" i="24"/>
  <c r="BG33" i="24"/>
  <c r="BJ31" i="24"/>
  <c r="G10" i="25"/>
  <c r="J21" i="25"/>
  <c r="AW30" i="24"/>
  <c r="H33" i="25"/>
  <c r="J33" i="25" s="1"/>
  <c r="BG29" i="24"/>
  <c r="BG36" i="24"/>
  <c r="H42" i="25"/>
  <c r="BK66" i="24"/>
  <c r="BK38" i="24"/>
  <c r="BK68" i="24"/>
  <c r="G42" i="25"/>
  <c r="AW36" i="24"/>
  <c r="AW19" i="24"/>
  <c r="K13" i="25"/>
  <c r="AT39" i="24"/>
  <c r="F20" i="25"/>
  <c r="AW42" i="24"/>
  <c r="J27" i="25"/>
  <c r="BA39" i="24"/>
  <c r="AW71" i="24"/>
  <c r="BG49" i="24"/>
  <c r="BJ11" i="24"/>
  <c r="AY34" i="24"/>
  <c r="J17" i="25"/>
  <c r="BK6" i="24"/>
  <c r="BG9" i="24"/>
  <c r="BG57" i="24"/>
  <c r="BG31" i="24"/>
  <c r="AW40" i="24"/>
  <c r="BG50" i="24"/>
  <c r="BJ35" i="24"/>
  <c r="BK4" i="24"/>
  <c r="AW3" i="24"/>
  <c r="BJ48" i="24"/>
  <c r="BK16" i="24"/>
  <c r="BG13" i="24"/>
  <c r="BG61" i="24"/>
  <c r="BG3" i="24"/>
  <c r="BG35" i="24"/>
  <c r="BK62" i="24"/>
  <c r="BG2" i="24"/>
  <c r="AW28" i="24"/>
  <c r="BJ43" i="24"/>
  <c r="BK7" i="24"/>
  <c r="BB25" i="24"/>
  <c r="BG17" i="24"/>
  <c r="BG65" i="24"/>
  <c r="BK18" i="24"/>
  <c r="AW4" i="24"/>
  <c r="BJ47" i="24"/>
  <c r="G41" i="25"/>
  <c r="F17" i="25"/>
  <c r="I37" i="25"/>
  <c r="AU39" i="24"/>
  <c r="BG21" i="24"/>
  <c r="BG69" i="24"/>
  <c r="BG7" i="24"/>
  <c r="BG43" i="24"/>
  <c r="BJ3" i="24"/>
  <c r="BK64" i="24"/>
  <c r="BK12" i="24"/>
  <c r="AW49" i="24"/>
  <c r="G34" i="25"/>
  <c r="BB29" i="24"/>
  <c r="AW55" i="24"/>
  <c r="BK8" i="24"/>
  <c r="BK56" i="24"/>
  <c r="BJ51" i="24"/>
  <c r="BJ5" i="24"/>
  <c r="G38" i="25"/>
  <c r="F27" i="25"/>
  <c r="H39" i="25"/>
  <c r="J39" i="25" s="1"/>
  <c r="J5" i="25"/>
  <c r="F24" i="25"/>
  <c r="AW25" i="24"/>
  <c r="F18" i="25"/>
  <c r="H36" i="25"/>
  <c r="BK72" i="24"/>
  <c r="AW22" i="24"/>
  <c r="AW60" i="24"/>
  <c r="AW35" i="24"/>
  <c r="AW41" i="24"/>
  <c r="F21" i="25"/>
  <c r="H32" i="25"/>
  <c r="I41" i="25"/>
  <c r="BB42" i="24"/>
  <c r="BJ71" i="24"/>
  <c r="BG14" i="24"/>
  <c r="I32" i="25"/>
  <c r="AW15" i="24"/>
  <c r="H40" i="25"/>
  <c r="J12" i="25"/>
  <c r="I36" i="25"/>
  <c r="BG56" i="24"/>
  <c r="BG12" i="24"/>
  <c r="J22" i="25"/>
  <c r="J11" i="25"/>
  <c r="J20" i="25"/>
  <c r="BJ15" i="24"/>
  <c r="BG16" i="24"/>
  <c r="AW52" i="24"/>
  <c r="I42" i="25"/>
  <c r="BK48" i="24"/>
  <c r="AW75" i="24"/>
  <c r="BG20" i="24"/>
  <c r="G39" i="25"/>
  <c r="AW21" i="24"/>
  <c r="F25" i="25"/>
  <c r="J18" i="25"/>
  <c r="F26" i="25"/>
  <c r="H35" i="25"/>
  <c r="J35" i="25" s="1"/>
  <c r="H41" i="25"/>
  <c r="H13" i="25"/>
  <c r="I14" i="25"/>
  <c r="BB16" i="24"/>
  <c r="BB44" i="24"/>
  <c r="BK44" i="24"/>
  <c r="AZ39" i="24"/>
  <c r="BJ67" i="24"/>
  <c r="BJ63" i="24"/>
  <c r="BJ75" i="24"/>
  <c r="BJ19" i="24"/>
  <c r="BG42" i="24"/>
  <c r="M27" i="25"/>
  <c r="BG74" i="24"/>
  <c r="BB68" i="24"/>
  <c r="AW47" i="24"/>
  <c r="BD34" i="24"/>
  <c r="K9" i="25"/>
  <c r="BG4" i="24"/>
  <c r="BG32" i="24"/>
  <c r="BF34" i="24"/>
  <c r="M14" i="25"/>
  <c r="BG62" i="24"/>
  <c r="BD39" i="24"/>
  <c r="AW63" i="24"/>
  <c r="BB36" i="24"/>
  <c r="BG8" i="24"/>
  <c r="BB48" i="24"/>
  <c r="AV34" i="24"/>
  <c r="AW34" i="24" s="1"/>
  <c r="AW32" i="24"/>
  <c r="AW23" i="24"/>
  <c r="BB52" i="24"/>
  <c r="BG40" i="24"/>
  <c r="M10" i="25"/>
  <c r="N10" i="25" s="1"/>
  <c r="BB24" i="24"/>
  <c r="I34" i="25"/>
  <c r="J34" i="25" s="1"/>
  <c r="AW67" i="24"/>
  <c r="BG44" i="24"/>
  <c r="K10" i="25"/>
  <c r="BG22" i="24"/>
  <c r="M33" i="25"/>
  <c r="N33" i="25" s="1"/>
  <c r="AW27" i="24"/>
  <c r="BG24" i="24"/>
  <c r="M34" i="25"/>
  <c r="N34" i="25" s="1"/>
  <c r="BG48" i="24"/>
  <c r="AV39" i="24"/>
  <c r="AZ34" i="24"/>
  <c r="H9" i="25"/>
  <c r="BB4" i="24"/>
  <c r="BB28" i="24"/>
  <c r="I38" i="25"/>
  <c r="J38" i="25" s="1"/>
  <c r="BG52" i="24"/>
  <c r="AW31" i="24"/>
  <c r="AW7" i="24"/>
  <c r="BG72" i="24"/>
  <c r="BG30" i="24"/>
  <c r="M40" i="25"/>
  <c r="N40" i="25" s="1"/>
  <c r="BG60" i="24"/>
  <c r="BB40" i="24"/>
  <c r="I10" i="25"/>
  <c r="J10" i="25" s="1"/>
  <c r="AW51" i="24"/>
  <c r="BG70" i="24"/>
  <c r="BB56" i="24"/>
  <c r="BB72" i="24"/>
  <c r="BB8" i="24"/>
  <c r="BA34" i="24"/>
  <c r="BB32" i="24"/>
  <c r="BG64" i="24"/>
  <c r="BG28" i="24"/>
  <c r="M38" i="25"/>
  <c r="N38" i="25" s="1"/>
  <c r="BG26" i="24"/>
  <c r="M36" i="25"/>
  <c r="N36" i="25" s="1"/>
  <c r="BG38" i="24"/>
  <c r="BB60" i="24"/>
  <c r="AW11" i="24"/>
  <c r="BF39" i="24"/>
  <c r="BB64" i="24"/>
  <c r="AW43" i="24"/>
  <c r="BB12" i="24"/>
  <c r="BE34" i="24"/>
  <c r="L9" i="25"/>
  <c r="BL44" i="24"/>
  <c r="E35" i="25"/>
  <c r="BL25" i="24"/>
  <c r="BL47" i="24"/>
  <c r="BK21" i="24"/>
  <c r="BL16" i="24"/>
  <c r="BL10" i="24"/>
  <c r="BL4" i="24"/>
  <c r="BM4" i="24" s="1"/>
  <c r="BJ60" i="24"/>
  <c r="BK32" i="24"/>
  <c r="BL8" i="24"/>
  <c r="BL27" i="24"/>
  <c r="E37" i="25"/>
  <c r="BK40" i="24"/>
  <c r="C33" i="25"/>
  <c r="BJ22" i="24"/>
  <c r="W18" i="25" s="1"/>
  <c r="W33" i="25" s="1"/>
  <c r="B48" i="25" s="1"/>
  <c r="BJ49" i="24"/>
  <c r="BK49" i="24"/>
  <c r="BL53" i="24"/>
  <c r="BL2" i="24"/>
  <c r="C40" i="25"/>
  <c r="BJ30" i="24"/>
  <c r="W25" i="25" s="1"/>
  <c r="W40" i="25" s="1"/>
  <c r="C37" i="25"/>
  <c r="BJ27" i="24"/>
  <c r="W22" i="25" s="1"/>
  <c r="W37" i="25" s="1"/>
  <c r="BL73" i="24"/>
  <c r="BL60" i="24"/>
  <c r="BL50" i="24"/>
  <c r="BL58" i="24"/>
  <c r="BL71" i="24"/>
  <c r="E38" i="25"/>
  <c r="BL28" i="24"/>
  <c r="E40" i="25"/>
  <c r="BL30" i="24"/>
  <c r="BL36" i="24"/>
  <c r="BL20" i="24"/>
  <c r="BL38" i="24"/>
  <c r="BL31" i="24"/>
  <c r="BJ24" i="24"/>
  <c r="W19" i="25" s="1"/>
  <c r="W34" i="25" s="1"/>
  <c r="C34" i="25"/>
  <c r="BL65" i="24"/>
  <c r="C36" i="25"/>
  <c r="BJ26" i="24"/>
  <c r="W21" i="25" s="1"/>
  <c r="W36" i="25" s="1"/>
  <c r="BJ21" i="24"/>
  <c r="BL9" i="24"/>
  <c r="BL57" i="24"/>
  <c r="D33" i="25"/>
  <c r="BK22" i="24"/>
  <c r="X18" i="25" s="1"/>
  <c r="X33" i="25" s="1"/>
  <c r="C48" i="25" s="1"/>
  <c r="BL18" i="24"/>
  <c r="BJ28" i="24"/>
  <c r="W23" i="25" s="1"/>
  <c r="W38" i="25" s="1"/>
  <c r="C38" i="25"/>
  <c r="D37" i="25"/>
  <c r="BK27" i="24"/>
  <c r="X22" i="25" s="1"/>
  <c r="X37" i="25" s="1"/>
  <c r="D36" i="25"/>
  <c r="BK26" i="24"/>
  <c r="X21" i="25" s="1"/>
  <c r="X36" i="25" s="1"/>
  <c r="BL40" i="24"/>
  <c r="BK52" i="24"/>
  <c r="BJ25" i="24"/>
  <c r="W20" i="25" s="1"/>
  <c r="W35" i="25" s="1"/>
  <c r="C35" i="25"/>
  <c r="BL62" i="24"/>
  <c r="D35" i="25"/>
  <c r="BK25" i="24"/>
  <c r="X20" i="25" s="1"/>
  <c r="X35" i="25" s="1"/>
  <c r="BL68" i="24"/>
  <c r="BL70" i="24"/>
  <c r="BJ40" i="24"/>
  <c r="BK60" i="24"/>
  <c r="BL5" i="24"/>
  <c r="BK41" i="24"/>
  <c r="X26" i="25" s="1"/>
  <c r="X41" i="25" s="1"/>
  <c r="C50" i="25" s="1"/>
  <c r="D41" i="25"/>
  <c r="BK42" i="24"/>
  <c r="X27" i="25" s="1"/>
  <c r="X42" i="25" s="1"/>
  <c r="C49" i="25" s="1"/>
  <c r="D42" i="25"/>
  <c r="BL14" i="24"/>
  <c r="BL64" i="24"/>
  <c r="BL3" i="24"/>
  <c r="BL55" i="24"/>
  <c r="BJ59" i="24"/>
  <c r="BK59" i="24"/>
  <c r="AB63" i="25" s="1"/>
  <c r="BL13" i="24"/>
  <c r="BJ29" i="24"/>
  <c r="W24" i="25" s="1"/>
  <c r="W39" i="25" s="1"/>
  <c r="C39" i="25"/>
  <c r="BL52" i="24"/>
  <c r="BJ32" i="24"/>
  <c r="BL56" i="24"/>
  <c r="BL72" i="24"/>
  <c r="BL59" i="24"/>
  <c r="BL49" i="24"/>
  <c r="BL61" i="24"/>
  <c r="E39" i="25"/>
  <c r="BL29" i="24"/>
  <c r="BJ42" i="24"/>
  <c r="W27" i="25" s="1"/>
  <c r="W42" i="25" s="1"/>
  <c r="B49" i="25" s="1"/>
  <c r="C42" i="25"/>
  <c r="BL51" i="24"/>
  <c r="E36" i="25"/>
  <c r="BL26" i="24"/>
  <c r="BL7" i="24"/>
  <c r="BJ41" i="24"/>
  <c r="W26" i="25" s="1"/>
  <c r="W41" i="25" s="1"/>
  <c r="B50" i="25" s="1"/>
  <c r="C41" i="25"/>
  <c r="BL42" i="24"/>
  <c r="E42" i="25"/>
  <c r="BL11" i="24"/>
  <c r="BL63" i="24"/>
  <c r="BJ52" i="24"/>
  <c r="BK24" i="24"/>
  <c r="X19" i="25" s="1"/>
  <c r="X34" i="25" s="1"/>
  <c r="D34" i="25"/>
  <c r="BL17" i="24"/>
  <c r="BL46" i="24"/>
  <c r="BL54" i="24"/>
  <c r="BL67" i="24"/>
  <c r="BL32" i="24"/>
  <c r="BL43" i="24"/>
  <c r="BL35" i="24"/>
  <c r="BL66" i="24"/>
  <c r="D40" i="25"/>
  <c r="BK30" i="24"/>
  <c r="X25" i="25" s="1"/>
  <c r="X40" i="25" s="1"/>
  <c r="BL48" i="24"/>
  <c r="BL12" i="24"/>
  <c r="BL15" i="24"/>
  <c r="D38" i="25"/>
  <c r="BK28" i="24"/>
  <c r="X23" i="25" s="1"/>
  <c r="X38" i="25" s="1"/>
  <c r="BK33" i="24"/>
  <c r="BL33" i="24"/>
  <c r="BL21" i="24"/>
  <c r="BL19" i="24"/>
  <c r="BK29" i="24"/>
  <c r="X24" i="25" s="1"/>
  <c r="X39" i="25" s="1"/>
  <c r="D39" i="25"/>
  <c r="BL37" i="24"/>
  <c r="BL41" i="24"/>
  <c r="E41" i="25"/>
  <c r="BL24" i="24"/>
  <c r="E34" i="25"/>
  <c r="BL74" i="24"/>
  <c r="E33" i="25"/>
  <c r="F33" i="25" s="1"/>
  <c r="BL22" i="24"/>
  <c r="BL23" i="24"/>
  <c r="BL75" i="24"/>
  <c r="BL6" i="24"/>
  <c r="BJ33" i="24"/>
  <c r="BL69" i="24"/>
  <c r="BL45" i="24"/>
  <c r="Y16" i="25" l="1"/>
  <c r="W16" i="25"/>
  <c r="V8" i="25"/>
  <c r="AB43" i="25"/>
  <c r="BM58" i="24"/>
  <c r="BM57" i="24"/>
  <c r="BM46" i="24"/>
  <c r="BM15" i="24"/>
  <c r="BM2" i="24"/>
  <c r="BM9" i="24"/>
  <c r="BM65" i="24"/>
  <c r="J40" i="25"/>
  <c r="BM53" i="24"/>
  <c r="BM37" i="24"/>
  <c r="BM66" i="24"/>
  <c r="N14" i="25"/>
  <c r="J37" i="25"/>
  <c r="M42" i="25"/>
  <c r="N42" i="25" s="1"/>
  <c r="N27" i="25"/>
  <c r="Q8" i="25"/>
  <c r="R8" i="25" s="1"/>
  <c r="BM61" i="24"/>
  <c r="BM62" i="24"/>
  <c r="BM19" i="24"/>
  <c r="BM20" i="24"/>
  <c r="BM73" i="24"/>
  <c r="BM45" i="24"/>
  <c r="BM5" i="24"/>
  <c r="J14" i="25"/>
  <c r="BM17" i="24"/>
  <c r="BM55" i="24"/>
  <c r="G8" i="25"/>
  <c r="BM35" i="24"/>
  <c r="BM3" i="24"/>
  <c r="BM54" i="24"/>
  <c r="BM16" i="24"/>
  <c r="BM13" i="24"/>
  <c r="BM63" i="24"/>
  <c r="BM68" i="24"/>
  <c r="BM23" i="24"/>
  <c r="BM43" i="24"/>
  <c r="BM31" i="24"/>
  <c r="BM38" i="24"/>
  <c r="BM6" i="24"/>
  <c r="BM11" i="24"/>
  <c r="BM70" i="24"/>
  <c r="BM50" i="24"/>
  <c r="BM75" i="24"/>
  <c r="BB39" i="24"/>
  <c r="BM10" i="24"/>
  <c r="BM36" i="24"/>
  <c r="BM69" i="24"/>
  <c r="BM71" i="24"/>
  <c r="BM18" i="24"/>
  <c r="BM67" i="24"/>
  <c r="BM72" i="24"/>
  <c r="BM14" i="24"/>
  <c r="BM8" i="24"/>
  <c r="BM74" i="24"/>
  <c r="BM51" i="24"/>
  <c r="BM47" i="24"/>
  <c r="BM7" i="24"/>
  <c r="AW39" i="24"/>
  <c r="BG39" i="24"/>
  <c r="J41" i="25"/>
  <c r="J42" i="25"/>
  <c r="BM64" i="24"/>
  <c r="BM56" i="24"/>
  <c r="J32" i="25"/>
  <c r="F36" i="25"/>
  <c r="F40" i="25"/>
  <c r="BM12" i="24"/>
  <c r="BM48" i="24"/>
  <c r="C51" i="25"/>
  <c r="F38" i="25"/>
  <c r="F42" i="25"/>
  <c r="F35" i="25"/>
  <c r="J36" i="25"/>
  <c r="F41" i="25"/>
  <c r="F39" i="25"/>
  <c r="F37" i="25"/>
  <c r="F34" i="25"/>
  <c r="M13" i="25"/>
  <c r="N13" i="25" s="1"/>
  <c r="BM44" i="24"/>
  <c r="B52" i="25"/>
  <c r="M9" i="25"/>
  <c r="I13" i="25"/>
  <c r="J13" i="25" s="1"/>
  <c r="BG34" i="24"/>
  <c r="K8" i="25"/>
  <c r="I9" i="25"/>
  <c r="I8" i="25" s="1"/>
  <c r="H8" i="25"/>
  <c r="BB34" i="24"/>
  <c r="L8" i="25"/>
  <c r="E10" i="25"/>
  <c r="E13" i="25"/>
  <c r="D9" i="25"/>
  <c r="D13" i="25"/>
  <c r="BM59" i="24"/>
  <c r="AC63" i="25"/>
  <c r="AD63" i="25" s="1"/>
  <c r="BM30" i="24"/>
  <c r="Y25" i="25"/>
  <c r="Y40" i="25" s="1"/>
  <c r="Y26" i="25"/>
  <c r="Y41" i="25" s="1"/>
  <c r="D50" i="25" s="1"/>
  <c r="BM41" i="24"/>
  <c r="BM32" i="24"/>
  <c r="BL34" i="24"/>
  <c r="BM33" i="24"/>
  <c r="BL39" i="24"/>
  <c r="BM49" i="24"/>
  <c r="BM52" i="24"/>
  <c r="BJ34" i="24"/>
  <c r="W9" i="25"/>
  <c r="Y21" i="25"/>
  <c r="Y36" i="25" s="1"/>
  <c r="BM26" i="24"/>
  <c r="C9" i="25"/>
  <c r="W32" i="25"/>
  <c r="B47" i="25" s="1"/>
  <c r="W14" i="25"/>
  <c r="D10" i="25"/>
  <c r="AH5" i="25"/>
  <c r="AB4" i="25"/>
  <c r="X13" i="25"/>
  <c r="BM27" i="24"/>
  <c r="Y22" i="25"/>
  <c r="Y37" i="25" s="1"/>
  <c r="D14" i="25"/>
  <c r="D32" i="25"/>
  <c r="X32" i="25"/>
  <c r="C47" i="25" s="1"/>
  <c r="X14" i="25"/>
  <c r="BJ39" i="24"/>
  <c r="W10" i="25"/>
  <c r="B51" i="25"/>
  <c r="E14" i="25"/>
  <c r="E32" i="25"/>
  <c r="Y27" i="25"/>
  <c r="Y42" i="25" s="1"/>
  <c r="D49" i="25" s="1"/>
  <c r="BM42" i="24"/>
  <c r="BM29" i="24"/>
  <c r="Y24" i="25"/>
  <c r="Y39" i="25" s="1"/>
  <c r="Y23" i="25"/>
  <c r="Y38" i="25" s="1"/>
  <c r="BM28" i="24"/>
  <c r="BK34" i="24"/>
  <c r="X9" i="25"/>
  <c r="AH3" i="25"/>
  <c r="W13" i="25"/>
  <c r="Y20" i="25"/>
  <c r="Y35" i="25" s="1"/>
  <c r="BM25" i="24"/>
  <c r="BM60" i="24"/>
  <c r="BM40" i="24"/>
  <c r="AC43" i="25"/>
  <c r="C10" i="25"/>
  <c r="Y19" i="25"/>
  <c r="Y34" i="25" s="1"/>
  <c r="BM24" i="24"/>
  <c r="BM21" i="24"/>
  <c r="E9" i="25"/>
  <c r="C52" i="25"/>
  <c r="C13" i="25"/>
  <c r="Y18" i="25"/>
  <c r="Y33" i="25" s="1"/>
  <c r="D48" i="25" s="1"/>
  <c r="BM22" i="24"/>
  <c r="X10" i="25"/>
  <c r="BK39" i="24"/>
  <c r="C14" i="25"/>
  <c r="C32" i="25"/>
  <c r="AD43" i="25" l="1"/>
  <c r="M8" i="25"/>
  <c r="N8" i="25" s="1"/>
  <c r="N9" i="25"/>
  <c r="F9" i="25"/>
  <c r="F14" i="25"/>
  <c r="F32" i="25"/>
  <c r="J8" i="25"/>
  <c r="J9" i="25"/>
  <c r="F13" i="25"/>
  <c r="F10" i="25"/>
  <c r="C53" i="25"/>
  <c r="H49" i="25" s="1"/>
  <c r="B53" i="25"/>
  <c r="G52" i="25" s="1"/>
  <c r="E8" i="25"/>
  <c r="D8" i="25"/>
  <c r="BM34" i="24"/>
  <c r="D51" i="25"/>
  <c r="Y9" i="25"/>
  <c r="AJ10" i="25"/>
  <c r="AI10" i="25"/>
  <c r="AI11" i="25" s="1"/>
  <c r="AI12" i="25" s="1"/>
  <c r="AI13" i="25" s="1"/>
  <c r="AI14" i="25" s="1"/>
  <c r="AI15" i="25" s="1"/>
  <c r="AI16" i="25" s="1"/>
  <c r="AI17" i="25" s="1"/>
  <c r="AI18" i="25" s="1"/>
  <c r="AI19" i="25" s="1"/>
  <c r="AI20" i="25" s="1"/>
  <c r="AI21" i="25" s="1"/>
  <c r="AI22" i="25" s="1"/>
  <c r="AI23" i="25" s="1"/>
  <c r="AI24" i="25" s="1"/>
  <c r="AI25" i="25" s="1"/>
  <c r="AI26" i="25" s="1"/>
  <c r="AI27" i="25" s="1"/>
  <c r="AI28" i="25" s="1"/>
  <c r="AI29" i="25" s="1"/>
  <c r="AI30" i="25" s="1"/>
  <c r="X8" i="25"/>
  <c r="X15" i="25" s="1"/>
  <c r="BM39" i="24"/>
  <c r="Y14" i="25"/>
  <c r="Y32" i="25"/>
  <c r="D47" i="25" s="1"/>
  <c r="C8" i="25"/>
  <c r="Y10" i="25"/>
  <c r="D52" i="25"/>
  <c r="W8" i="25"/>
  <c r="W15" i="25" s="1"/>
  <c r="AH4" i="25"/>
  <c r="AH7" i="25" s="1"/>
  <c r="AD4" i="25"/>
  <c r="Y13" i="25"/>
  <c r="AD24" i="25" s="1"/>
  <c r="D16" i="19"/>
  <c r="CH6" i="19"/>
  <c r="BV16" i="19"/>
  <c r="CB89" i="19"/>
  <c r="CH89" i="19" s="1"/>
  <c r="BZ89" i="19"/>
  <c r="CF89" i="19" s="1"/>
  <c r="BX89" i="19"/>
  <c r="CD89" i="19" s="1"/>
  <c r="BV89" i="19"/>
  <c r="BT89" i="19"/>
  <c r="BR89" i="19"/>
  <c r="CB88" i="19"/>
  <c r="CH88" i="19" s="1"/>
  <c r="BZ88" i="19"/>
  <c r="CF88" i="19" s="1"/>
  <c r="BX88" i="19"/>
  <c r="CD88" i="19" s="1"/>
  <c r="BV88" i="19"/>
  <c r="BT88" i="19"/>
  <c r="BR88" i="19"/>
  <c r="CF87" i="19"/>
  <c r="CB87" i="19"/>
  <c r="CH87" i="19" s="1"/>
  <c r="BZ87" i="19"/>
  <c r="BX87" i="19"/>
  <c r="CD87" i="19" s="1"/>
  <c r="BV87" i="19"/>
  <c r="BT87" i="19"/>
  <c r="BR87" i="19"/>
  <c r="CB86" i="19"/>
  <c r="CH86" i="19" s="1"/>
  <c r="BZ86" i="19"/>
  <c r="CF86" i="19" s="1"/>
  <c r="BX86" i="19"/>
  <c r="CD86" i="19" s="1"/>
  <c r="BV86" i="19"/>
  <c r="BT86" i="19"/>
  <c r="BR86" i="19"/>
  <c r="CB85" i="19"/>
  <c r="CH85" i="19" s="1"/>
  <c r="BZ85" i="19"/>
  <c r="CF85" i="19" s="1"/>
  <c r="BX85" i="19"/>
  <c r="CD85" i="19" s="1"/>
  <c r="BV85" i="19"/>
  <c r="BT85" i="19"/>
  <c r="BR85" i="19"/>
  <c r="CB84" i="19"/>
  <c r="CH84" i="19" s="1"/>
  <c r="BZ84" i="19"/>
  <c r="CF84" i="19" s="1"/>
  <c r="BX84" i="19"/>
  <c r="CD84" i="19" s="1"/>
  <c r="BV84" i="19"/>
  <c r="BT84" i="19"/>
  <c r="BR84" i="19"/>
  <c r="CB83" i="19"/>
  <c r="CH83" i="19" s="1"/>
  <c r="BZ83" i="19"/>
  <c r="CF83" i="19" s="1"/>
  <c r="BX83" i="19"/>
  <c r="CD83" i="19" s="1"/>
  <c r="BV83" i="19"/>
  <c r="BT83" i="19"/>
  <c r="BR83" i="19"/>
  <c r="CB82" i="19"/>
  <c r="CH82" i="19" s="1"/>
  <c r="BZ82" i="19"/>
  <c r="CF82" i="19" s="1"/>
  <c r="BX82" i="19"/>
  <c r="CD82" i="19" s="1"/>
  <c r="BV82" i="19"/>
  <c r="BT82" i="19"/>
  <c r="BR82" i="19"/>
  <c r="CB81" i="19"/>
  <c r="CH81" i="19" s="1"/>
  <c r="BZ81" i="19"/>
  <c r="CF81" i="19" s="1"/>
  <c r="BX81" i="19"/>
  <c r="CD81" i="19" s="1"/>
  <c r="BV81" i="19"/>
  <c r="BT81" i="19"/>
  <c r="BR81" i="19"/>
  <c r="CB79" i="19"/>
  <c r="CH79" i="19" s="1"/>
  <c r="BZ79" i="19"/>
  <c r="CF79" i="19" s="1"/>
  <c r="BX79" i="19"/>
  <c r="CD79" i="19" s="1"/>
  <c r="BV79" i="19"/>
  <c r="BT79" i="19"/>
  <c r="BR79" i="19"/>
  <c r="CB78" i="19"/>
  <c r="CH78" i="19" s="1"/>
  <c r="BZ78" i="19"/>
  <c r="CF78" i="19" s="1"/>
  <c r="BX78" i="19"/>
  <c r="CD78" i="19" s="1"/>
  <c r="BV78" i="19"/>
  <c r="BT78" i="19"/>
  <c r="BR78" i="19"/>
  <c r="CB77" i="19"/>
  <c r="CH77" i="19" s="1"/>
  <c r="BZ77" i="19"/>
  <c r="CF77" i="19" s="1"/>
  <c r="BX77" i="19"/>
  <c r="CD77" i="19" s="1"/>
  <c r="BV77" i="19"/>
  <c r="BT77" i="19"/>
  <c r="BR77" i="19"/>
  <c r="CB76" i="19"/>
  <c r="CH76" i="19" s="1"/>
  <c r="BZ76" i="19"/>
  <c r="CF76" i="19" s="1"/>
  <c r="BX76" i="19"/>
  <c r="CD76" i="19" s="1"/>
  <c r="BV76" i="19"/>
  <c r="BT76" i="19"/>
  <c r="BR76" i="19"/>
  <c r="CB75" i="19"/>
  <c r="CH75" i="19" s="1"/>
  <c r="BZ75" i="19"/>
  <c r="CF75" i="19" s="1"/>
  <c r="BX75" i="19"/>
  <c r="CD75" i="19" s="1"/>
  <c r="BV75" i="19"/>
  <c r="BT75" i="19"/>
  <c r="BR75" i="19"/>
  <c r="CB74" i="19"/>
  <c r="CH74" i="19" s="1"/>
  <c r="BZ74" i="19"/>
  <c r="CF74" i="19" s="1"/>
  <c r="BX74" i="19"/>
  <c r="CD74" i="19" s="1"/>
  <c r="BV74" i="19"/>
  <c r="BT74" i="19"/>
  <c r="BR74" i="19"/>
  <c r="CB73" i="19"/>
  <c r="CH73" i="19" s="1"/>
  <c r="BZ73" i="19"/>
  <c r="CF73" i="19" s="1"/>
  <c r="BX73" i="19"/>
  <c r="CD73" i="19" s="1"/>
  <c r="BV73" i="19"/>
  <c r="BT73" i="19"/>
  <c r="BR73" i="19"/>
  <c r="CB72" i="19"/>
  <c r="CH72" i="19" s="1"/>
  <c r="BZ72" i="19"/>
  <c r="CF72" i="19" s="1"/>
  <c r="BX72" i="19"/>
  <c r="CD72" i="19" s="1"/>
  <c r="BV72" i="19"/>
  <c r="BT72" i="19"/>
  <c r="BR72" i="19"/>
  <c r="CB71" i="19"/>
  <c r="CH71" i="19" s="1"/>
  <c r="BZ71" i="19"/>
  <c r="CF71" i="19" s="1"/>
  <c r="BX71" i="19"/>
  <c r="CD71" i="19" s="1"/>
  <c r="BV71" i="19"/>
  <c r="BT71" i="19"/>
  <c r="BR71" i="19"/>
  <c r="CB70" i="19"/>
  <c r="CH70" i="19" s="1"/>
  <c r="BZ70" i="19"/>
  <c r="CF70" i="19" s="1"/>
  <c r="BX70" i="19"/>
  <c r="CD70" i="19" s="1"/>
  <c r="BV70" i="19"/>
  <c r="BT70" i="19"/>
  <c r="BR70" i="19"/>
  <c r="CG69" i="19"/>
  <c r="CA69" i="19"/>
  <c r="CB69" i="19" s="1"/>
  <c r="CH69" i="19" s="1"/>
  <c r="BZ69" i="19"/>
  <c r="CF69" i="19" s="1"/>
  <c r="BX69" i="19"/>
  <c r="CD69" i="19" s="1"/>
  <c r="BU69" i="19"/>
  <c r="BV69" i="19" s="1"/>
  <c r="BT69" i="19"/>
  <c r="BR69" i="19"/>
  <c r="CB68" i="19"/>
  <c r="CH68" i="19" s="1"/>
  <c r="BZ68" i="19"/>
  <c r="CF68" i="19" s="1"/>
  <c r="BX68" i="19"/>
  <c r="CD68" i="19" s="1"/>
  <c r="BV68" i="19"/>
  <c r="BT68" i="19"/>
  <c r="BR68" i="19"/>
  <c r="CB67" i="19"/>
  <c r="CH67" i="19" s="1"/>
  <c r="BZ67" i="19"/>
  <c r="CF67" i="19" s="1"/>
  <c r="BX67" i="19"/>
  <c r="CD67" i="19" s="1"/>
  <c r="BV67" i="19"/>
  <c r="BT67" i="19"/>
  <c r="BR67" i="19"/>
  <c r="CB66" i="19"/>
  <c r="CH66" i="19" s="1"/>
  <c r="BZ66" i="19"/>
  <c r="CF66" i="19" s="1"/>
  <c r="BX66" i="19"/>
  <c r="CD66" i="19" s="1"/>
  <c r="BV66" i="19"/>
  <c r="BT66" i="19"/>
  <c r="BR66" i="19"/>
  <c r="CG65" i="19"/>
  <c r="CA65" i="19"/>
  <c r="CB65" i="19" s="1"/>
  <c r="CH65" i="19" s="1"/>
  <c r="BZ65" i="19"/>
  <c r="CF65" i="19" s="1"/>
  <c r="BX65" i="19"/>
  <c r="CD65" i="19" s="1"/>
  <c r="BU65" i="19"/>
  <c r="BV65" i="19" s="1"/>
  <c r="BT65" i="19"/>
  <c r="BR65" i="19"/>
  <c r="CG64" i="19"/>
  <c r="CA64" i="19"/>
  <c r="CB64" i="19" s="1"/>
  <c r="CH64" i="19" s="1"/>
  <c r="BZ64" i="19"/>
  <c r="CF64" i="19" s="1"/>
  <c r="BX64" i="19"/>
  <c r="CD64" i="19" s="1"/>
  <c r="BU64" i="19"/>
  <c r="BV64" i="19" s="1"/>
  <c r="BT64" i="19"/>
  <c r="BR64" i="19"/>
  <c r="CB63" i="19"/>
  <c r="CH63" i="19" s="1"/>
  <c r="BZ63" i="19"/>
  <c r="CF63" i="19" s="1"/>
  <c r="BX63" i="19"/>
  <c r="CD63" i="19" s="1"/>
  <c r="BV63" i="19"/>
  <c r="BT63" i="19"/>
  <c r="BR63" i="19"/>
  <c r="CB62" i="19"/>
  <c r="CH62" i="19" s="1"/>
  <c r="BZ62" i="19"/>
  <c r="CF62" i="19" s="1"/>
  <c r="BX62" i="19"/>
  <c r="CD62" i="19" s="1"/>
  <c r="BV62" i="19"/>
  <c r="BT62" i="19"/>
  <c r="BR62" i="19"/>
  <c r="CB61" i="19"/>
  <c r="CH61" i="19" s="1"/>
  <c r="BZ61" i="19"/>
  <c r="CF61" i="19" s="1"/>
  <c r="BX61" i="19"/>
  <c r="CD61" i="19" s="1"/>
  <c r="BV61" i="19"/>
  <c r="BT61" i="19"/>
  <c r="BR61" i="19"/>
  <c r="CB60" i="19"/>
  <c r="CH60" i="19" s="1"/>
  <c r="BZ60" i="19"/>
  <c r="CF60" i="19" s="1"/>
  <c r="BX60" i="19"/>
  <c r="CD60" i="19" s="1"/>
  <c r="BV60" i="19"/>
  <c r="BT60" i="19"/>
  <c r="BR60" i="19"/>
  <c r="CB59" i="19"/>
  <c r="CH59" i="19" s="1"/>
  <c r="BZ59" i="19"/>
  <c r="CF59" i="19" s="1"/>
  <c r="BX59" i="19"/>
  <c r="CD59" i="19" s="1"/>
  <c r="BV59" i="19"/>
  <c r="BT59" i="19"/>
  <c r="BR59" i="19"/>
  <c r="CB58" i="19"/>
  <c r="CH58" i="19" s="1"/>
  <c r="BZ58" i="19"/>
  <c r="CF58" i="19" s="1"/>
  <c r="BX58" i="19"/>
  <c r="CD58" i="19" s="1"/>
  <c r="BV58" i="19"/>
  <c r="BT58" i="19"/>
  <c r="BR58" i="19"/>
  <c r="CB57" i="19"/>
  <c r="CH57" i="19" s="1"/>
  <c r="BZ57" i="19"/>
  <c r="CF57" i="19" s="1"/>
  <c r="BX57" i="19"/>
  <c r="CD57" i="19" s="1"/>
  <c r="BV57" i="19"/>
  <c r="BT57" i="19"/>
  <c r="BR57" i="19"/>
  <c r="CB56" i="19"/>
  <c r="CH56" i="19" s="1"/>
  <c r="BZ56" i="19"/>
  <c r="CF56" i="19" s="1"/>
  <c r="BX56" i="19"/>
  <c r="CD56" i="19" s="1"/>
  <c r="BV56" i="19"/>
  <c r="BT56" i="19"/>
  <c r="BR56" i="19"/>
  <c r="CF55" i="19"/>
  <c r="CB55" i="19"/>
  <c r="CH55" i="19" s="1"/>
  <c r="BZ55" i="19"/>
  <c r="BX55" i="19"/>
  <c r="CD55" i="19" s="1"/>
  <c r="BV55" i="19"/>
  <c r="BT55" i="19"/>
  <c r="BR55" i="19"/>
  <c r="CB54" i="19"/>
  <c r="CH54" i="19" s="1"/>
  <c r="BZ54" i="19"/>
  <c r="CF54" i="19" s="1"/>
  <c r="BX54" i="19"/>
  <c r="CD54" i="19" s="1"/>
  <c r="BV54" i="19"/>
  <c r="BT54" i="19"/>
  <c r="BR54" i="19"/>
  <c r="CB53" i="19"/>
  <c r="CH53" i="19" s="1"/>
  <c r="BZ53" i="19"/>
  <c r="CF53" i="19" s="1"/>
  <c r="BX53" i="19"/>
  <c r="CD53" i="19" s="1"/>
  <c r="BV53" i="19"/>
  <c r="BT53" i="19"/>
  <c r="BR53" i="19"/>
  <c r="CB52" i="19"/>
  <c r="CH52" i="19" s="1"/>
  <c r="BZ52" i="19"/>
  <c r="CF52" i="19" s="1"/>
  <c r="BX52" i="19"/>
  <c r="CD52" i="19" s="1"/>
  <c r="BV52" i="19"/>
  <c r="BT52" i="19"/>
  <c r="BR52" i="19"/>
  <c r="CG51" i="19"/>
  <c r="CA51" i="19"/>
  <c r="CB51" i="19" s="1"/>
  <c r="CH51" i="19" s="1"/>
  <c r="BZ51" i="19"/>
  <c r="CF51" i="19" s="1"/>
  <c r="BX51" i="19"/>
  <c r="CD51" i="19" s="1"/>
  <c r="BU51" i="19"/>
  <c r="BV51" i="19" s="1"/>
  <c r="BT51" i="19"/>
  <c r="BR51" i="19"/>
  <c r="CB50" i="19"/>
  <c r="CH50" i="19" s="1"/>
  <c r="BZ50" i="19"/>
  <c r="CF50" i="19" s="1"/>
  <c r="BX50" i="19"/>
  <c r="CD50" i="19" s="1"/>
  <c r="BV50" i="19"/>
  <c r="BT50" i="19"/>
  <c r="BR50" i="19"/>
  <c r="CB49" i="19"/>
  <c r="CH49" i="19" s="1"/>
  <c r="BZ49" i="19"/>
  <c r="CF49" i="19" s="1"/>
  <c r="BX49" i="19"/>
  <c r="CD49" i="19" s="1"/>
  <c r="BV49" i="19"/>
  <c r="BT49" i="19"/>
  <c r="BR49" i="19"/>
  <c r="CB48" i="19"/>
  <c r="CH48" i="19" s="1"/>
  <c r="BZ48" i="19"/>
  <c r="CF48" i="19" s="1"/>
  <c r="BX48" i="19"/>
  <c r="CD48" i="19" s="1"/>
  <c r="BV48" i="19"/>
  <c r="BT48" i="19"/>
  <c r="BR48" i="19"/>
  <c r="CB47" i="19"/>
  <c r="CH47" i="19" s="1"/>
  <c r="BZ47" i="19"/>
  <c r="CF47" i="19" s="1"/>
  <c r="BX47" i="19"/>
  <c r="CD47" i="19" s="1"/>
  <c r="BV47" i="19"/>
  <c r="BT47" i="19"/>
  <c r="BR47" i="19"/>
  <c r="CB46" i="19"/>
  <c r="CH46" i="19" s="1"/>
  <c r="BZ46" i="19"/>
  <c r="CF46" i="19" s="1"/>
  <c r="BX46" i="19"/>
  <c r="CD46" i="19" s="1"/>
  <c r="BV46" i="19"/>
  <c r="BT46" i="19"/>
  <c r="BR46" i="19"/>
  <c r="CB45" i="19"/>
  <c r="CH45" i="19" s="1"/>
  <c r="BZ45" i="19"/>
  <c r="CF45" i="19" s="1"/>
  <c r="BX45" i="19"/>
  <c r="CD45" i="19" s="1"/>
  <c r="BV45" i="19"/>
  <c r="BT45" i="19"/>
  <c r="BR45" i="19"/>
  <c r="CB44" i="19"/>
  <c r="CH44" i="19" s="1"/>
  <c r="BZ44" i="19"/>
  <c r="CF44" i="19" s="1"/>
  <c r="BX44" i="19"/>
  <c r="CD44" i="19" s="1"/>
  <c r="BV44" i="19"/>
  <c r="BT44" i="19"/>
  <c r="BR44" i="19"/>
  <c r="CB43" i="19"/>
  <c r="CH43" i="19" s="1"/>
  <c r="BZ43" i="19"/>
  <c r="CF43" i="19" s="1"/>
  <c r="BX43" i="19"/>
  <c r="CD43" i="19" s="1"/>
  <c r="BV43" i="19"/>
  <c r="BT43" i="19"/>
  <c r="BR43" i="19"/>
  <c r="CB42" i="19"/>
  <c r="CH42" i="19" s="1"/>
  <c r="BZ42" i="19"/>
  <c r="CF42" i="19" s="1"/>
  <c r="BX42" i="19"/>
  <c r="CD42" i="19" s="1"/>
  <c r="BV42" i="19"/>
  <c r="BT42" i="19"/>
  <c r="BR42" i="19"/>
  <c r="CB41" i="19"/>
  <c r="CH41" i="19" s="1"/>
  <c r="BZ41" i="19"/>
  <c r="CF41" i="19" s="1"/>
  <c r="BX41" i="19"/>
  <c r="CD41" i="19" s="1"/>
  <c r="BV41" i="19"/>
  <c r="BT41" i="19"/>
  <c r="BR41" i="19"/>
  <c r="CG40" i="19"/>
  <c r="CA40" i="19"/>
  <c r="CB40" i="19" s="1"/>
  <c r="CH40" i="19" s="1"/>
  <c r="BZ40" i="19"/>
  <c r="CF40" i="19" s="1"/>
  <c r="BX40" i="19"/>
  <c r="CD40" i="19" s="1"/>
  <c r="BU40" i="19"/>
  <c r="BV40" i="19" s="1"/>
  <c r="BT40" i="19"/>
  <c r="BR40" i="19"/>
  <c r="CB39" i="19"/>
  <c r="CH39" i="19" s="1"/>
  <c r="BZ39" i="19"/>
  <c r="CF39" i="19" s="1"/>
  <c r="BX39" i="19"/>
  <c r="CD39" i="19" s="1"/>
  <c r="BV39" i="19"/>
  <c r="BT39" i="19"/>
  <c r="BR39" i="19"/>
  <c r="CB38" i="19"/>
  <c r="CH38" i="19" s="1"/>
  <c r="BZ38" i="19"/>
  <c r="CF38" i="19" s="1"/>
  <c r="BX38" i="19"/>
  <c r="CD38" i="19" s="1"/>
  <c r="BV38" i="19"/>
  <c r="BT38" i="19"/>
  <c r="BR38" i="19"/>
  <c r="CB37" i="19"/>
  <c r="CH37" i="19" s="1"/>
  <c r="BZ37" i="19"/>
  <c r="CF37" i="19" s="1"/>
  <c r="BX37" i="19"/>
  <c r="CD37" i="19" s="1"/>
  <c r="BV37" i="19"/>
  <c r="BT37" i="19"/>
  <c r="BR37" i="19"/>
  <c r="CG36" i="19"/>
  <c r="CA36" i="19"/>
  <c r="CB36" i="19" s="1"/>
  <c r="CH36" i="19" s="1"/>
  <c r="BZ36" i="19"/>
  <c r="CF36" i="19" s="1"/>
  <c r="BX36" i="19"/>
  <c r="CD36" i="19" s="1"/>
  <c r="BU36" i="19"/>
  <c r="BV36" i="19" s="1"/>
  <c r="BT36" i="19"/>
  <c r="BR36" i="19"/>
  <c r="CG35" i="19"/>
  <c r="CA35" i="19"/>
  <c r="CB35" i="19" s="1"/>
  <c r="CH35" i="19" s="1"/>
  <c r="BZ35" i="19"/>
  <c r="CF35" i="19" s="1"/>
  <c r="BX35" i="19"/>
  <c r="CD35" i="19" s="1"/>
  <c r="BU35" i="19"/>
  <c r="BV35" i="19" s="1"/>
  <c r="BT35" i="19"/>
  <c r="BR35" i="19"/>
  <c r="CB34" i="19"/>
  <c r="CH34" i="19" s="1"/>
  <c r="BZ34" i="19"/>
  <c r="CF34" i="19" s="1"/>
  <c r="BX34" i="19"/>
  <c r="CD34" i="19" s="1"/>
  <c r="BV34" i="19"/>
  <c r="BT34" i="19"/>
  <c r="BR34" i="19"/>
  <c r="CB33" i="19"/>
  <c r="CH33" i="19" s="1"/>
  <c r="BZ33" i="19"/>
  <c r="CF33" i="19" s="1"/>
  <c r="BX33" i="19"/>
  <c r="CD33" i="19" s="1"/>
  <c r="BV33" i="19"/>
  <c r="BT33" i="19"/>
  <c r="BR33" i="19"/>
  <c r="CB32" i="19"/>
  <c r="CH32" i="19" s="1"/>
  <c r="BZ32" i="19"/>
  <c r="CF32" i="19" s="1"/>
  <c r="BX32" i="19"/>
  <c r="CD32" i="19" s="1"/>
  <c r="BV32" i="19"/>
  <c r="BT32" i="19"/>
  <c r="BR32" i="19"/>
  <c r="CB31" i="19"/>
  <c r="CH31" i="19" s="1"/>
  <c r="BZ31" i="19"/>
  <c r="CF31" i="19" s="1"/>
  <c r="BX31" i="19"/>
  <c r="CD31" i="19" s="1"/>
  <c r="BV31" i="19"/>
  <c r="BT31" i="19"/>
  <c r="BR31" i="19"/>
  <c r="CB30" i="19"/>
  <c r="CH30" i="19" s="1"/>
  <c r="BZ30" i="19"/>
  <c r="CF30" i="19" s="1"/>
  <c r="BX30" i="19"/>
  <c r="CD30" i="19" s="1"/>
  <c r="BV30" i="19"/>
  <c r="BT30" i="19"/>
  <c r="BR30" i="19"/>
  <c r="CB29" i="19"/>
  <c r="CH29" i="19" s="1"/>
  <c r="BZ29" i="19"/>
  <c r="CF29" i="19" s="1"/>
  <c r="BX29" i="19"/>
  <c r="CD29" i="19" s="1"/>
  <c r="BV29" i="19"/>
  <c r="BT29" i="19"/>
  <c r="BR29" i="19"/>
  <c r="CB28" i="19"/>
  <c r="CH28" i="19" s="1"/>
  <c r="BZ28" i="19"/>
  <c r="CF28" i="19" s="1"/>
  <c r="BX28" i="19"/>
  <c r="CD28" i="19" s="1"/>
  <c r="BV28" i="19"/>
  <c r="BT28" i="19"/>
  <c r="BR28" i="19"/>
  <c r="CB27" i="19"/>
  <c r="CH27" i="19" s="1"/>
  <c r="BZ27" i="19"/>
  <c r="CF27" i="19" s="1"/>
  <c r="BX27" i="19"/>
  <c r="CD27" i="19" s="1"/>
  <c r="BV27" i="19"/>
  <c r="BT27" i="19"/>
  <c r="BR27" i="19"/>
  <c r="CB26" i="19"/>
  <c r="CH26" i="19" s="1"/>
  <c r="BZ26" i="19"/>
  <c r="CF26" i="19" s="1"/>
  <c r="BX26" i="19"/>
  <c r="CD26" i="19" s="1"/>
  <c r="BV26" i="19"/>
  <c r="BT26" i="19"/>
  <c r="BR26" i="19"/>
  <c r="CB25" i="19"/>
  <c r="CH25" i="19" s="1"/>
  <c r="BZ25" i="19"/>
  <c r="CF25" i="19" s="1"/>
  <c r="BX25" i="19"/>
  <c r="CD25" i="19" s="1"/>
  <c r="BV25" i="19"/>
  <c r="BT25" i="19"/>
  <c r="BR25" i="19"/>
  <c r="CB24" i="19"/>
  <c r="CH24" i="19" s="1"/>
  <c r="BZ24" i="19"/>
  <c r="CF24" i="19" s="1"/>
  <c r="BX24" i="19"/>
  <c r="CD24" i="19" s="1"/>
  <c r="BV24" i="19"/>
  <c r="BT24" i="19"/>
  <c r="BR24" i="19"/>
  <c r="CB23" i="19"/>
  <c r="CH23" i="19" s="1"/>
  <c r="BZ23" i="19"/>
  <c r="CF23" i="19" s="1"/>
  <c r="BX23" i="19"/>
  <c r="CD23" i="19" s="1"/>
  <c r="BV23" i="19"/>
  <c r="BT23" i="19"/>
  <c r="BR23" i="19"/>
  <c r="CG22" i="19"/>
  <c r="CA22" i="19"/>
  <c r="CB22" i="19" s="1"/>
  <c r="CH22" i="19" s="1"/>
  <c r="BZ22" i="19"/>
  <c r="CF22" i="19" s="1"/>
  <c r="BX22" i="19"/>
  <c r="CD22" i="19" s="1"/>
  <c r="BU22" i="19"/>
  <c r="BV22" i="19" s="1"/>
  <c r="BT22" i="19"/>
  <c r="BR22" i="19"/>
  <c r="CH20" i="19"/>
  <c r="CF20" i="19"/>
  <c r="CD20" i="19"/>
  <c r="CB20" i="19"/>
  <c r="BZ20" i="19"/>
  <c r="BX20" i="19"/>
  <c r="BV20" i="19"/>
  <c r="BT20" i="19"/>
  <c r="BR20" i="19"/>
  <c r="CH19" i="19"/>
  <c r="CF19" i="19"/>
  <c r="CD19" i="19"/>
  <c r="CB19" i="19"/>
  <c r="BZ19" i="19"/>
  <c r="BX19" i="19"/>
  <c r="BV19" i="19"/>
  <c r="BT19" i="19"/>
  <c r="BR19" i="19"/>
  <c r="CH16" i="19"/>
  <c r="CE16" i="19"/>
  <c r="BY16" i="19"/>
  <c r="BU16" i="19"/>
  <c r="CH15" i="19"/>
  <c r="CF15" i="19"/>
  <c r="CD15" i="19"/>
  <c r="CB15" i="19"/>
  <c r="BZ15" i="19"/>
  <c r="BX15" i="19"/>
  <c r="BV15" i="19"/>
  <c r="BT15" i="19"/>
  <c r="BR15" i="19"/>
  <c r="CH14" i="19"/>
  <c r="CF14" i="19"/>
  <c r="CD14" i="19"/>
  <c r="CB14" i="19"/>
  <c r="BZ14" i="19"/>
  <c r="BX14" i="19"/>
  <c r="BV14" i="19"/>
  <c r="BT14" i="19"/>
  <c r="BR14" i="19"/>
  <c r="CH13" i="19"/>
  <c r="CF13" i="19"/>
  <c r="CD13" i="19"/>
  <c r="CB13" i="19"/>
  <c r="BZ13" i="19"/>
  <c r="BX13" i="19"/>
  <c r="BV13" i="19"/>
  <c r="BT13" i="19"/>
  <c r="BR13" i="19"/>
  <c r="CH12" i="19"/>
  <c r="CF12" i="19"/>
  <c r="CD12" i="19"/>
  <c r="CB12" i="19"/>
  <c r="BZ12" i="19"/>
  <c r="BX12" i="19"/>
  <c r="BV12" i="19"/>
  <c r="BT12" i="19"/>
  <c r="BR12" i="19"/>
  <c r="CH11" i="19"/>
  <c r="CF11" i="19"/>
  <c r="CD11" i="19"/>
  <c r="CB11" i="19"/>
  <c r="BZ11" i="19"/>
  <c r="BX11" i="19"/>
  <c r="BV11" i="19"/>
  <c r="BT11" i="19"/>
  <c r="BR11" i="19"/>
  <c r="CH10" i="19"/>
  <c r="CF10" i="19"/>
  <c r="CD10" i="19"/>
  <c r="CB10" i="19"/>
  <c r="BZ10" i="19"/>
  <c r="BX10" i="19"/>
  <c r="BV10" i="19"/>
  <c r="BT10" i="19"/>
  <c r="BR10" i="19"/>
  <c r="CH9" i="19"/>
  <c r="CF9" i="19"/>
  <c r="CD9" i="19"/>
  <c r="CB9" i="19"/>
  <c r="BZ9" i="19"/>
  <c r="BX9" i="19"/>
  <c r="BV9" i="19"/>
  <c r="BT9" i="19"/>
  <c r="BR9" i="19"/>
  <c r="CH8" i="19"/>
  <c r="CF8" i="19"/>
  <c r="CD8" i="19"/>
  <c r="CB8" i="19"/>
  <c r="BZ8" i="19"/>
  <c r="BX8" i="19"/>
  <c r="BV8" i="19"/>
  <c r="BT8" i="19"/>
  <c r="BR8" i="19"/>
  <c r="CH7" i="19"/>
  <c r="CF7" i="19"/>
  <c r="CD7" i="19"/>
  <c r="CB7" i="19"/>
  <c r="BZ7" i="19"/>
  <c r="BX7" i="19"/>
  <c r="BV7" i="19"/>
  <c r="BT7" i="19"/>
  <c r="BR7" i="19"/>
  <c r="CF6" i="19"/>
  <c r="CD6" i="19"/>
  <c r="CB6" i="19"/>
  <c r="BZ6" i="19"/>
  <c r="BX6" i="19"/>
  <c r="BV6" i="19"/>
  <c r="BT6" i="19"/>
  <c r="BR6" i="19"/>
  <c r="CG5" i="19"/>
  <c r="CH5" i="19" s="1"/>
  <c r="CE5" i="19"/>
  <c r="CF5" i="19" s="1"/>
  <c r="CC5" i="19"/>
  <c r="CD5" i="19" s="1"/>
  <c r="CA5" i="19"/>
  <c r="CB5" i="19" s="1"/>
  <c r="BY5" i="19"/>
  <c r="BZ5" i="19" s="1"/>
  <c r="BW5" i="19"/>
  <c r="BX5" i="19" s="1"/>
  <c r="BU5" i="19"/>
  <c r="BV5" i="19" s="1"/>
  <c r="BS5" i="19"/>
  <c r="BT5" i="19" s="1"/>
  <c r="BQ5" i="19"/>
  <c r="BR5" i="19" s="1"/>
  <c r="BV2" i="19"/>
  <c r="BU2" i="19"/>
  <c r="BT2" i="19"/>
  <c r="AJ11" i="25" l="1"/>
  <c r="AJ12" i="25" s="1"/>
  <c r="AJ13" i="25" s="1"/>
  <c r="AJ14" i="25" s="1"/>
  <c r="AJ15" i="25" s="1"/>
  <c r="AJ16" i="25" s="1"/>
  <c r="AJ17" i="25" s="1"/>
  <c r="AJ18" i="25" s="1"/>
  <c r="AJ19" i="25" s="1"/>
  <c r="AJ20" i="25" s="1"/>
  <c r="AJ21" i="25" s="1"/>
  <c r="AJ22" i="25" s="1"/>
  <c r="AJ23" i="25" s="1"/>
  <c r="AJ24" i="25" s="1"/>
  <c r="AJ25" i="25" s="1"/>
  <c r="AJ26" i="25" s="1"/>
  <c r="AJ27" i="25" s="1"/>
  <c r="AJ28" i="25" s="1"/>
  <c r="AJ29" i="25" s="1"/>
  <c r="AJ30" i="25" s="1"/>
  <c r="G51" i="25"/>
  <c r="G50" i="25"/>
  <c r="H47" i="25"/>
  <c r="H48" i="25"/>
  <c r="G47" i="25"/>
  <c r="H51" i="25"/>
  <c r="H52" i="25"/>
  <c r="H50" i="25"/>
  <c r="F8" i="25"/>
  <c r="G48" i="25"/>
  <c r="G49" i="25"/>
  <c r="Y8" i="25"/>
  <c r="Y15" i="25" s="1"/>
  <c r="D53" i="25"/>
  <c r="I52" i="25" s="1"/>
  <c r="CA16" i="19"/>
  <c r="BZ16" i="19"/>
  <c r="CB16" i="19"/>
  <c r="BT16" i="19"/>
  <c r="CF16" i="19"/>
  <c r="CG16" i="19"/>
  <c r="I49" i="25" l="1"/>
  <c r="I51" i="25"/>
  <c r="I48" i="25"/>
  <c r="I50" i="25"/>
  <c r="I47" i="25"/>
  <c r="H2" i="19"/>
  <c r="I16" i="19"/>
  <c r="H16" i="19"/>
  <c r="O45" i="22"/>
  <c r="P16" i="19"/>
  <c r="J16" i="19"/>
  <c r="O16" i="19" l="1"/>
  <c r="S16" i="19" s="1"/>
  <c r="G2" i="19"/>
  <c r="AM5" i="21"/>
  <c r="AK7" i="21"/>
  <c r="AL7" i="21"/>
  <c r="AK11" i="21"/>
  <c r="AL11" i="21"/>
  <c r="AM15" i="21"/>
  <c r="AM29" i="21"/>
  <c r="E24" i="22" s="1"/>
  <c r="AL32" i="21"/>
  <c r="D4" i="22" s="1"/>
  <c r="AN35" i="21"/>
  <c r="AL55" i="21"/>
  <c r="AP65" i="21"/>
  <c r="AK71" i="21"/>
  <c r="AL71" i="21"/>
  <c r="AP71" i="21"/>
  <c r="AK75" i="21"/>
  <c r="Q3" i="21"/>
  <c r="R3" i="21"/>
  <c r="S3" i="21" s="1"/>
  <c r="T3" i="21"/>
  <c r="U3" i="21"/>
  <c r="V3" i="21" s="1"/>
  <c r="W3" i="21"/>
  <c r="X3" i="21"/>
  <c r="Z3" i="21"/>
  <c r="AA3" i="21"/>
  <c r="AC3" i="21"/>
  <c r="AD3" i="21"/>
  <c r="AF3" i="21"/>
  <c r="AG3" i="21"/>
  <c r="AH3" i="21" s="1"/>
  <c r="Q4" i="21"/>
  <c r="R4" i="21"/>
  <c r="T4" i="21"/>
  <c r="U4" i="21"/>
  <c r="W4" i="21"/>
  <c r="X4" i="21"/>
  <c r="Y4" i="21" s="1"/>
  <c r="Z4" i="21"/>
  <c r="AB4" i="21" s="1"/>
  <c r="AA4" i="21"/>
  <c r="AC4" i="21"/>
  <c r="AD4" i="21"/>
  <c r="AF4" i="21"/>
  <c r="AG4" i="21"/>
  <c r="Q5" i="21"/>
  <c r="R5" i="21"/>
  <c r="T5" i="21"/>
  <c r="U5" i="21"/>
  <c r="W5" i="21"/>
  <c r="X5" i="21"/>
  <c r="AN5" i="21" s="1"/>
  <c r="Y5" i="21"/>
  <c r="Z5" i="21"/>
  <c r="AA5" i="21"/>
  <c r="AP5" i="21" s="1"/>
  <c r="AC5" i="21"/>
  <c r="AD5" i="21"/>
  <c r="AF5" i="21"/>
  <c r="AG5" i="21"/>
  <c r="Q6" i="21"/>
  <c r="R6" i="21"/>
  <c r="S6" i="21" s="1"/>
  <c r="T6" i="21"/>
  <c r="U6" i="21"/>
  <c r="W6" i="21"/>
  <c r="X6" i="21"/>
  <c r="Y6" i="21" s="1"/>
  <c r="Z6" i="21"/>
  <c r="AA6" i="21"/>
  <c r="AC6" i="21"/>
  <c r="AD6" i="21"/>
  <c r="AF6" i="21"/>
  <c r="AG6" i="21"/>
  <c r="Q7" i="21"/>
  <c r="R7" i="21"/>
  <c r="T7" i="21"/>
  <c r="U7" i="21"/>
  <c r="W7" i="21"/>
  <c r="X7" i="21"/>
  <c r="Z7" i="21"/>
  <c r="AA7" i="21"/>
  <c r="AP7" i="21" s="1"/>
  <c r="AC7" i="21"/>
  <c r="AD7" i="21"/>
  <c r="AF7" i="21"/>
  <c r="AG7" i="21"/>
  <c r="Q8" i="21"/>
  <c r="R8" i="21"/>
  <c r="T8" i="21"/>
  <c r="U8" i="21"/>
  <c r="W8" i="21"/>
  <c r="X8" i="21"/>
  <c r="Z8" i="21"/>
  <c r="AA8" i="21"/>
  <c r="AP8" i="21" s="1"/>
  <c r="AC8" i="21"/>
  <c r="AD8" i="21"/>
  <c r="AF8" i="21"/>
  <c r="AG8" i="21"/>
  <c r="Q9" i="21"/>
  <c r="R9" i="21"/>
  <c r="T9" i="21"/>
  <c r="U9" i="21"/>
  <c r="V9" i="21" s="1"/>
  <c r="W9" i="21"/>
  <c r="X9" i="21"/>
  <c r="Z9" i="21"/>
  <c r="AA9" i="21"/>
  <c r="AC9" i="21"/>
  <c r="AD9" i="21"/>
  <c r="AF9" i="21"/>
  <c r="AG9" i="21"/>
  <c r="Q10" i="21"/>
  <c r="R10" i="21"/>
  <c r="T10" i="21"/>
  <c r="U10" i="21"/>
  <c r="W10" i="21"/>
  <c r="X10" i="21"/>
  <c r="Z10" i="21"/>
  <c r="AA10" i="21"/>
  <c r="AP10" i="21" s="1"/>
  <c r="AC10" i="21"/>
  <c r="AD10" i="21"/>
  <c r="AF10" i="21"/>
  <c r="AG10" i="21"/>
  <c r="Q11" i="21"/>
  <c r="R11" i="21"/>
  <c r="S11" i="21"/>
  <c r="T11" i="21"/>
  <c r="U11" i="21"/>
  <c r="V11" i="21" s="1"/>
  <c r="W11" i="21"/>
  <c r="X11" i="21"/>
  <c r="Z11" i="21"/>
  <c r="AA11" i="21"/>
  <c r="AC11" i="21"/>
  <c r="AD11" i="21"/>
  <c r="AE11" i="21" s="1"/>
  <c r="AF11" i="21"/>
  <c r="AG11" i="21"/>
  <c r="AH11" i="21" s="1"/>
  <c r="Q12" i="21"/>
  <c r="R12" i="21"/>
  <c r="T12" i="21"/>
  <c r="U12" i="21"/>
  <c r="W12" i="21"/>
  <c r="X12" i="21"/>
  <c r="Y12" i="21" s="1"/>
  <c r="Z12" i="21"/>
  <c r="AA12" i="21"/>
  <c r="AC12" i="21"/>
  <c r="AD12" i="21"/>
  <c r="AF12" i="21"/>
  <c r="AG12" i="21"/>
  <c r="Q13" i="21"/>
  <c r="R13" i="21"/>
  <c r="T13" i="21"/>
  <c r="U13" i="21"/>
  <c r="W13" i="21"/>
  <c r="X13" i="21"/>
  <c r="Z13" i="21"/>
  <c r="AA13" i="21"/>
  <c r="AC13" i="21"/>
  <c r="AD13" i="21"/>
  <c r="AF13" i="21"/>
  <c r="AG13" i="21"/>
  <c r="Q14" i="21"/>
  <c r="R14" i="21"/>
  <c r="T14" i="21"/>
  <c r="U14" i="21"/>
  <c r="W14" i="21"/>
  <c r="X14" i="21"/>
  <c r="Y14" i="21" s="1"/>
  <c r="Z14" i="21"/>
  <c r="AA14" i="21"/>
  <c r="AC14" i="21"/>
  <c r="AD14" i="21"/>
  <c r="AF14" i="21"/>
  <c r="AG14" i="21"/>
  <c r="Q15" i="21"/>
  <c r="R15" i="21"/>
  <c r="T15" i="21"/>
  <c r="U15" i="21"/>
  <c r="V15" i="21" s="1"/>
  <c r="W15" i="21"/>
  <c r="X15" i="21"/>
  <c r="Y15" i="21" s="1"/>
  <c r="Z15" i="21"/>
  <c r="AA15" i="21"/>
  <c r="AC15" i="21"/>
  <c r="AD15" i="21"/>
  <c r="AE15" i="21" s="1"/>
  <c r="AF15" i="21"/>
  <c r="AG15" i="21"/>
  <c r="Q16" i="21"/>
  <c r="R16" i="21"/>
  <c r="T16" i="21"/>
  <c r="U16" i="21"/>
  <c r="W16" i="21"/>
  <c r="X16" i="21"/>
  <c r="Y16" i="21"/>
  <c r="Z16" i="21"/>
  <c r="AA16" i="21"/>
  <c r="AC16" i="21"/>
  <c r="AD16" i="21"/>
  <c r="AE16" i="21" s="1"/>
  <c r="AF16" i="21"/>
  <c r="AG16" i="21"/>
  <c r="Q17" i="21"/>
  <c r="R17" i="21"/>
  <c r="T17" i="21"/>
  <c r="U17" i="21"/>
  <c r="W17" i="21"/>
  <c r="X17" i="21"/>
  <c r="Y17" i="21" s="1"/>
  <c r="Z17" i="21"/>
  <c r="AA17" i="21"/>
  <c r="AB17" i="21" s="1"/>
  <c r="AC17" i="21"/>
  <c r="AD17" i="21"/>
  <c r="AF17" i="21"/>
  <c r="AG17" i="21"/>
  <c r="Q18" i="21"/>
  <c r="R18" i="21"/>
  <c r="S18" i="21"/>
  <c r="T18" i="21"/>
  <c r="U18" i="21"/>
  <c r="V18" i="21" s="1"/>
  <c r="W18" i="21"/>
  <c r="X18" i="21"/>
  <c r="Z18" i="21"/>
  <c r="AA18" i="21"/>
  <c r="AC18" i="21"/>
  <c r="AD18" i="21"/>
  <c r="AF18" i="21"/>
  <c r="AG18" i="21"/>
  <c r="Q19" i="21"/>
  <c r="R19" i="21"/>
  <c r="T19" i="21"/>
  <c r="U19" i="21"/>
  <c r="W19" i="21"/>
  <c r="X19" i="21"/>
  <c r="Z19" i="21"/>
  <c r="AA19" i="21"/>
  <c r="AC19" i="21"/>
  <c r="AD19" i="21"/>
  <c r="AE19" i="21"/>
  <c r="AF19" i="21"/>
  <c r="AG19" i="21"/>
  <c r="AH19" i="21" s="1"/>
  <c r="Q20" i="21"/>
  <c r="R20" i="21"/>
  <c r="T20" i="21"/>
  <c r="U20" i="21"/>
  <c r="W20" i="21"/>
  <c r="X20" i="21"/>
  <c r="Z20" i="21"/>
  <c r="AA20" i="21"/>
  <c r="AC20" i="21"/>
  <c r="AD20" i="21"/>
  <c r="AE20" i="21" s="1"/>
  <c r="AF20" i="21"/>
  <c r="AG20" i="21"/>
  <c r="Q21" i="21"/>
  <c r="R21" i="21"/>
  <c r="AN21" i="21" s="1"/>
  <c r="F17" i="22" s="1"/>
  <c r="T21" i="21"/>
  <c r="U21" i="21"/>
  <c r="W21" i="21"/>
  <c r="X21" i="21"/>
  <c r="Y21" i="21" s="1"/>
  <c r="Z21" i="21"/>
  <c r="AA21" i="21"/>
  <c r="AC21" i="21"/>
  <c r="AD21" i="21"/>
  <c r="AF21" i="21"/>
  <c r="AG21" i="21"/>
  <c r="AP21" i="21" s="1"/>
  <c r="H17" i="22" s="1"/>
  <c r="Q22" i="21"/>
  <c r="R22" i="21"/>
  <c r="AN22" i="21" s="1"/>
  <c r="F18" i="22" s="1"/>
  <c r="S22" i="21"/>
  <c r="T22" i="21"/>
  <c r="U22" i="21"/>
  <c r="W22" i="21"/>
  <c r="X22" i="21"/>
  <c r="Z22" i="21"/>
  <c r="AA22" i="21"/>
  <c r="AC22" i="21"/>
  <c r="AD22" i="21"/>
  <c r="AE22" i="21" s="1"/>
  <c r="AF22" i="21"/>
  <c r="AG22" i="21"/>
  <c r="Q23" i="21"/>
  <c r="AM23" i="21" s="1"/>
  <c r="R23" i="21"/>
  <c r="T23" i="21"/>
  <c r="U23" i="21"/>
  <c r="W23" i="21"/>
  <c r="X23" i="21"/>
  <c r="Z23" i="21"/>
  <c r="AA23" i="21"/>
  <c r="AC23" i="21"/>
  <c r="AD23" i="21"/>
  <c r="AF23" i="21"/>
  <c r="AG23" i="21"/>
  <c r="AP23" i="21" s="1"/>
  <c r="Q24" i="21"/>
  <c r="R24" i="21"/>
  <c r="AN24" i="21" s="1"/>
  <c r="F19" i="22" s="1"/>
  <c r="T24" i="21"/>
  <c r="U24" i="21"/>
  <c r="W24" i="21"/>
  <c r="X24" i="21"/>
  <c r="Z24" i="21"/>
  <c r="AA24" i="21"/>
  <c r="AC24" i="21"/>
  <c r="AD24" i="21"/>
  <c r="AF24" i="21"/>
  <c r="AG24" i="21"/>
  <c r="AH24" i="21" s="1"/>
  <c r="Q25" i="21"/>
  <c r="R25" i="21"/>
  <c r="S25" i="21" s="1"/>
  <c r="T25" i="21"/>
  <c r="U25" i="21"/>
  <c r="W25" i="21"/>
  <c r="X25" i="21"/>
  <c r="Z25" i="21"/>
  <c r="AA25" i="21"/>
  <c r="AC25" i="21"/>
  <c r="AD25" i="21"/>
  <c r="AE25" i="21" s="1"/>
  <c r="AF25" i="21"/>
  <c r="AG25" i="21"/>
  <c r="Q26" i="21"/>
  <c r="R26" i="21"/>
  <c r="AN26" i="21" s="1"/>
  <c r="F21" i="22" s="1"/>
  <c r="F36" i="22" s="1"/>
  <c r="T26" i="21"/>
  <c r="U26" i="21"/>
  <c r="W26" i="21"/>
  <c r="X26" i="21"/>
  <c r="Y26" i="21" s="1"/>
  <c r="Z26" i="21"/>
  <c r="AA26" i="21"/>
  <c r="AC26" i="21"/>
  <c r="AD26" i="21"/>
  <c r="AF26" i="21"/>
  <c r="AG26" i="21"/>
  <c r="AP26" i="21" s="1"/>
  <c r="H21" i="22" s="1"/>
  <c r="H36" i="22" s="1"/>
  <c r="Q27" i="21"/>
  <c r="AM27" i="21" s="1"/>
  <c r="E22" i="22" s="1"/>
  <c r="R27" i="21"/>
  <c r="T27" i="21"/>
  <c r="U27" i="21"/>
  <c r="W27" i="21"/>
  <c r="X27" i="21"/>
  <c r="Z27" i="21"/>
  <c r="AA27" i="21"/>
  <c r="AC27" i="21"/>
  <c r="AD27" i="21"/>
  <c r="AE27" i="21"/>
  <c r="AF27" i="21"/>
  <c r="AG27" i="21"/>
  <c r="AH27" i="21" s="1"/>
  <c r="Q28" i="21"/>
  <c r="R28" i="21"/>
  <c r="T28" i="21"/>
  <c r="U28" i="21"/>
  <c r="W28" i="21"/>
  <c r="X28" i="21"/>
  <c r="Y28" i="21" s="1"/>
  <c r="Z28" i="21"/>
  <c r="AA28" i="21"/>
  <c r="AB28" i="21"/>
  <c r="AC28" i="21"/>
  <c r="AD28" i="21"/>
  <c r="AF28" i="21"/>
  <c r="AG28" i="21"/>
  <c r="Q29" i="21"/>
  <c r="R29" i="21"/>
  <c r="S29" i="21" s="1"/>
  <c r="T29" i="21"/>
  <c r="U29" i="21"/>
  <c r="W29" i="21"/>
  <c r="X29" i="21"/>
  <c r="Z29" i="21"/>
  <c r="AA29" i="21"/>
  <c r="AC29" i="21"/>
  <c r="AD29" i="21"/>
  <c r="AE29" i="21" s="1"/>
  <c r="AF29" i="21"/>
  <c r="AG29" i="21"/>
  <c r="Q30" i="21"/>
  <c r="R30" i="21"/>
  <c r="T30" i="21"/>
  <c r="U30" i="21"/>
  <c r="W30" i="21"/>
  <c r="X30" i="21"/>
  <c r="Z30" i="21"/>
  <c r="AA30" i="21"/>
  <c r="AC30" i="21"/>
  <c r="AD30" i="21"/>
  <c r="AE30" i="21"/>
  <c r="AF30" i="21"/>
  <c r="AG30" i="21"/>
  <c r="Q31" i="21"/>
  <c r="R31" i="21"/>
  <c r="T31" i="21"/>
  <c r="U31" i="21"/>
  <c r="W31" i="21"/>
  <c r="X31" i="21"/>
  <c r="Z31" i="21"/>
  <c r="AA31" i="21"/>
  <c r="AC31" i="21"/>
  <c r="AD31" i="21"/>
  <c r="AF31" i="21"/>
  <c r="AG31" i="21"/>
  <c r="Q32" i="21"/>
  <c r="R32" i="21"/>
  <c r="T32" i="21"/>
  <c r="U32" i="21"/>
  <c r="W32" i="21"/>
  <c r="X32" i="21"/>
  <c r="Z32" i="21"/>
  <c r="AA32" i="21"/>
  <c r="AB32" i="21" s="1"/>
  <c r="AC32" i="21"/>
  <c r="AD32" i="21"/>
  <c r="AE32" i="21" s="1"/>
  <c r="AF32" i="21"/>
  <c r="AG32" i="21"/>
  <c r="Q33" i="21"/>
  <c r="R33" i="21"/>
  <c r="T33" i="21"/>
  <c r="U33" i="21"/>
  <c r="W33" i="21"/>
  <c r="X33" i="21"/>
  <c r="Z33" i="21"/>
  <c r="AA33" i="21"/>
  <c r="AC33" i="21"/>
  <c r="AD33" i="21"/>
  <c r="AE33" i="21" s="1"/>
  <c r="AF33" i="21"/>
  <c r="AG33" i="21"/>
  <c r="Q34" i="21"/>
  <c r="R34" i="21"/>
  <c r="T34" i="21"/>
  <c r="U34" i="21"/>
  <c r="W34" i="21"/>
  <c r="X34" i="21"/>
  <c r="Z34" i="21"/>
  <c r="AA34" i="21"/>
  <c r="AC34" i="21"/>
  <c r="AD34" i="21"/>
  <c r="AF34" i="21"/>
  <c r="AG34" i="21"/>
  <c r="Q35" i="21"/>
  <c r="R35" i="21"/>
  <c r="T35" i="21"/>
  <c r="U35" i="21"/>
  <c r="W35" i="21"/>
  <c r="X35" i="21"/>
  <c r="Z35" i="21"/>
  <c r="AA35" i="21"/>
  <c r="AC35" i="21"/>
  <c r="AD35" i="21"/>
  <c r="AP35" i="21" s="1"/>
  <c r="AF35" i="21"/>
  <c r="AG35" i="21"/>
  <c r="Q36" i="21"/>
  <c r="R36" i="21"/>
  <c r="T36" i="21"/>
  <c r="U36" i="21"/>
  <c r="W36" i="21"/>
  <c r="X36" i="21"/>
  <c r="Z36" i="21"/>
  <c r="AA36" i="21"/>
  <c r="AC36" i="21"/>
  <c r="AD36" i="21"/>
  <c r="AF36" i="21"/>
  <c r="AG36" i="21"/>
  <c r="Q37" i="21"/>
  <c r="R37" i="21"/>
  <c r="T37" i="21"/>
  <c r="U37" i="21"/>
  <c r="W37" i="21"/>
  <c r="X37" i="21"/>
  <c r="Y37" i="21" s="1"/>
  <c r="Z37" i="21"/>
  <c r="AA37" i="21"/>
  <c r="AC37" i="21"/>
  <c r="AD37" i="21"/>
  <c r="AE37" i="21" s="1"/>
  <c r="AF37" i="21"/>
  <c r="AG37" i="21"/>
  <c r="AH37" i="21" s="1"/>
  <c r="Q38" i="21"/>
  <c r="R38" i="21"/>
  <c r="T38" i="21"/>
  <c r="U38" i="21"/>
  <c r="W38" i="21"/>
  <c r="X38" i="21"/>
  <c r="Z38" i="21"/>
  <c r="AA38" i="21"/>
  <c r="AC38" i="21"/>
  <c r="AD38" i="21"/>
  <c r="AE38" i="21" s="1"/>
  <c r="AF38" i="21"/>
  <c r="AG38" i="21"/>
  <c r="Q39" i="21"/>
  <c r="R39" i="21"/>
  <c r="T39" i="21"/>
  <c r="U39" i="21"/>
  <c r="W39" i="21"/>
  <c r="X39" i="21"/>
  <c r="Y39" i="21" s="1"/>
  <c r="Z39" i="21"/>
  <c r="AA39" i="21"/>
  <c r="AB39" i="21" s="1"/>
  <c r="AC39" i="21"/>
  <c r="AD39" i="21"/>
  <c r="AF39" i="21"/>
  <c r="AG39" i="21"/>
  <c r="Q40" i="21"/>
  <c r="R40" i="21"/>
  <c r="T40" i="21"/>
  <c r="U40" i="21"/>
  <c r="V40" i="21" s="1"/>
  <c r="W40" i="21"/>
  <c r="X40" i="21"/>
  <c r="Y40" i="21" s="1"/>
  <c r="Z40" i="21"/>
  <c r="AA40" i="21"/>
  <c r="AC40" i="21"/>
  <c r="AD40" i="21"/>
  <c r="AE40" i="21" s="1"/>
  <c r="AF40" i="21"/>
  <c r="AG40" i="21"/>
  <c r="AH40" i="21"/>
  <c r="Q41" i="21"/>
  <c r="R41" i="21"/>
  <c r="T41" i="21"/>
  <c r="U41" i="21"/>
  <c r="W41" i="21"/>
  <c r="AM41" i="21" s="1"/>
  <c r="E26" i="22" s="1"/>
  <c r="X41" i="21"/>
  <c r="Y41" i="21" s="1"/>
  <c r="Z41" i="21"/>
  <c r="AA41" i="21"/>
  <c r="AB41" i="21" s="1"/>
  <c r="AC41" i="21"/>
  <c r="AD41" i="21"/>
  <c r="AF41" i="21"/>
  <c r="AG41" i="21"/>
  <c r="Q42" i="21"/>
  <c r="R42" i="21"/>
  <c r="S42" i="21"/>
  <c r="T42" i="21"/>
  <c r="U42" i="21"/>
  <c r="V42" i="21"/>
  <c r="W42" i="21"/>
  <c r="X42" i="21"/>
  <c r="Y42" i="21" s="1"/>
  <c r="Z42" i="21"/>
  <c r="AA42" i="21"/>
  <c r="AC42" i="21"/>
  <c r="AD42" i="21"/>
  <c r="AF42" i="21"/>
  <c r="AG42" i="21"/>
  <c r="AP42" i="21" s="1"/>
  <c r="H27" i="22" s="1"/>
  <c r="H42" i="22" s="1"/>
  <c r="Q43" i="21"/>
  <c r="R43" i="21"/>
  <c r="T43" i="21"/>
  <c r="U43" i="21"/>
  <c r="W43" i="21"/>
  <c r="X43" i="21"/>
  <c r="Z43" i="21"/>
  <c r="AA43" i="21"/>
  <c r="AC43" i="21"/>
  <c r="AD43" i="21"/>
  <c r="AF43" i="21"/>
  <c r="AG43" i="21"/>
  <c r="AP43" i="21" s="1"/>
  <c r="Q44" i="21"/>
  <c r="R44" i="21"/>
  <c r="T44" i="21"/>
  <c r="U44" i="21"/>
  <c r="W44" i="21"/>
  <c r="X44" i="21"/>
  <c r="Z44" i="21"/>
  <c r="AA44" i="21"/>
  <c r="AC44" i="21"/>
  <c r="AD44" i="21"/>
  <c r="AF44" i="21"/>
  <c r="AG44" i="21"/>
  <c r="AP44" i="21" s="1"/>
  <c r="Q45" i="21"/>
  <c r="R45" i="21"/>
  <c r="S45" i="21"/>
  <c r="T45" i="21"/>
  <c r="U45" i="21"/>
  <c r="W45" i="21"/>
  <c r="X45" i="21"/>
  <c r="Y45" i="21" s="1"/>
  <c r="Z45" i="21"/>
  <c r="AA45" i="21"/>
  <c r="AC45" i="21"/>
  <c r="AD45" i="21"/>
  <c r="AE45" i="21" s="1"/>
  <c r="AF45" i="21"/>
  <c r="AO45" i="21" s="1"/>
  <c r="AG45" i="21"/>
  <c r="AP45" i="21" s="1"/>
  <c r="Q46" i="21"/>
  <c r="R46" i="21"/>
  <c r="T46" i="21"/>
  <c r="U46" i="21"/>
  <c r="W46" i="21"/>
  <c r="Y46" i="21" s="1"/>
  <c r="X46" i="21"/>
  <c r="Z46" i="21"/>
  <c r="AA46" i="21"/>
  <c r="AB46" i="21" s="1"/>
  <c r="AC46" i="21"/>
  <c r="AD46" i="21"/>
  <c r="AE46" i="21" s="1"/>
  <c r="AF46" i="21"/>
  <c r="AG46" i="21"/>
  <c r="Q47" i="21"/>
  <c r="R47" i="21"/>
  <c r="AN47" i="21" s="1"/>
  <c r="T47" i="21"/>
  <c r="U47" i="21"/>
  <c r="W47" i="21"/>
  <c r="X47" i="21"/>
  <c r="Y47" i="21" s="1"/>
  <c r="Z47" i="21"/>
  <c r="AA47" i="21"/>
  <c r="AC47" i="21"/>
  <c r="AD47" i="21"/>
  <c r="AF47" i="21"/>
  <c r="AG47" i="21"/>
  <c r="Q48" i="21"/>
  <c r="R48" i="21"/>
  <c r="S48" i="21" s="1"/>
  <c r="T48" i="21"/>
  <c r="U48" i="21"/>
  <c r="V48" i="21" s="1"/>
  <c r="W48" i="21"/>
  <c r="X48" i="21"/>
  <c r="Z48" i="21"/>
  <c r="AA48" i="21"/>
  <c r="AC48" i="21"/>
  <c r="AD48" i="21"/>
  <c r="AF48" i="21"/>
  <c r="AG48" i="21"/>
  <c r="AH48" i="21" s="1"/>
  <c r="Q49" i="21"/>
  <c r="R49" i="21"/>
  <c r="T49" i="21"/>
  <c r="U49" i="21"/>
  <c r="W49" i="21"/>
  <c r="X49" i="21"/>
  <c r="Z49" i="21"/>
  <c r="AA49" i="21"/>
  <c r="AC49" i="21"/>
  <c r="AD49" i="21"/>
  <c r="AF49" i="21"/>
  <c r="AG49" i="21"/>
  <c r="AH49" i="21" s="1"/>
  <c r="Q50" i="21"/>
  <c r="R50" i="21"/>
  <c r="S50" i="21" s="1"/>
  <c r="T50" i="21"/>
  <c r="U50" i="21"/>
  <c r="W50" i="21"/>
  <c r="X50" i="21"/>
  <c r="Z50" i="21"/>
  <c r="AA50" i="21"/>
  <c r="AC50" i="21"/>
  <c r="AD50" i="21"/>
  <c r="AE50" i="21" s="1"/>
  <c r="AF50" i="21"/>
  <c r="AG50" i="21"/>
  <c r="Q51" i="21"/>
  <c r="R51" i="21"/>
  <c r="S51" i="21" s="1"/>
  <c r="T51" i="21"/>
  <c r="U51" i="21"/>
  <c r="W51" i="21"/>
  <c r="X51" i="21"/>
  <c r="Y51" i="21" s="1"/>
  <c r="Z51" i="21"/>
  <c r="AA51" i="21"/>
  <c r="AC51" i="21"/>
  <c r="AD51" i="21"/>
  <c r="AF51" i="21"/>
  <c r="AG51" i="21"/>
  <c r="Q52" i="21"/>
  <c r="R52" i="21"/>
  <c r="T52" i="21"/>
  <c r="U52" i="21"/>
  <c r="V52" i="21" s="1"/>
  <c r="W52" i="21"/>
  <c r="X52" i="21"/>
  <c r="Y52" i="21" s="1"/>
  <c r="Z52" i="21"/>
  <c r="AA52" i="21"/>
  <c r="AC52" i="21"/>
  <c r="AD52" i="21"/>
  <c r="AE52" i="21"/>
  <c r="AF52" i="21"/>
  <c r="AG52" i="21"/>
  <c r="Q53" i="21"/>
  <c r="R53" i="21"/>
  <c r="AN53" i="21" s="1"/>
  <c r="T53" i="21"/>
  <c r="U53" i="21"/>
  <c r="W53" i="21"/>
  <c r="X53" i="21"/>
  <c r="Y53" i="21" s="1"/>
  <c r="Z53" i="21"/>
  <c r="AA53" i="21"/>
  <c r="AC53" i="21"/>
  <c r="AD53" i="21"/>
  <c r="AE53" i="21"/>
  <c r="AF53" i="21"/>
  <c r="AG53" i="21"/>
  <c r="AH53" i="21" s="1"/>
  <c r="Q54" i="21"/>
  <c r="R54" i="21"/>
  <c r="T54" i="21"/>
  <c r="U54" i="21"/>
  <c r="W54" i="21"/>
  <c r="X54" i="21"/>
  <c r="Z54" i="21"/>
  <c r="AA54" i="21"/>
  <c r="AC54" i="21"/>
  <c r="AD54" i="21"/>
  <c r="AE54" i="21" s="1"/>
  <c r="AF54" i="21"/>
  <c r="AG54" i="21"/>
  <c r="Q55" i="21"/>
  <c r="R55" i="21"/>
  <c r="AN55" i="21" s="1"/>
  <c r="T55" i="21"/>
  <c r="U55" i="21"/>
  <c r="W55" i="21"/>
  <c r="X55" i="21"/>
  <c r="Z55" i="21"/>
  <c r="AA55" i="21"/>
  <c r="AC55" i="21"/>
  <c r="AD55" i="21"/>
  <c r="AF55" i="21"/>
  <c r="AG55" i="21"/>
  <c r="Q56" i="21"/>
  <c r="R56" i="21"/>
  <c r="T56" i="21"/>
  <c r="U56" i="21"/>
  <c r="W56" i="21"/>
  <c r="X56" i="21"/>
  <c r="Z56" i="21"/>
  <c r="AA56" i="21"/>
  <c r="AC56" i="21"/>
  <c r="AD56" i="21"/>
  <c r="AF56" i="21"/>
  <c r="AG56" i="21"/>
  <c r="Q57" i="21"/>
  <c r="R57" i="21"/>
  <c r="AN57" i="21" s="1"/>
  <c r="T57" i="21"/>
  <c r="U57" i="21"/>
  <c r="V57" i="21" s="1"/>
  <c r="W57" i="21"/>
  <c r="X57" i="21"/>
  <c r="Z57" i="21"/>
  <c r="AA57" i="21"/>
  <c r="AC57" i="21"/>
  <c r="AD57" i="21"/>
  <c r="AF57" i="21"/>
  <c r="AG57" i="21"/>
  <c r="Q58" i="21"/>
  <c r="R58" i="21"/>
  <c r="S58" i="21" s="1"/>
  <c r="T58" i="21"/>
  <c r="U58" i="21"/>
  <c r="W58" i="21"/>
  <c r="X58" i="21"/>
  <c r="Z58" i="21"/>
  <c r="AA58" i="21"/>
  <c r="AC58" i="21"/>
  <c r="AD58" i="21"/>
  <c r="AF58" i="21"/>
  <c r="AG58" i="21"/>
  <c r="AH58" i="21"/>
  <c r="Q59" i="21"/>
  <c r="R59" i="21"/>
  <c r="T59" i="21"/>
  <c r="U59" i="21"/>
  <c r="W59" i="21"/>
  <c r="X59" i="21"/>
  <c r="Y59" i="21"/>
  <c r="Z59" i="21"/>
  <c r="AA59" i="21"/>
  <c r="AB59" i="21" s="1"/>
  <c r="AC59" i="21"/>
  <c r="AD59" i="21"/>
  <c r="AP59" i="21" s="1"/>
  <c r="AE59" i="21"/>
  <c r="AF59" i="21"/>
  <c r="AG59" i="21"/>
  <c r="AH59" i="21" s="1"/>
  <c r="Q60" i="21"/>
  <c r="R60" i="21"/>
  <c r="T60" i="21"/>
  <c r="U60" i="21"/>
  <c r="V60" i="21" s="1"/>
  <c r="W60" i="21"/>
  <c r="X60" i="21"/>
  <c r="Z60" i="21"/>
  <c r="AA60" i="21"/>
  <c r="AC60" i="21"/>
  <c r="AD60" i="21"/>
  <c r="AE60" i="21" s="1"/>
  <c r="AF60" i="21"/>
  <c r="AG60" i="21"/>
  <c r="AH60" i="21" s="1"/>
  <c r="Q61" i="21"/>
  <c r="R61" i="21"/>
  <c r="T61" i="21"/>
  <c r="U61" i="21"/>
  <c r="W61" i="21"/>
  <c r="X61" i="21"/>
  <c r="Z61" i="21"/>
  <c r="AA61" i="21"/>
  <c r="AB61" i="21"/>
  <c r="AC61" i="21"/>
  <c r="AE61" i="21" s="1"/>
  <c r="AD61" i="21"/>
  <c r="AF61" i="21"/>
  <c r="AG61" i="21"/>
  <c r="Q62" i="21"/>
  <c r="R62" i="21"/>
  <c r="T62" i="21"/>
  <c r="U62" i="21"/>
  <c r="W62" i="21"/>
  <c r="X62" i="21"/>
  <c r="Y62" i="21"/>
  <c r="Z62" i="21"/>
  <c r="AA62" i="21"/>
  <c r="AC62" i="21"/>
  <c r="AD62" i="21"/>
  <c r="AF62" i="21"/>
  <c r="AG62" i="21"/>
  <c r="Q63" i="21"/>
  <c r="AM63" i="21" s="1"/>
  <c r="R63" i="21"/>
  <c r="AN63" i="21" s="1"/>
  <c r="T63" i="21"/>
  <c r="U63" i="21"/>
  <c r="W63" i="21"/>
  <c r="X63" i="21"/>
  <c r="Z63" i="21"/>
  <c r="AA63" i="21"/>
  <c r="AC63" i="21"/>
  <c r="AD63" i="21"/>
  <c r="AF63" i="21"/>
  <c r="AG63" i="21"/>
  <c r="Q64" i="21"/>
  <c r="R64" i="21"/>
  <c r="T64" i="21"/>
  <c r="U64" i="21"/>
  <c r="W64" i="21"/>
  <c r="X64" i="21"/>
  <c r="Z64" i="21"/>
  <c r="AA64" i="21"/>
  <c r="AC64" i="21"/>
  <c r="AD64" i="21"/>
  <c r="AF64" i="21"/>
  <c r="AG64" i="21"/>
  <c r="Q65" i="21"/>
  <c r="R65" i="21"/>
  <c r="S65" i="21" s="1"/>
  <c r="T65" i="21"/>
  <c r="AM65" i="21" s="1"/>
  <c r="U65" i="21"/>
  <c r="W65" i="21"/>
  <c r="X65" i="21"/>
  <c r="AN65" i="21" s="1"/>
  <c r="Y65" i="21"/>
  <c r="Z65" i="21"/>
  <c r="AA65" i="21"/>
  <c r="AC65" i="21"/>
  <c r="AD65" i="21"/>
  <c r="AF65" i="21"/>
  <c r="AG65" i="21"/>
  <c r="AH65" i="21" s="1"/>
  <c r="Q66" i="21"/>
  <c r="R66" i="21"/>
  <c r="T66" i="21"/>
  <c r="U66" i="21"/>
  <c r="W66" i="21"/>
  <c r="X66" i="21"/>
  <c r="Z66" i="21"/>
  <c r="AA66" i="21"/>
  <c r="AC66" i="21"/>
  <c r="AD66" i="21"/>
  <c r="AF66" i="21"/>
  <c r="AG66" i="21"/>
  <c r="AH66" i="21" s="1"/>
  <c r="Q67" i="21"/>
  <c r="R67" i="21"/>
  <c r="T67" i="21"/>
  <c r="U67" i="21"/>
  <c r="W67" i="21"/>
  <c r="AM67" i="21" s="1"/>
  <c r="X67" i="21"/>
  <c r="Y67" i="21" s="1"/>
  <c r="Z67" i="21"/>
  <c r="AA67" i="21"/>
  <c r="AC67" i="21"/>
  <c r="AD67" i="21"/>
  <c r="AF67" i="21"/>
  <c r="AG67" i="21"/>
  <c r="AH67" i="21" s="1"/>
  <c r="Q68" i="21"/>
  <c r="R68" i="21"/>
  <c r="T68" i="21"/>
  <c r="U68" i="21"/>
  <c r="V68" i="21" s="1"/>
  <c r="W68" i="21"/>
  <c r="X68" i="21"/>
  <c r="Z68" i="21"/>
  <c r="AA68" i="21"/>
  <c r="AC68" i="21"/>
  <c r="AD68" i="21"/>
  <c r="AF68" i="21"/>
  <c r="AG68" i="21"/>
  <c r="AH68" i="21" s="1"/>
  <c r="Q69" i="21"/>
  <c r="R69" i="21"/>
  <c r="T69" i="21"/>
  <c r="U69" i="21"/>
  <c r="W69" i="21"/>
  <c r="X69" i="21"/>
  <c r="Y69" i="21" s="1"/>
  <c r="Z69" i="21"/>
  <c r="AA69" i="21"/>
  <c r="AC69" i="21"/>
  <c r="AD69" i="21"/>
  <c r="AF69" i="21"/>
  <c r="AG69" i="21"/>
  <c r="AP69" i="21" s="1"/>
  <c r="Q70" i="21"/>
  <c r="R70" i="21"/>
  <c r="T70" i="21"/>
  <c r="U70" i="21"/>
  <c r="W70" i="21"/>
  <c r="X70" i="21"/>
  <c r="Z70" i="21"/>
  <c r="AA70" i="21"/>
  <c r="AC70" i="21"/>
  <c r="AD70" i="21"/>
  <c r="AF70" i="21"/>
  <c r="AG70" i="21"/>
  <c r="Q71" i="21"/>
  <c r="R71" i="21"/>
  <c r="T71" i="21"/>
  <c r="U71" i="21"/>
  <c r="W71" i="21"/>
  <c r="X71" i="21"/>
  <c r="Z71" i="21"/>
  <c r="AA71" i="21"/>
  <c r="AC71" i="21"/>
  <c r="AD71" i="21"/>
  <c r="AF71" i="21"/>
  <c r="AG71" i="21"/>
  <c r="Q72" i="21"/>
  <c r="R72" i="21"/>
  <c r="S72" i="21"/>
  <c r="T72" i="21"/>
  <c r="U72" i="21"/>
  <c r="V72" i="21" s="1"/>
  <c r="W72" i="21"/>
  <c r="X72" i="21"/>
  <c r="Z72" i="21"/>
  <c r="AA72" i="21"/>
  <c r="AC72" i="21"/>
  <c r="AD72" i="21"/>
  <c r="AE72" i="21"/>
  <c r="AF72" i="21"/>
  <c r="AG72" i="21"/>
  <c r="AP72" i="21" s="1"/>
  <c r="AH72" i="21"/>
  <c r="Q73" i="21"/>
  <c r="R73" i="21"/>
  <c r="AN73" i="21" s="1"/>
  <c r="T73" i="21"/>
  <c r="U73" i="21"/>
  <c r="W73" i="21"/>
  <c r="X73" i="21"/>
  <c r="Z73" i="21"/>
  <c r="AA73" i="21"/>
  <c r="AB73" i="21"/>
  <c r="AC73" i="21"/>
  <c r="AD73" i="21"/>
  <c r="AF73" i="21"/>
  <c r="AG73" i="21"/>
  <c r="Q74" i="21"/>
  <c r="R74" i="21"/>
  <c r="T74" i="21"/>
  <c r="U74" i="21"/>
  <c r="W74" i="21"/>
  <c r="X74" i="21"/>
  <c r="Y74" i="21" s="1"/>
  <c r="Z74" i="21"/>
  <c r="AA74" i="21"/>
  <c r="AC74" i="21"/>
  <c r="AD74" i="21"/>
  <c r="AF74" i="21"/>
  <c r="AG74" i="21"/>
  <c r="AH74" i="21" s="1"/>
  <c r="Q75" i="21"/>
  <c r="AM75" i="21" s="1"/>
  <c r="R75" i="21"/>
  <c r="T75" i="21"/>
  <c r="U75" i="21"/>
  <c r="W75" i="21"/>
  <c r="X75" i="21"/>
  <c r="Z75" i="21"/>
  <c r="AA75" i="21"/>
  <c r="AC75" i="21"/>
  <c r="AD75" i="21"/>
  <c r="AF75" i="21"/>
  <c r="AG75" i="21"/>
  <c r="AG2" i="21"/>
  <c r="AF2" i="21"/>
  <c r="AD2" i="21"/>
  <c r="AC2" i="21"/>
  <c r="AA2" i="21"/>
  <c r="Z2" i="21"/>
  <c r="X2" i="21"/>
  <c r="W2" i="21"/>
  <c r="U2" i="21"/>
  <c r="T2" i="21"/>
  <c r="V2" i="21" s="1"/>
  <c r="R2" i="21"/>
  <c r="AN2" i="21" s="1"/>
  <c r="Q2" i="21"/>
  <c r="H3" i="21"/>
  <c r="I3" i="21"/>
  <c r="K3" i="21"/>
  <c r="L3" i="21"/>
  <c r="M3" i="21" s="1"/>
  <c r="N3" i="21"/>
  <c r="O3" i="21"/>
  <c r="H4" i="21"/>
  <c r="AK4" i="21" s="1"/>
  <c r="I4" i="21"/>
  <c r="AL4" i="21" s="1"/>
  <c r="K4" i="21"/>
  <c r="L4" i="21"/>
  <c r="N4" i="21"/>
  <c r="O4" i="21"/>
  <c r="P4" i="21" s="1"/>
  <c r="H5" i="21"/>
  <c r="I5" i="21"/>
  <c r="K5" i="21"/>
  <c r="L5" i="21"/>
  <c r="N5" i="21"/>
  <c r="O5" i="21"/>
  <c r="P5" i="21" s="1"/>
  <c r="H6" i="21"/>
  <c r="I6" i="21"/>
  <c r="J6" i="21" s="1"/>
  <c r="K6" i="21"/>
  <c r="L6" i="21"/>
  <c r="M6" i="21" s="1"/>
  <c r="N6" i="21"/>
  <c r="O6" i="21"/>
  <c r="H7" i="21"/>
  <c r="I7" i="21"/>
  <c r="K7" i="21"/>
  <c r="L7" i="21"/>
  <c r="N7" i="21"/>
  <c r="O7" i="21"/>
  <c r="P7" i="21" s="1"/>
  <c r="H8" i="21"/>
  <c r="I8" i="21"/>
  <c r="K8" i="21"/>
  <c r="L8" i="21"/>
  <c r="M8" i="21" s="1"/>
  <c r="N8" i="21"/>
  <c r="AK8" i="21" s="1"/>
  <c r="O8" i="21"/>
  <c r="P8" i="21" s="1"/>
  <c r="H9" i="21"/>
  <c r="I9" i="21"/>
  <c r="K9" i="21"/>
  <c r="L9" i="21"/>
  <c r="N9" i="21"/>
  <c r="O9" i="21"/>
  <c r="H10" i="21"/>
  <c r="I10" i="21"/>
  <c r="J10" i="21"/>
  <c r="K10" i="21"/>
  <c r="L10" i="21"/>
  <c r="N10" i="21"/>
  <c r="O10" i="21"/>
  <c r="H11" i="21"/>
  <c r="I11" i="21"/>
  <c r="K11" i="21"/>
  <c r="L11" i="21"/>
  <c r="N11" i="21"/>
  <c r="O11" i="21"/>
  <c r="P11" i="21"/>
  <c r="H12" i="21"/>
  <c r="I12" i="21"/>
  <c r="K12" i="21"/>
  <c r="AK12" i="21" s="1"/>
  <c r="L12" i="21"/>
  <c r="N12" i="21"/>
  <c r="O12" i="21"/>
  <c r="P12" i="21"/>
  <c r="H13" i="21"/>
  <c r="I13" i="21"/>
  <c r="K13" i="21"/>
  <c r="L13" i="21"/>
  <c r="N13" i="21"/>
  <c r="O13" i="21"/>
  <c r="H14" i="21"/>
  <c r="I14" i="21"/>
  <c r="K14" i="21"/>
  <c r="L14" i="21"/>
  <c r="M14" i="21" s="1"/>
  <c r="N14" i="21"/>
  <c r="O14" i="21"/>
  <c r="H15" i="21"/>
  <c r="I15" i="21"/>
  <c r="J15" i="21"/>
  <c r="K15" i="21"/>
  <c r="L15" i="21"/>
  <c r="N15" i="21"/>
  <c r="O15" i="21"/>
  <c r="H16" i="21"/>
  <c r="AK16" i="21" s="1"/>
  <c r="I16" i="21"/>
  <c r="K16" i="21"/>
  <c r="L16" i="21"/>
  <c r="M16" i="21" s="1"/>
  <c r="N16" i="21"/>
  <c r="O16" i="21"/>
  <c r="P16" i="21"/>
  <c r="H17" i="21"/>
  <c r="I17" i="21"/>
  <c r="J17" i="21" s="1"/>
  <c r="K17" i="21"/>
  <c r="L17" i="21"/>
  <c r="N17" i="21"/>
  <c r="O17" i="21"/>
  <c r="H18" i="21"/>
  <c r="I18" i="21"/>
  <c r="K18" i="21"/>
  <c r="L18" i="21"/>
  <c r="M18" i="21"/>
  <c r="N18" i="21"/>
  <c r="O18" i="21"/>
  <c r="H19" i="21"/>
  <c r="I19" i="21"/>
  <c r="K19" i="21"/>
  <c r="L19" i="21"/>
  <c r="N19" i="21"/>
  <c r="O19" i="21"/>
  <c r="H20" i="21"/>
  <c r="I20" i="21"/>
  <c r="K20" i="21"/>
  <c r="L20" i="21"/>
  <c r="N20" i="21"/>
  <c r="AK20" i="21" s="1"/>
  <c r="O20" i="21"/>
  <c r="H21" i="21"/>
  <c r="I21" i="21"/>
  <c r="J21" i="21" s="1"/>
  <c r="K21" i="21"/>
  <c r="L21" i="21"/>
  <c r="N21" i="21"/>
  <c r="O21" i="21"/>
  <c r="H22" i="21"/>
  <c r="I22" i="21"/>
  <c r="K22" i="21"/>
  <c r="L22" i="21"/>
  <c r="M22" i="21" s="1"/>
  <c r="N22" i="21"/>
  <c r="O22" i="21"/>
  <c r="H23" i="21"/>
  <c r="I23" i="21"/>
  <c r="K23" i="21"/>
  <c r="L23" i="21"/>
  <c r="AL23" i="21" s="1"/>
  <c r="N23" i="21"/>
  <c r="O23" i="21"/>
  <c r="H24" i="21"/>
  <c r="I24" i="21"/>
  <c r="K24" i="21"/>
  <c r="L24" i="21"/>
  <c r="M24" i="21"/>
  <c r="N24" i="21"/>
  <c r="O24" i="21"/>
  <c r="H25" i="21"/>
  <c r="AK25" i="21" s="1"/>
  <c r="C20" i="22" s="1"/>
  <c r="C35" i="22" s="1"/>
  <c r="I25" i="21"/>
  <c r="J25" i="21" s="1"/>
  <c r="K25" i="21"/>
  <c r="L25" i="21"/>
  <c r="N25" i="21"/>
  <c r="O25" i="21"/>
  <c r="H26" i="21"/>
  <c r="I26" i="21"/>
  <c r="J26" i="21"/>
  <c r="K26" i="21"/>
  <c r="L26" i="21"/>
  <c r="N26" i="21"/>
  <c r="O26" i="21"/>
  <c r="H27" i="21"/>
  <c r="I27" i="21"/>
  <c r="K27" i="21"/>
  <c r="L27" i="21"/>
  <c r="N27" i="21"/>
  <c r="O27" i="21"/>
  <c r="P27" i="21"/>
  <c r="H28" i="21"/>
  <c r="I28" i="21"/>
  <c r="K28" i="21"/>
  <c r="L28" i="21"/>
  <c r="N28" i="21"/>
  <c r="O28" i="21"/>
  <c r="P28" i="21" s="1"/>
  <c r="H29" i="21"/>
  <c r="AK29" i="21" s="1"/>
  <c r="C24" i="22" s="1"/>
  <c r="C39" i="22" s="1"/>
  <c r="I29" i="21"/>
  <c r="AL29" i="21" s="1"/>
  <c r="D24" i="22" s="1"/>
  <c r="D39" i="22" s="1"/>
  <c r="K29" i="21"/>
  <c r="L29" i="21"/>
  <c r="N29" i="21"/>
  <c r="O29" i="21"/>
  <c r="H30" i="21"/>
  <c r="I30" i="21"/>
  <c r="K30" i="21"/>
  <c r="L30" i="21"/>
  <c r="M30" i="21" s="1"/>
  <c r="N30" i="21"/>
  <c r="O30" i="21"/>
  <c r="H31" i="21"/>
  <c r="AK31" i="21" s="1"/>
  <c r="I31" i="21"/>
  <c r="K31" i="21"/>
  <c r="L31" i="21"/>
  <c r="N31" i="21"/>
  <c r="O31" i="21"/>
  <c r="H32" i="21"/>
  <c r="I32" i="21"/>
  <c r="K32" i="21"/>
  <c r="L32" i="21"/>
  <c r="N32" i="21"/>
  <c r="O32" i="21"/>
  <c r="P32" i="21"/>
  <c r="H33" i="21"/>
  <c r="I33" i="21"/>
  <c r="K33" i="21"/>
  <c r="L33" i="21"/>
  <c r="N33" i="21"/>
  <c r="O33" i="21"/>
  <c r="P33" i="21" s="1"/>
  <c r="H34" i="21"/>
  <c r="I34" i="21"/>
  <c r="K34" i="21"/>
  <c r="L34" i="21"/>
  <c r="M34" i="21" s="1"/>
  <c r="N34" i="21"/>
  <c r="O34" i="21"/>
  <c r="H35" i="21"/>
  <c r="I35" i="21"/>
  <c r="K35" i="21"/>
  <c r="L35" i="21"/>
  <c r="N35" i="21"/>
  <c r="O35" i="21"/>
  <c r="H36" i="21"/>
  <c r="AK36" i="21" s="1"/>
  <c r="I36" i="21"/>
  <c r="AL36" i="21" s="1"/>
  <c r="K36" i="21"/>
  <c r="L36" i="21"/>
  <c r="N36" i="21"/>
  <c r="O36" i="21"/>
  <c r="H37" i="21"/>
  <c r="I37" i="21"/>
  <c r="J37" i="21" s="1"/>
  <c r="K37" i="21"/>
  <c r="L37" i="21"/>
  <c r="N37" i="21"/>
  <c r="O37" i="21"/>
  <c r="H38" i="21"/>
  <c r="AK38" i="21" s="1"/>
  <c r="I38" i="21"/>
  <c r="K38" i="21"/>
  <c r="L38" i="21"/>
  <c r="M38" i="21"/>
  <c r="N38" i="21"/>
  <c r="O38" i="21"/>
  <c r="H39" i="21"/>
  <c r="I39" i="21"/>
  <c r="K39" i="21"/>
  <c r="L39" i="21"/>
  <c r="N39" i="21"/>
  <c r="O39" i="21"/>
  <c r="H40" i="21"/>
  <c r="I40" i="21"/>
  <c r="K40" i="21"/>
  <c r="L40" i="21"/>
  <c r="M40" i="21"/>
  <c r="N40" i="21"/>
  <c r="O40" i="21"/>
  <c r="H41" i="21"/>
  <c r="I41" i="21"/>
  <c r="K41" i="21"/>
  <c r="L41" i="21"/>
  <c r="N41" i="21"/>
  <c r="O41" i="21"/>
  <c r="P41" i="21" s="1"/>
  <c r="H42" i="21"/>
  <c r="AK42" i="21" s="1"/>
  <c r="C27" i="22" s="1"/>
  <c r="C42" i="22" s="1"/>
  <c r="I42" i="21"/>
  <c r="AL42" i="21" s="1"/>
  <c r="D27" i="22" s="1"/>
  <c r="D42" i="22" s="1"/>
  <c r="K42" i="21"/>
  <c r="L42" i="21"/>
  <c r="N42" i="21"/>
  <c r="O42" i="21"/>
  <c r="H43" i="21"/>
  <c r="I43" i="21"/>
  <c r="K43" i="21"/>
  <c r="L43" i="21"/>
  <c r="N43" i="21"/>
  <c r="O43" i="21"/>
  <c r="H44" i="21"/>
  <c r="I44" i="21"/>
  <c r="K44" i="21"/>
  <c r="L44" i="21"/>
  <c r="N44" i="21"/>
  <c r="O44" i="21"/>
  <c r="H45" i="21"/>
  <c r="I45" i="21"/>
  <c r="K45" i="21"/>
  <c r="L45" i="21"/>
  <c r="N45" i="21"/>
  <c r="O45" i="21"/>
  <c r="P45" i="21"/>
  <c r="H46" i="21"/>
  <c r="I46" i="21"/>
  <c r="J46" i="21"/>
  <c r="K46" i="21"/>
  <c r="L46" i="21"/>
  <c r="N46" i="21"/>
  <c r="O46" i="21"/>
  <c r="H47" i="21"/>
  <c r="I47" i="21"/>
  <c r="K47" i="21"/>
  <c r="L47" i="21"/>
  <c r="AL47" i="21" s="1"/>
  <c r="M47" i="21"/>
  <c r="N47" i="21"/>
  <c r="O47" i="21"/>
  <c r="H48" i="21"/>
  <c r="I48" i="21"/>
  <c r="K48" i="21"/>
  <c r="L48" i="21"/>
  <c r="N48" i="21"/>
  <c r="O48" i="21"/>
  <c r="P48" i="21" s="1"/>
  <c r="H49" i="21"/>
  <c r="I49" i="21"/>
  <c r="J49" i="21"/>
  <c r="K49" i="21"/>
  <c r="L49" i="21"/>
  <c r="N49" i="21"/>
  <c r="O49" i="21"/>
  <c r="P49" i="21" s="1"/>
  <c r="H50" i="21"/>
  <c r="I50" i="21"/>
  <c r="J50" i="21"/>
  <c r="K50" i="21"/>
  <c r="L50" i="21"/>
  <c r="N50" i="21"/>
  <c r="O50" i="21"/>
  <c r="H51" i="21"/>
  <c r="I51" i="21"/>
  <c r="AL51" i="21" s="1"/>
  <c r="K51" i="21"/>
  <c r="AK51" i="21" s="1"/>
  <c r="L51" i="21"/>
  <c r="M51" i="21" s="1"/>
  <c r="N51" i="21"/>
  <c r="O51" i="21"/>
  <c r="H52" i="21"/>
  <c r="I52" i="21"/>
  <c r="K52" i="21"/>
  <c r="L52" i="21"/>
  <c r="N52" i="21"/>
  <c r="O52" i="21"/>
  <c r="H53" i="21"/>
  <c r="I53" i="21"/>
  <c r="K53" i="21"/>
  <c r="L53" i="21"/>
  <c r="N53" i="21"/>
  <c r="O53" i="21"/>
  <c r="H54" i="21"/>
  <c r="I54" i="21"/>
  <c r="K54" i="21"/>
  <c r="L54" i="21"/>
  <c r="N54" i="21"/>
  <c r="O54" i="21"/>
  <c r="H55" i="21"/>
  <c r="I55" i="21"/>
  <c r="K55" i="21"/>
  <c r="L55" i="21"/>
  <c r="N55" i="21"/>
  <c r="AK55" i="21" s="1"/>
  <c r="O55" i="21"/>
  <c r="H56" i="21"/>
  <c r="I56" i="21"/>
  <c r="K56" i="21"/>
  <c r="L56" i="21"/>
  <c r="N56" i="21"/>
  <c r="O56" i="21"/>
  <c r="H57" i="21"/>
  <c r="I57" i="21"/>
  <c r="K57" i="21"/>
  <c r="L57" i="21"/>
  <c r="AL57" i="21" s="1"/>
  <c r="N57" i="21"/>
  <c r="O57" i="21"/>
  <c r="H58" i="21"/>
  <c r="I58" i="21"/>
  <c r="J58" i="21"/>
  <c r="K58" i="21"/>
  <c r="L58" i="21"/>
  <c r="N58" i="21"/>
  <c r="O58" i="21"/>
  <c r="H59" i="21"/>
  <c r="I59" i="21"/>
  <c r="K59" i="21"/>
  <c r="L59" i="21"/>
  <c r="M59" i="21" s="1"/>
  <c r="N59" i="21"/>
  <c r="O59" i="21"/>
  <c r="H60" i="21"/>
  <c r="I60" i="21"/>
  <c r="AL60" i="21" s="1"/>
  <c r="D3" i="22" s="1"/>
  <c r="K60" i="21"/>
  <c r="L60" i="21"/>
  <c r="N60" i="21"/>
  <c r="O60" i="21"/>
  <c r="H61" i="21"/>
  <c r="AK61" i="21" s="1"/>
  <c r="I61" i="21"/>
  <c r="J61" i="21"/>
  <c r="K61" i="21"/>
  <c r="L61" i="21"/>
  <c r="N61" i="21"/>
  <c r="O61" i="21"/>
  <c r="P61" i="21" s="1"/>
  <c r="H62" i="21"/>
  <c r="AK62" i="21" s="1"/>
  <c r="I62" i="21"/>
  <c r="AL62" i="21" s="1"/>
  <c r="K62" i="21"/>
  <c r="L62" i="21"/>
  <c r="M62" i="21" s="1"/>
  <c r="N62" i="21"/>
  <c r="O62" i="21"/>
  <c r="H63" i="21"/>
  <c r="I63" i="21"/>
  <c r="K63" i="21"/>
  <c r="L63" i="21"/>
  <c r="N63" i="21"/>
  <c r="O63" i="21"/>
  <c r="H64" i="21"/>
  <c r="I64" i="21"/>
  <c r="K64" i="21"/>
  <c r="L64" i="21"/>
  <c r="N64" i="21"/>
  <c r="O64" i="21"/>
  <c r="H65" i="21"/>
  <c r="I65" i="21"/>
  <c r="J65" i="21" s="1"/>
  <c r="K65" i="21"/>
  <c r="L65" i="21"/>
  <c r="N65" i="21"/>
  <c r="O65" i="21"/>
  <c r="H66" i="21"/>
  <c r="I66" i="21"/>
  <c r="J66" i="21"/>
  <c r="K66" i="21"/>
  <c r="L66" i="21"/>
  <c r="M66" i="21"/>
  <c r="N66" i="21"/>
  <c r="AK66" i="21" s="1"/>
  <c r="O66" i="21"/>
  <c r="AL66" i="21" s="1"/>
  <c r="H67" i="21"/>
  <c r="I67" i="21"/>
  <c r="K67" i="21"/>
  <c r="L67" i="21"/>
  <c r="M67" i="21" s="1"/>
  <c r="N67" i="21"/>
  <c r="O67" i="21"/>
  <c r="P67" i="21" s="1"/>
  <c r="H68" i="21"/>
  <c r="I68" i="21"/>
  <c r="K68" i="21"/>
  <c r="L68" i="21"/>
  <c r="N68" i="21"/>
  <c r="O68" i="21"/>
  <c r="H69" i="21"/>
  <c r="I69" i="21"/>
  <c r="K69" i="21"/>
  <c r="L69" i="21"/>
  <c r="N69" i="21"/>
  <c r="O69" i="21"/>
  <c r="P69" i="21"/>
  <c r="H70" i="21"/>
  <c r="I70" i="21"/>
  <c r="K70" i="21"/>
  <c r="L70" i="21"/>
  <c r="N70" i="21"/>
  <c r="O70" i="21"/>
  <c r="H71" i="21"/>
  <c r="I71" i="21"/>
  <c r="K71" i="21"/>
  <c r="L71" i="21"/>
  <c r="N71" i="21"/>
  <c r="O71" i="21"/>
  <c r="H72" i="21"/>
  <c r="I72" i="21"/>
  <c r="K72" i="21"/>
  <c r="L72" i="21"/>
  <c r="M72" i="21" s="1"/>
  <c r="N72" i="21"/>
  <c r="O72" i="21"/>
  <c r="H73" i="21"/>
  <c r="I73" i="21"/>
  <c r="J73" i="21"/>
  <c r="K73" i="21"/>
  <c r="L73" i="21"/>
  <c r="N73" i="21"/>
  <c r="AK73" i="21" s="1"/>
  <c r="O73" i="21"/>
  <c r="H74" i="21"/>
  <c r="I74" i="21"/>
  <c r="J74" i="21" s="1"/>
  <c r="K74" i="21"/>
  <c r="L74" i="21"/>
  <c r="M74" i="21" s="1"/>
  <c r="N74" i="21"/>
  <c r="O74" i="21"/>
  <c r="H75" i="21"/>
  <c r="I75" i="21"/>
  <c r="AL75" i="21" s="1"/>
  <c r="K75" i="21"/>
  <c r="L75" i="21"/>
  <c r="M75" i="21" s="1"/>
  <c r="N75" i="21"/>
  <c r="O75" i="21"/>
  <c r="P75" i="21"/>
  <c r="O2" i="21"/>
  <c r="N2" i="21"/>
  <c r="L2" i="21"/>
  <c r="M2" i="21" s="1"/>
  <c r="K2" i="21"/>
  <c r="I2" i="21"/>
  <c r="H2" i="21"/>
  <c r="D64" i="19"/>
  <c r="D65" i="19"/>
  <c r="F64" i="19"/>
  <c r="F65" i="19"/>
  <c r="F66" i="19"/>
  <c r="H66" i="19"/>
  <c r="D35" i="19"/>
  <c r="D36" i="19"/>
  <c r="D37" i="19"/>
  <c r="F35" i="19"/>
  <c r="F36" i="19"/>
  <c r="F37" i="19"/>
  <c r="F38" i="19"/>
  <c r="F39" i="19"/>
  <c r="F40" i="19"/>
  <c r="F41" i="19"/>
  <c r="N79" i="19"/>
  <c r="T79" i="19" s="1"/>
  <c r="L79" i="19"/>
  <c r="R79" i="19" s="1"/>
  <c r="J79" i="19"/>
  <c r="P79" i="19" s="1"/>
  <c r="H79" i="19"/>
  <c r="F79" i="19"/>
  <c r="D79" i="19"/>
  <c r="N78" i="19"/>
  <c r="T78" i="19" s="1"/>
  <c r="L78" i="19"/>
  <c r="R78" i="19" s="1"/>
  <c r="J78" i="19"/>
  <c r="P78" i="19" s="1"/>
  <c r="H78" i="19"/>
  <c r="F78" i="19"/>
  <c r="D78" i="19"/>
  <c r="N77" i="19"/>
  <c r="T77" i="19" s="1"/>
  <c r="L77" i="19"/>
  <c r="R77" i="19" s="1"/>
  <c r="J77" i="19"/>
  <c r="P77" i="19" s="1"/>
  <c r="H77" i="19"/>
  <c r="F77" i="19"/>
  <c r="D77" i="19"/>
  <c r="N76" i="19"/>
  <c r="T76" i="19" s="1"/>
  <c r="L76" i="19"/>
  <c r="R76" i="19" s="1"/>
  <c r="J76" i="19"/>
  <c r="P76" i="19" s="1"/>
  <c r="H76" i="19"/>
  <c r="F76" i="19"/>
  <c r="D76" i="19"/>
  <c r="N75" i="19"/>
  <c r="T75" i="19" s="1"/>
  <c r="L75" i="19"/>
  <c r="R75" i="19" s="1"/>
  <c r="J75" i="19"/>
  <c r="P75" i="19" s="1"/>
  <c r="H75" i="19"/>
  <c r="F75" i="19"/>
  <c r="D75" i="19"/>
  <c r="N74" i="19"/>
  <c r="T74" i="19" s="1"/>
  <c r="L74" i="19"/>
  <c r="R74" i="19" s="1"/>
  <c r="J74" i="19"/>
  <c r="P74" i="19" s="1"/>
  <c r="H74" i="19"/>
  <c r="F74" i="19"/>
  <c r="D74" i="19"/>
  <c r="T73" i="19"/>
  <c r="P73" i="19"/>
  <c r="N73" i="19"/>
  <c r="L73" i="19"/>
  <c r="R73" i="19" s="1"/>
  <c r="J73" i="19"/>
  <c r="H73" i="19"/>
  <c r="F73" i="19"/>
  <c r="D73" i="19"/>
  <c r="N72" i="19"/>
  <c r="T72" i="19" s="1"/>
  <c r="L72" i="19"/>
  <c r="R72" i="19" s="1"/>
  <c r="J72" i="19"/>
  <c r="P72" i="19" s="1"/>
  <c r="H72" i="19"/>
  <c r="F72" i="19"/>
  <c r="D72" i="19"/>
  <c r="N71" i="19"/>
  <c r="T71" i="19" s="1"/>
  <c r="L71" i="19"/>
  <c r="R71" i="19" s="1"/>
  <c r="J71" i="19"/>
  <c r="P71" i="19" s="1"/>
  <c r="H71" i="19"/>
  <c r="F71" i="19"/>
  <c r="D71" i="19"/>
  <c r="N70" i="19"/>
  <c r="T70" i="19" s="1"/>
  <c r="L70" i="19"/>
  <c r="R70" i="19" s="1"/>
  <c r="J70" i="19"/>
  <c r="P70" i="19" s="1"/>
  <c r="H70" i="19"/>
  <c r="F70" i="19"/>
  <c r="D70" i="19"/>
  <c r="S69" i="19"/>
  <c r="M69" i="19"/>
  <c r="N69" i="19" s="1"/>
  <c r="T69" i="19" s="1"/>
  <c r="L69" i="19"/>
  <c r="R69" i="19" s="1"/>
  <c r="J69" i="19"/>
  <c r="P69" i="19" s="1"/>
  <c r="G69" i="19"/>
  <c r="H69" i="19" s="1"/>
  <c r="F69" i="19"/>
  <c r="D69" i="19"/>
  <c r="N68" i="19"/>
  <c r="T68" i="19" s="1"/>
  <c r="L68" i="19"/>
  <c r="R68" i="19" s="1"/>
  <c r="J68" i="19"/>
  <c r="P68" i="19" s="1"/>
  <c r="H68" i="19"/>
  <c r="F68" i="19"/>
  <c r="D68" i="19"/>
  <c r="N67" i="19"/>
  <c r="T67" i="19" s="1"/>
  <c r="L67" i="19"/>
  <c r="R67" i="19" s="1"/>
  <c r="J67" i="19"/>
  <c r="P67" i="19" s="1"/>
  <c r="H67" i="19"/>
  <c r="F67" i="19"/>
  <c r="D67" i="19"/>
  <c r="N66" i="19"/>
  <c r="T66" i="19" s="1"/>
  <c r="L66" i="19"/>
  <c r="R66" i="19" s="1"/>
  <c r="J66" i="19"/>
  <c r="P66" i="19" s="1"/>
  <c r="D66" i="19"/>
  <c r="S65" i="19"/>
  <c r="M65" i="19"/>
  <c r="N65" i="19" s="1"/>
  <c r="T65" i="19" s="1"/>
  <c r="L65" i="19"/>
  <c r="R65" i="19" s="1"/>
  <c r="J65" i="19"/>
  <c r="P65" i="19" s="1"/>
  <c r="G65" i="19"/>
  <c r="H65" i="19" s="1"/>
  <c r="S64" i="19"/>
  <c r="M64" i="19"/>
  <c r="N64" i="19" s="1"/>
  <c r="T64" i="19" s="1"/>
  <c r="L64" i="19"/>
  <c r="R64" i="19" s="1"/>
  <c r="J64" i="19"/>
  <c r="P64" i="19" s="1"/>
  <c r="G64" i="19"/>
  <c r="H64" i="19" s="1"/>
  <c r="N63" i="19"/>
  <c r="T63" i="19" s="1"/>
  <c r="L63" i="19"/>
  <c r="R63" i="19" s="1"/>
  <c r="J63" i="19"/>
  <c r="P63" i="19" s="1"/>
  <c r="H63" i="19"/>
  <c r="F63" i="19"/>
  <c r="D63" i="19"/>
  <c r="N62" i="19"/>
  <c r="T62" i="19" s="1"/>
  <c r="L62" i="19"/>
  <c r="R62" i="19" s="1"/>
  <c r="J62" i="19"/>
  <c r="P62" i="19" s="1"/>
  <c r="H62" i="19"/>
  <c r="F62" i="19"/>
  <c r="D62" i="19"/>
  <c r="N61" i="19"/>
  <c r="T61" i="19" s="1"/>
  <c r="L61" i="19"/>
  <c r="R61" i="19" s="1"/>
  <c r="J61" i="19"/>
  <c r="P61" i="19" s="1"/>
  <c r="H61" i="19"/>
  <c r="F61" i="19"/>
  <c r="D61" i="19"/>
  <c r="N60" i="19"/>
  <c r="T60" i="19" s="1"/>
  <c r="L60" i="19"/>
  <c r="R60" i="19" s="1"/>
  <c r="J60" i="19"/>
  <c r="P60" i="19" s="1"/>
  <c r="H60" i="19"/>
  <c r="F60" i="19"/>
  <c r="D60" i="19"/>
  <c r="N59" i="19"/>
  <c r="T59" i="19" s="1"/>
  <c r="L59" i="19"/>
  <c r="R59" i="19" s="1"/>
  <c r="J59" i="19"/>
  <c r="P59" i="19" s="1"/>
  <c r="H59" i="19"/>
  <c r="F59" i="19"/>
  <c r="D59" i="19"/>
  <c r="N58" i="19"/>
  <c r="T58" i="19" s="1"/>
  <c r="L58" i="19"/>
  <c r="R58" i="19" s="1"/>
  <c r="J58" i="19"/>
  <c r="P58" i="19" s="1"/>
  <c r="H58" i="19"/>
  <c r="F58" i="19"/>
  <c r="D58" i="19"/>
  <c r="N57" i="19"/>
  <c r="T57" i="19" s="1"/>
  <c r="L57" i="19"/>
  <c r="R57" i="19" s="1"/>
  <c r="J57" i="19"/>
  <c r="P57" i="19" s="1"/>
  <c r="H57" i="19"/>
  <c r="F57" i="19"/>
  <c r="D57" i="19"/>
  <c r="N56" i="19"/>
  <c r="T56" i="19" s="1"/>
  <c r="L56" i="19"/>
  <c r="R56" i="19" s="1"/>
  <c r="J56" i="19"/>
  <c r="P56" i="19" s="1"/>
  <c r="H56" i="19"/>
  <c r="F56" i="19"/>
  <c r="D56" i="19"/>
  <c r="N55" i="19"/>
  <c r="T55" i="19" s="1"/>
  <c r="L55" i="19"/>
  <c r="R55" i="19" s="1"/>
  <c r="J55" i="19"/>
  <c r="P55" i="19" s="1"/>
  <c r="H55" i="19"/>
  <c r="F55" i="19"/>
  <c r="D55" i="19"/>
  <c r="N54" i="19"/>
  <c r="T54" i="19" s="1"/>
  <c r="L54" i="19"/>
  <c r="R54" i="19" s="1"/>
  <c r="J54" i="19"/>
  <c r="P54" i="19" s="1"/>
  <c r="H54" i="19"/>
  <c r="F54" i="19"/>
  <c r="D54" i="19"/>
  <c r="N53" i="19"/>
  <c r="T53" i="19" s="1"/>
  <c r="L53" i="19"/>
  <c r="R53" i="19" s="1"/>
  <c r="J53" i="19"/>
  <c r="P53" i="19" s="1"/>
  <c r="H53" i="19"/>
  <c r="F53" i="19"/>
  <c r="D53" i="19"/>
  <c r="N52" i="19"/>
  <c r="T52" i="19" s="1"/>
  <c r="L52" i="19"/>
  <c r="R52" i="19" s="1"/>
  <c r="J52" i="19"/>
  <c r="P52" i="19" s="1"/>
  <c r="H52" i="19"/>
  <c r="F52" i="19"/>
  <c r="D52" i="19"/>
  <c r="S51" i="19"/>
  <c r="M51" i="19"/>
  <c r="N51" i="19" s="1"/>
  <c r="T51" i="19" s="1"/>
  <c r="L51" i="19"/>
  <c r="R51" i="19" s="1"/>
  <c r="J51" i="19"/>
  <c r="P51" i="19" s="1"/>
  <c r="G51" i="19"/>
  <c r="H51" i="19" s="1"/>
  <c r="F51" i="19"/>
  <c r="D51" i="19"/>
  <c r="T16" i="19"/>
  <c r="N16" i="19"/>
  <c r="T48" i="19"/>
  <c r="R47" i="19"/>
  <c r="N88" i="19"/>
  <c r="T88" i="19" s="1"/>
  <c r="N81" i="19"/>
  <c r="T81" i="19" s="1"/>
  <c r="L83" i="19"/>
  <c r="R83" i="19" s="1"/>
  <c r="L84" i="19"/>
  <c r="R84" i="19" s="1"/>
  <c r="L85" i="19"/>
  <c r="R85" i="19" s="1"/>
  <c r="L86" i="19"/>
  <c r="R86" i="19" s="1"/>
  <c r="L87" i="19"/>
  <c r="R87" i="19" s="1"/>
  <c r="L88" i="19"/>
  <c r="R88" i="19" s="1"/>
  <c r="L89" i="19"/>
  <c r="R89" i="19" s="1"/>
  <c r="L81" i="19"/>
  <c r="R81" i="19" s="1"/>
  <c r="N23" i="19"/>
  <c r="T23" i="19" s="1"/>
  <c r="N24" i="19"/>
  <c r="T24" i="19" s="1"/>
  <c r="N25" i="19"/>
  <c r="T25" i="19" s="1"/>
  <c r="N26" i="19"/>
  <c r="T26" i="19" s="1"/>
  <c r="N27" i="19"/>
  <c r="T27" i="19" s="1"/>
  <c r="N28" i="19"/>
  <c r="T28" i="19" s="1"/>
  <c r="N29" i="19"/>
  <c r="T29" i="19" s="1"/>
  <c r="N30" i="19"/>
  <c r="T30" i="19" s="1"/>
  <c r="N31" i="19"/>
  <c r="T31" i="19" s="1"/>
  <c r="N32" i="19"/>
  <c r="T32" i="19" s="1"/>
  <c r="N33" i="19"/>
  <c r="T33" i="19" s="1"/>
  <c r="N34" i="19"/>
  <c r="T34" i="19" s="1"/>
  <c r="N37" i="19"/>
  <c r="T37" i="19" s="1"/>
  <c r="N38" i="19"/>
  <c r="T38" i="19" s="1"/>
  <c r="N39" i="19"/>
  <c r="T39" i="19" s="1"/>
  <c r="N41" i="19"/>
  <c r="T41" i="19" s="1"/>
  <c r="N42" i="19"/>
  <c r="T42" i="19" s="1"/>
  <c r="N43" i="19"/>
  <c r="T43" i="19" s="1"/>
  <c r="N44" i="19"/>
  <c r="T44" i="19" s="1"/>
  <c r="N45" i="19"/>
  <c r="T45" i="19" s="1"/>
  <c r="N46" i="19"/>
  <c r="T46" i="19" s="1"/>
  <c r="N47" i="19"/>
  <c r="T47" i="19" s="1"/>
  <c r="N48" i="19"/>
  <c r="N49" i="19"/>
  <c r="T49" i="19" s="1"/>
  <c r="N50" i="19"/>
  <c r="T50" i="19" s="1"/>
  <c r="N82" i="19"/>
  <c r="T82" i="19" s="1"/>
  <c r="N83" i="19"/>
  <c r="T83" i="19" s="1"/>
  <c r="N84" i="19"/>
  <c r="T84" i="19" s="1"/>
  <c r="N85" i="19"/>
  <c r="T85" i="19" s="1"/>
  <c r="N86" i="19"/>
  <c r="T86" i="19" s="1"/>
  <c r="N87" i="19"/>
  <c r="T87" i="19" s="1"/>
  <c r="N89" i="19"/>
  <c r="T89" i="19" s="1"/>
  <c r="L40" i="19"/>
  <c r="R40" i="19" s="1"/>
  <c r="L35" i="19"/>
  <c r="R35" i="19" s="1"/>
  <c r="L23" i="19"/>
  <c r="R23" i="19" s="1"/>
  <c r="L24" i="19"/>
  <c r="R24" i="19" s="1"/>
  <c r="L25" i="19"/>
  <c r="R25" i="19" s="1"/>
  <c r="L26" i="19"/>
  <c r="R26" i="19" s="1"/>
  <c r="L27" i="19"/>
  <c r="R27" i="19" s="1"/>
  <c r="L28" i="19"/>
  <c r="R28" i="19" s="1"/>
  <c r="L29" i="19"/>
  <c r="R29" i="19" s="1"/>
  <c r="L30" i="19"/>
  <c r="R30" i="19" s="1"/>
  <c r="L31" i="19"/>
  <c r="R31" i="19" s="1"/>
  <c r="L32" i="19"/>
  <c r="R32" i="19" s="1"/>
  <c r="L33" i="19"/>
  <c r="R33" i="19" s="1"/>
  <c r="L34" i="19"/>
  <c r="R34" i="19" s="1"/>
  <c r="L36" i="19"/>
  <c r="R36" i="19" s="1"/>
  <c r="L37" i="19"/>
  <c r="R37" i="19" s="1"/>
  <c r="L38" i="19"/>
  <c r="R38" i="19" s="1"/>
  <c r="L39" i="19"/>
  <c r="R39" i="19" s="1"/>
  <c r="L41" i="19"/>
  <c r="R41" i="19" s="1"/>
  <c r="L42" i="19"/>
  <c r="R42" i="19" s="1"/>
  <c r="L43" i="19"/>
  <c r="R43" i="19" s="1"/>
  <c r="L44" i="19"/>
  <c r="R44" i="19" s="1"/>
  <c r="L45" i="19"/>
  <c r="R45" i="19" s="1"/>
  <c r="L46" i="19"/>
  <c r="R46" i="19" s="1"/>
  <c r="L47" i="19"/>
  <c r="L48" i="19"/>
  <c r="R48" i="19" s="1"/>
  <c r="L49" i="19"/>
  <c r="R49" i="19" s="1"/>
  <c r="L50" i="19"/>
  <c r="R50" i="19" s="1"/>
  <c r="L82" i="19"/>
  <c r="R82" i="19" s="1"/>
  <c r="L22" i="19"/>
  <c r="R22" i="19" s="1"/>
  <c r="J36" i="19"/>
  <c r="P36" i="19" s="1"/>
  <c r="J35" i="19"/>
  <c r="P35" i="19" s="1"/>
  <c r="J22" i="19"/>
  <c r="P22" i="19" s="1"/>
  <c r="J23" i="19"/>
  <c r="P23" i="19" s="1"/>
  <c r="J24" i="19"/>
  <c r="P24" i="19" s="1"/>
  <c r="J25" i="19"/>
  <c r="P25" i="19" s="1"/>
  <c r="J26" i="19"/>
  <c r="P26" i="19" s="1"/>
  <c r="J27" i="19"/>
  <c r="P27" i="19" s="1"/>
  <c r="J28" i="19"/>
  <c r="P28" i="19" s="1"/>
  <c r="J29" i="19"/>
  <c r="P29" i="19" s="1"/>
  <c r="J30" i="19"/>
  <c r="P30" i="19" s="1"/>
  <c r="J31" i="19"/>
  <c r="P31" i="19" s="1"/>
  <c r="J32" i="19"/>
  <c r="P32" i="19" s="1"/>
  <c r="J33" i="19"/>
  <c r="P33" i="19" s="1"/>
  <c r="J34" i="19"/>
  <c r="P34" i="19" s="1"/>
  <c r="J37" i="19"/>
  <c r="P37" i="19" s="1"/>
  <c r="J38" i="19"/>
  <c r="P38" i="19" s="1"/>
  <c r="J39" i="19"/>
  <c r="P39" i="19" s="1"/>
  <c r="J40" i="19"/>
  <c r="P40" i="19" s="1"/>
  <c r="J41" i="19"/>
  <c r="P41" i="19" s="1"/>
  <c r="J42" i="19"/>
  <c r="P42" i="19" s="1"/>
  <c r="J43" i="19"/>
  <c r="P43" i="19" s="1"/>
  <c r="J44" i="19"/>
  <c r="P44" i="19" s="1"/>
  <c r="J45" i="19"/>
  <c r="P45" i="19" s="1"/>
  <c r="J46" i="19"/>
  <c r="P46" i="19" s="1"/>
  <c r="J47" i="19"/>
  <c r="P47" i="19" s="1"/>
  <c r="J48" i="19"/>
  <c r="P48" i="19" s="1"/>
  <c r="J49" i="19"/>
  <c r="P49" i="19" s="1"/>
  <c r="J50" i="19"/>
  <c r="P50" i="19" s="1"/>
  <c r="J81" i="19"/>
  <c r="P81" i="19" s="1"/>
  <c r="J82" i="19"/>
  <c r="P82" i="19" s="1"/>
  <c r="J83" i="19"/>
  <c r="P83" i="19" s="1"/>
  <c r="J84" i="19"/>
  <c r="P84" i="19" s="1"/>
  <c r="J85" i="19"/>
  <c r="P85" i="19" s="1"/>
  <c r="J86" i="19"/>
  <c r="P86" i="19" s="1"/>
  <c r="J87" i="19"/>
  <c r="P87" i="19" s="1"/>
  <c r="J88" i="19"/>
  <c r="P88" i="19" s="1"/>
  <c r="J89" i="19"/>
  <c r="P89" i="19" s="1"/>
  <c r="T6" i="19"/>
  <c r="T7" i="19"/>
  <c r="T8" i="19"/>
  <c r="T9" i="19"/>
  <c r="T10" i="19"/>
  <c r="T11" i="19"/>
  <c r="T12" i="19"/>
  <c r="T13" i="19"/>
  <c r="T14" i="19"/>
  <c r="T15" i="19"/>
  <c r="T19" i="19"/>
  <c r="T20" i="19"/>
  <c r="R6" i="19"/>
  <c r="R7" i="19"/>
  <c r="R8" i="19"/>
  <c r="R9" i="19"/>
  <c r="R10" i="19"/>
  <c r="R11" i="19"/>
  <c r="R12" i="19"/>
  <c r="R13" i="19"/>
  <c r="R14" i="19"/>
  <c r="R15" i="19"/>
  <c r="R19" i="19"/>
  <c r="R20" i="19"/>
  <c r="P6" i="19"/>
  <c r="P7" i="19"/>
  <c r="P8" i="19"/>
  <c r="P9" i="19"/>
  <c r="P10" i="19"/>
  <c r="P11" i="19"/>
  <c r="P12" i="19"/>
  <c r="P13" i="19"/>
  <c r="P14" i="19"/>
  <c r="P15" i="19"/>
  <c r="P19" i="19"/>
  <c r="P20" i="19"/>
  <c r="J9" i="19"/>
  <c r="N6" i="19"/>
  <c r="N7" i="19"/>
  <c r="N8" i="19"/>
  <c r="N9" i="19"/>
  <c r="N10" i="19"/>
  <c r="N11" i="19"/>
  <c r="N12" i="19"/>
  <c r="N13" i="19"/>
  <c r="N14" i="19"/>
  <c r="N15" i="19"/>
  <c r="N19" i="19"/>
  <c r="N20" i="19"/>
  <c r="L6" i="19"/>
  <c r="L7" i="19"/>
  <c r="L8" i="19"/>
  <c r="L9" i="19"/>
  <c r="L10" i="19"/>
  <c r="L11" i="19"/>
  <c r="L12" i="19"/>
  <c r="L13" i="19"/>
  <c r="L14" i="19"/>
  <c r="L15" i="19"/>
  <c r="L19" i="19"/>
  <c r="L20" i="19"/>
  <c r="J6" i="19"/>
  <c r="J7" i="19"/>
  <c r="J8" i="19"/>
  <c r="J10" i="19"/>
  <c r="J11" i="19"/>
  <c r="J12" i="19"/>
  <c r="J13" i="19"/>
  <c r="J14" i="19"/>
  <c r="J15" i="19"/>
  <c r="J19" i="19"/>
  <c r="J20" i="19"/>
  <c r="G36" i="19"/>
  <c r="H36" i="19" s="1"/>
  <c r="H88" i="19"/>
  <c r="H81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7" i="19"/>
  <c r="H38" i="19"/>
  <c r="H39" i="19"/>
  <c r="H41" i="19"/>
  <c r="H42" i="19"/>
  <c r="H43" i="19"/>
  <c r="H44" i="19"/>
  <c r="H45" i="19"/>
  <c r="H46" i="19"/>
  <c r="H47" i="19"/>
  <c r="H48" i="19"/>
  <c r="H49" i="19"/>
  <c r="H50" i="19"/>
  <c r="H82" i="19"/>
  <c r="H83" i="19"/>
  <c r="H84" i="19"/>
  <c r="H85" i="19"/>
  <c r="H86" i="19"/>
  <c r="H87" i="19"/>
  <c r="H89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42" i="19"/>
  <c r="F43" i="19"/>
  <c r="F44" i="19"/>
  <c r="F45" i="19"/>
  <c r="F46" i="19"/>
  <c r="F47" i="19"/>
  <c r="F48" i="19"/>
  <c r="F49" i="19"/>
  <c r="F50" i="19"/>
  <c r="F81" i="19"/>
  <c r="F82" i="19"/>
  <c r="F83" i="19"/>
  <c r="F84" i="19"/>
  <c r="F85" i="19"/>
  <c r="F86" i="19"/>
  <c r="F87" i="19"/>
  <c r="F88" i="19"/>
  <c r="F89" i="19"/>
  <c r="F22" i="19"/>
  <c r="D38" i="19"/>
  <c r="D39" i="19"/>
  <c r="D40" i="19"/>
  <c r="D41" i="19"/>
  <c r="D42" i="19"/>
  <c r="D43" i="19"/>
  <c r="D44" i="19"/>
  <c r="D45" i="19"/>
  <c r="D46" i="19"/>
  <c r="D47" i="19"/>
  <c r="D48" i="19"/>
  <c r="D49" i="19"/>
  <c r="D50" i="19"/>
  <c r="D81" i="19"/>
  <c r="D82" i="19"/>
  <c r="D83" i="19"/>
  <c r="D84" i="19"/>
  <c r="D85" i="19"/>
  <c r="D86" i="19"/>
  <c r="D87" i="19"/>
  <c r="D88" i="19"/>
  <c r="D89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22" i="19"/>
  <c r="F16" i="19"/>
  <c r="C16" i="19"/>
  <c r="G16" i="19" s="1"/>
  <c r="Q16" i="19" l="1"/>
  <c r="AP48" i="21"/>
  <c r="AP25" i="21"/>
  <c r="H20" i="22" s="1"/>
  <c r="H35" i="22" s="1"/>
  <c r="AP19" i="21"/>
  <c r="S15" i="21"/>
  <c r="AM14" i="21"/>
  <c r="AM13" i="21"/>
  <c r="Y75" i="21"/>
  <c r="AM31" i="21"/>
  <c r="V30" i="21"/>
  <c r="V29" i="21"/>
  <c r="S7" i="21"/>
  <c r="V5" i="21"/>
  <c r="AE68" i="21"/>
  <c r="Y57" i="21"/>
  <c r="AM55" i="21"/>
  <c r="AO52" i="21"/>
  <c r="AM39" i="21"/>
  <c r="AM45" i="21"/>
  <c r="AP70" i="21"/>
  <c r="AP68" i="21"/>
  <c r="AP67" i="21"/>
  <c r="AP66" i="21"/>
  <c r="AN59" i="21"/>
  <c r="AO43" i="21"/>
  <c r="S5" i="21"/>
  <c r="AN49" i="21"/>
  <c r="F12" i="22" s="1"/>
  <c r="V46" i="21"/>
  <c r="AO41" i="21"/>
  <c r="G26" i="22" s="1"/>
  <c r="G41" i="22" s="1"/>
  <c r="AP40" i="21"/>
  <c r="H7" i="22" s="1"/>
  <c r="AP31" i="21"/>
  <c r="AN19" i="21"/>
  <c r="AE4" i="21"/>
  <c r="AM69" i="21"/>
  <c r="S52" i="21"/>
  <c r="AM49" i="21"/>
  <c r="E12" i="22" s="1"/>
  <c r="S47" i="21"/>
  <c r="AP30" i="21"/>
  <c r="H25" i="22" s="1"/>
  <c r="H40" i="22" s="1"/>
  <c r="AP29" i="21"/>
  <c r="H24" i="22" s="1"/>
  <c r="H39" i="22" s="1"/>
  <c r="AM19" i="21"/>
  <c r="AO5" i="21"/>
  <c r="AP24" i="21"/>
  <c r="H19" i="22" s="1"/>
  <c r="H34" i="22" s="1"/>
  <c r="V14" i="21"/>
  <c r="AN15" i="21"/>
  <c r="AP75" i="21"/>
  <c r="Y60" i="21"/>
  <c r="AN13" i="21"/>
  <c r="AN12" i="21"/>
  <c r="AP55" i="21"/>
  <c r="AP51" i="21"/>
  <c r="AP49" i="21"/>
  <c r="H12" i="22" s="1"/>
  <c r="AN37" i="21"/>
  <c r="AP11" i="21"/>
  <c r="AN75" i="21"/>
  <c r="V74" i="21"/>
  <c r="AO71" i="21"/>
  <c r="AO70" i="21"/>
  <c r="AO69" i="21"/>
  <c r="AO68" i="21"/>
  <c r="AO67" i="21"/>
  <c r="AO66" i="21"/>
  <c r="AO65" i="21"/>
  <c r="AP64" i="21"/>
  <c r="AP63" i="21"/>
  <c r="AP61" i="21"/>
  <c r="AM59" i="21"/>
  <c r="AB42" i="21"/>
  <c r="AE41" i="21"/>
  <c r="S27" i="21"/>
  <c r="V25" i="21"/>
  <c r="V21" i="21"/>
  <c r="V20" i="21"/>
  <c r="AB12" i="21"/>
  <c r="AE10" i="21"/>
  <c r="AP9" i="21"/>
  <c r="AE6" i="21"/>
  <c r="AM3" i="21"/>
  <c r="AP41" i="21"/>
  <c r="H26" i="22" s="1"/>
  <c r="H41" i="22" s="1"/>
  <c r="AL43" i="21"/>
  <c r="AL37" i="21"/>
  <c r="AK33" i="21"/>
  <c r="C5" i="22" s="1"/>
  <c r="AL26" i="21"/>
  <c r="D21" i="22" s="1"/>
  <c r="AK24" i="21"/>
  <c r="C19" i="22" s="1"/>
  <c r="C34" i="22" s="1"/>
  <c r="AK13" i="21"/>
  <c r="AL16" i="21"/>
  <c r="AL44" i="21"/>
  <c r="J27" i="21"/>
  <c r="P15" i="21"/>
  <c r="AK14" i="21"/>
  <c r="AL12" i="21"/>
  <c r="AK74" i="21"/>
  <c r="AL72" i="21"/>
  <c r="AL70" i="21"/>
  <c r="AK49" i="21"/>
  <c r="C12" i="22" s="1"/>
  <c r="AK44" i="21"/>
  <c r="AL40" i="21"/>
  <c r="D7" i="22" s="1"/>
  <c r="AL19" i="21"/>
  <c r="AK17" i="21"/>
  <c r="AK72" i="21"/>
  <c r="AK70" i="21"/>
  <c r="AL68" i="21"/>
  <c r="AK57" i="21"/>
  <c r="AK53" i="21"/>
  <c r="J51" i="21"/>
  <c r="AK40" i="21"/>
  <c r="C7" i="22" s="1"/>
  <c r="AL38" i="21"/>
  <c r="AK23" i="21"/>
  <c r="AK21" i="21"/>
  <c r="C17" i="22" s="1"/>
  <c r="C32" i="22" s="1"/>
  <c r="AK19" i="21"/>
  <c r="AL10" i="21"/>
  <c r="AK68" i="21"/>
  <c r="AL49" i="21"/>
  <c r="D12" i="22" s="1"/>
  <c r="J12" i="22" s="1"/>
  <c r="AK6" i="21"/>
  <c r="AL64" i="21"/>
  <c r="AL28" i="21"/>
  <c r="D23" i="22" s="1"/>
  <c r="AL15" i="21"/>
  <c r="AK64" i="21"/>
  <c r="AK47" i="21"/>
  <c r="AK43" i="21"/>
  <c r="AK32" i="21"/>
  <c r="C4" i="22" s="1"/>
  <c r="AK30" i="21"/>
  <c r="C25" i="22" s="1"/>
  <c r="C40" i="22" s="1"/>
  <c r="AK28" i="21"/>
  <c r="C23" i="22" s="1"/>
  <c r="C38" i="22" s="1"/>
  <c r="AL24" i="21"/>
  <c r="D19" i="22" s="1"/>
  <c r="D34" i="22" s="1"/>
  <c r="AL13" i="21"/>
  <c r="AL21" i="21"/>
  <c r="D17" i="22" s="1"/>
  <c r="J17" i="22" s="1"/>
  <c r="J32" i="22" s="1"/>
  <c r="C47" i="22" s="1"/>
  <c r="AK60" i="21"/>
  <c r="C3" i="22" s="1"/>
  <c r="AK50" i="21"/>
  <c r="AL45" i="21"/>
  <c r="AL41" i="21"/>
  <c r="D26" i="22" s="1"/>
  <c r="D41" i="22" s="1"/>
  <c r="AK2" i="21"/>
  <c r="AL73" i="21"/>
  <c r="AL58" i="21"/>
  <c r="AL56" i="21"/>
  <c r="AL54" i="21"/>
  <c r="AL52" i="21"/>
  <c r="AL27" i="21"/>
  <c r="D22" i="22" s="1"/>
  <c r="D37" i="22" s="1"/>
  <c r="AL22" i="21"/>
  <c r="D18" i="22" s="1"/>
  <c r="D33" i="22" s="1"/>
  <c r="J69" i="21"/>
  <c r="AL67" i="21"/>
  <c r="AL63" i="21"/>
  <c r="AK59" i="21"/>
  <c r="C11" i="22" s="1"/>
  <c r="AK58" i="21"/>
  <c r="M46" i="21"/>
  <c r="AK27" i="21"/>
  <c r="C22" i="22" s="1"/>
  <c r="C37" i="22" s="1"/>
  <c r="P25" i="21"/>
  <c r="AL18" i="21"/>
  <c r="J9" i="21"/>
  <c r="AL5" i="21"/>
  <c r="AL3" i="21"/>
  <c r="AK69" i="21"/>
  <c r="P53" i="21"/>
  <c r="P51" i="21"/>
  <c r="AK46" i="21"/>
  <c r="M27" i="21"/>
  <c r="P21" i="21"/>
  <c r="P19" i="21"/>
  <c r="AK18" i="21"/>
  <c r="AK9" i="21"/>
  <c r="AK5" i="21"/>
  <c r="AK3" i="21"/>
  <c r="H14" i="22"/>
  <c r="H32" i="22"/>
  <c r="AN44" i="21"/>
  <c r="AE28" i="21"/>
  <c r="S24" i="21"/>
  <c r="S57" i="21"/>
  <c r="AP47" i="21"/>
  <c r="AO30" i="21"/>
  <c r="G25" i="22" s="1"/>
  <c r="G40" i="22" s="1"/>
  <c r="AO29" i="21"/>
  <c r="G24" i="22" s="1"/>
  <c r="G39" i="22" s="1"/>
  <c r="AP28" i="21"/>
  <c r="H23" i="22" s="1"/>
  <c r="H38" i="22" s="1"/>
  <c r="S21" i="21"/>
  <c r="AM20" i="21"/>
  <c r="AO15" i="21"/>
  <c r="AP13" i="21"/>
  <c r="AN11" i="21"/>
  <c r="Y3" i="21"/>
  <c r="AP74" i="21"/>
  <c r="AN64" i="21"/>
  <c r="S53" i="21"/>
  <c r="AM51" i="21"/>
  <c r="Y49" i="21"/>
  <c r="AM42" i="21"/>
  <c r="E27" i="22" s="1"/>
  <c r="Y33" i="21"/>
  <c r="Y32" i="21"/>
  <c r="AN29" i="21"/>
  <c r="F24" i="22" s="1"/>
  <c r="F39" i="22" s="1"/>
  <c r="AO28" i="21"/>
  <c r="G23" i="22" s="1"/>
  <c r="G38" i="22" s="1"/>
  <c r="AO27" i="21"/>
  <c r="G22" i="22" s="1"/>
  <c r="G37" i="22" s="1"/>
  <c r="S9" i="21"/>
  <c r="AM53" i="21"/>
  <c r="Y2" i="21"/>
  <c r="S68" i="21"/>
  <c r="V62" i="21"/>
  <c r="Y61" i="21"/>
  <c r="AO59" i="21"/>
  <c r="AE58" i="21"/>
  <c r="AP57" i="21"/>
  <c r="V50" i="21"/>
  <c r="S41" i="21"/>
  <c r="AB26" i="21"/>
  <c r="AE24" i="21"/>
  <c r="AM18" i="21"/>
  <c r="AM17" i="21"/>
  <c r="AH9" i="21"/>
  <c r="AH8" i="21"/>
  <c r="AH7" i="21"/>
  <c r="AH6" i="21"/>
  <c r="AM6" i="21"/>
  <c r="V73" i="21"/>
  <c r="AE49" i="21"/>
  <c r="AH14" i="21"/>
  <c r="Y9" i="21"/>
  <c r="Y7" i="21"/>
  <c r="AP50" i="21"/>
  <c r="AN71" i="21"/>
  <c r="AN67" i="21"/>
  <c r="AM58" i="21"/>
  <c r="AO50" i="21"/>
  <c r="AO32" i="21"/>
  <c r="G4" i="22" s="1"/>
  <c r="AO31" i="21"/>
  <c r="AO16" i="21"/>
  <c r="AE75" i="21"/>
  <c r="AM71" i="21"/>
  <c r="AM54" i="21"/>
  <c r="AP58" i="21"/>
  <c r="AN40" i="21"/>
  <c r="F7" i="22" s="1"/>
  <c r="AN17" i="21"/>
  <c r="AM64" i="21"/>
  <c r="AN36" i="21"/>
  <c r="AN33" i="21"/>
  <c r="F5" i="22" s="1"/>
  <c r="AN32" i="21"/>
  <c r="F4" i="22" s="1"/>
  <c r="AN31" i="21"/>
  <c r="AO25" i="21"/>
  <c r="G20" i="22" s="1"/>
  <c r="G35" i="22" s="1"/>
  <c r="AO22" i="21"/>
  <c r="G18" i="22" s="1"/>
  <c r="G33" i="22" s="1"/>
  <c r="AE69" i="21"/>
  <c r="AE65" i="21"/>
  <c r="AO57" i="21"/>
  <c r="AP56" i="21"/>
  <c r="AP52" i="21"/>
  <c r="AM50" i="21"/>
  <c r="AO44" i="21"/>
  <c r="AO42" i="21"/>
  <c r="G27" i="22" s="1"/>
  <c r="G42" i="22" s="1"/>
  <c r="AH38" i="21"/>
  <c r="AM37" i="21"/>
  <c r="AM36" i="21"/>
  <c r="AM35" i="21"/>
  <c r="AM33" i="21"/>
  <c r="E5" i="22" s="1"/>
  <c r="Y27" i="21"/>
  <c r="AE9" i="21"/>
  <c r="AM11" i="21"/>
  <c r="S73" i="21"/>
  <c r="AM52" i="21"/>
  <c r="AO26" i="21"/>
  <c r="G21" i="22" s="1"/>
  <c r="G36" i="22" s="1"/>
  <c r="AP17" i="21"/>
  <c r="AN62" i="21"/>
  <c r="Y73" i="21"/>
  <c r="S61" i="21"/>
  <c r="AO56" i="21"/>
  <c r="AO55" i="21"/>
  <c r="AO54" i="21"/>
  <c r="AN48" i="21"/>
  <c r="AH34" i="21"/>
  <c r="AH33" i="21"/>
  <c r="AP32" i="21"/>
  <c r="H4" i="22" s="1"/>
  <c r="AO17" i="21"/>
  <c r="AP4" i="21"/>
  <c r="AO3" i="21"/>
  <c r="AM25" i="21"/>
  <c r="E20" i="22" s="1"/>
  <c r="E35" i="22" s="1"/>
  <c r="AM74" i="21"/>
  <c r="AN43" i="21"/>
  <c r="AN7" i="21"/>
  <c r="AN69" i="21"/>
  <c r="AN56" i="21"/>
  <c r="AM22" i="21"/>
  <c r="E18" i="22" s="1"/>
  <c r="E33" i="22" s="1"/>
  <c r="AM56" i="21"/>
  <c r="AN39" i="21"/>
  <c r="AN38" i="21"/>
  <c r="S75" i="21"/>
  <c r="AO72" i="21"/>
  <c r="AM61" i="21"/>
  <c r="AM60" i="21"/>
  <c r="E3" i="22" s="1"/>
  <c r="Y54" i="21"/>
  <c r="AO53" i="21"/>
  <c r="AB52" i="21"/>
  <c r="AO51" i="21"/>
  <c r="AM48" i="21"/>
  <c r="V45" i="21"/>
  <c r="AM43" i="21"/>
  <c r="AE39" i="21"/>
  <c r="AO33" i="21"/>
  <c r="G5" i="22" s="1"/>
  <c r="AH29" i="21"/>
  <c r="AH28" i="21"/>
  <c r="AN28" i="21"/>
  <c r="F23" i="22" s="1"/>
  <c r="F38" i="22" s="1"/>
  <c r="AN23" i="21"/>
  <c r="V22" i="21"/>
  <c r="Y20" i="21"/>
  <c r="AO19" i="21"/>
  <c r="AO18" i="21"/>
  <c r="AH15" i="21"/>
  <c r="AO10" i="21"/>
  <c r="AO9" i="21"/>
  <c r="AO8" i="21"/>
  <c r="AO7" i="21"/>
  <c r="AO6" i="21"/>
  <c r="AE3" i="21"/>
  <c r="AN25" i="21"/>
  <c r="F20" i="22" s="1"/>
  <c r="J30" i="21"/>
  <c r="AL30" i="21"/>
  <c r="D25" i="22" s="1"/>
  <c r="D40" i="22" s="1"/>
  <c r="M50" i="21"/>
  <c r="AL50" i="21"/>
  <c r="AK15" i="21"/>
  <c r="P59" i="21"/>
  <c r="AL59" i="21"/>
  <c r="AK41" i="21"/>
  <c r="C26" i="22" s="1"/>
  <c r="C41" i="22" s="1"/>
  <c r="AL39" i="21"/>
  <c r="AK26" i="21"/>
  <c r="C21" i="22" s="1"/>
  <c r="C36" i="22" s="1"/>
  <c r="AK56" i="21"/>
  <c r="AK54" i="21"/>
  <c r="AK52" i="21"/>
  <c r="C6" i="22" s="1"/>
  <c r="AK39" i="21"/>
  <c r="AK22" i="21"/>
  <c r="C18" i="22" s="1"/>
  <c r="C33" i="22" s="1"/>
  <c r="AK63" i="21"/>
  <c r="AL48" i="21"/>
  <c r="AL35" i="21"/>
  <c r="AK48" i="21"/>
  <c r="AK35" i="21"/>
  <c r="AL31" i="21"/>
  <c r="AK65" i="21"/>
  <c r="AL61" i="21"/>
  <c r="J14" i="21"/>
  <c r="AL14" i="21"/>
  <c r="M10" i="21"/>
  <c r="AL8" i="21"/>
  <c r="D13" i="22"/>
  <c r="M17" i="21"/>
  <c r="AL33" i="21"/>
  <c r="D5" i="22" s="1"/>
  <c r="C13" i="22"/>
  <c r="M26" i="21"/>
  <c r="P20" i="21"/>
  <c r="AL20" i="21"/>
  <c r="AK10" i="21"/>
  <c r="J67" i="21"/>
  <c r="M65" i="21"/>
  <c r="J45" i="21"/>
  <c r="M37" i="21"/>
  <c r="M15" i="21"/>
  <c r="I18" i="22"/>
  <c r="I33" i="22" s="1"/>
  <c r="B48" i="22" s="1"/>
  <c r="AL46" i="21"/>
  <c r="AK37" i="21"/>
  <c r="P40" i="21"/>
  <c r="M4" i="21"/>
  <c r="AL74" i="21"/>
  <c r="AL6" i="21"/>
  <c r="M57" i="21"/>
  <c r="P9" i="21"/>
  <c r="J75" i="21"/>
  <c r="J57" i="21"/>
  <c r="J53" i="21"/>
  <c r="J18" i="21"/>
  <c r="AL69" i="21"/>
  <c r="AL53" i="21"/>
  <c r="J2" i="21"/>
  <c r="M7" i="21"/>
  <c r="AL9" i="21"/>
  <c r="M60" i="21"/>
  <c r="M58" i="21"/>
  <c r="J34" i="21"/>
  <c r="M19" i="21"/>
  <c r="J5" i="21"/>
  <c r="AL2" i="21"/>
  <c r="P68" i="21"/>
  <c r="AK67" i="21"/>
  <c r="J39" i="21"/>
  <c r="AL65" i="21"/>
  <c r="AK45" i="21"/>
  <c r="P72" i="21"/>
  <c r="M52" i="21"/>
  <c r="J47" i="21"/>
  <c r="P37" i="21"/>
  <c r="P24" i="21"/>
  <c r="M12" i="21"/>
  <c r="AL25" i="21"/>
  <c r="D20" i="22" s="1"/>
  <c r="D35" i="22" s="1"/>
  <c r="AL17" i="21"/>
  <c r="E37" i="22"/>
  <c r="F14" i="22"/>
  <c r="F32" i="22"/>
  <c r="E42" i="22"/>
  <c r="I27" i="22"/>
  <c r="I42" i="22" s="1"/>
  <c r="B49" i="22" s="1"/>
  <c r="F34" i="22"/>
  <c r="E41" i="22"/>
  <c r="S12" i="21"/>
  <c r="AM12" i="21"/>
  <c r="Y66" i="21"/>
  <c r="S60" i="21"/>
  <c r="AN60" i="21"/>
  <c r="F3" i="22" s="1"/>
  <c r="AB54" i="21"/>
  <c r="AP54" i="21"/>
  <c r="AP39" i="21"/>
  <c r="AE62" i="21"/>
  <c r="S40" i="21"/>
  <c r="AM40" i="21"/>
  <c r="E7" i="22" s="1"/>
  <c r="E13" i="22" s="1"/>
  <c r="S34" i="21"/>
  <c r="S33" i="21"/>
  <c r="V32" i="21"/>
  <c r="Y30" i="21"/>
  <c r="Y29" i="21"/>
  <c r="S14" i="21"/>
  <c r="AN14" i="21"/>
  <c r="Y10" i="21"/>
  <c r="Y8" i="21"/>
  <c r="AB5" i="21"/>
  <c r="AN9" i="21"/>
  <c r="AB16" i="21"/>
  <c r="AP16" i="21"/>
  <c r="AO62" i="21"/>
  <c r="AP38" i="21"/>
  <c r="AN30" i="21"/>
  <c r="F25" i="22" s="1"/>
  <c r="F40" i="22" s="1"/>
  <c r="AB14" i="21"/>
  <c r="AP14" i="21"/>
  <c r="AH73" i="21"/>
  <c r="S54" i="21"/>
  <c r="AN54" i="21"/>
  <c r="AM46" i="21"/>
  <c r="AM30" i="21"/>
  <c r="E25" i="22" s="1"/>
  <c r="AN18" i="21"/>
  <c r="AO14" i="21"/>
  <c r="AO13" i="21"/>
  <c r="AM10" i="21"/>
  <c r="AM8" i="21"/>
  <c r="AN51" i="21"/>
  <c r="AN41" i="21"/>
  <c r="F26" i="22" s="1"/>
  <c r="F41" i="22" s="1"/>
  <c r="AE73" i="21"/>
  <c r="AN72" i="21"/>
  <c r="AN70" i="21"/>
  <c r="AN68" i="21"/>
  <c r="AN66" i="21"/>
  <c r="AO61" i="21"/>
  <c r="AO60" i="21"/>
  <c r="G3" i="22" s="1"/>
  <c r="I3" i="22" s="1"/>
  <c r="M4" i="22" s="1"/>
  <c r="U5" i="22" s="1"/>
  <c r="V51" i="21"/>
  <c r="Y50" i="21"/>
  <c r="AB47" i="21"/>
  <c r="AH45" i="21"/>
  <c r="AO40" i="21"/>
  <c r="G7" i="22" s="1"/>
  <c r="AO39" i="21"/>
  <c r="AB22" i="21"/>
  <c r="AP22" i="21"/>
  <c r="H18" i="22" s="1"/>
  <c r="H33" i="22" s="1"/>
  <c r="AH18" i="21"/>
  <c r="AN6" i="21"/>
  <c r="AN61" i="21"/>
  <c r="AP37" i="21"/>
  <c r="AP27" i="21"/>
  <c r="H22" i="22" s="1"/>
  <c r="AM21" i="21"/>
  <c r="E17" i="22" s="1"/>
  <c r="S38" i="21"/>
  <c r="AM38" i="21"/>
  <c r="AO63" i="21"/>
  <c r="S20" i="21"/>
  <c r="AN20" i="21"/>
  <c r="AP36" i="21"/>
  <c r="AE12" i="21"/>
  <c r="AP12" i="21"/>
  <c r="AO48" i="21"/>
  <c r="AO75" i="21"/>
  <c r="AO74" i="21"/>
  <c r="AM72" i="21"/>
  <c r="AM70" i="21"/>
  <c r="AM66" i="21"/>
  <c r="AM44" i="21"/>
  <c r="AO38" i="21"/>
  <c r="AO37" i="21"/>
  <c r="AO36" i="21"/>
  <c r="AO35" i="21"/>
  <c r="AO24" i="21"/>
  <c r="G19" i="22" s="1"/>
  <c r="G34" i="22" s="1"/>
  <c r="AO23" i="21"/>
  <c r="AN27" i="21"/>
  <c r="F22" i="22" s="1"/>
  <c r="F37" i="22" s="1"/>
  <c r="AB62" i="21"/>
  <c r="AP62" i="21"/>
  <c r="F35" i="22"/>
  <c r="Y68" i="21"/>
  <c r="AN45" i="21"/>
  <c r="AN10" i="21"/>
  <c r="AO49" i="21"/>
  <c r="G12" i="22" s="1"/>
  <c r="AO2" i="21"/>
  <c r="AN52" i="21"/>
  <c r="AO47" i="21"/>
  <c r="AN42" i="21"/>
  <c r="F27" i="22" s="1"/>
  <c r="Y25" i="21"/>
  <c r="Y24" i="21"/>
  <c r="Y22" i="21"/>
  <c r="AB21" i="21"/>
  <c r="AO21" i="21"/>
  <c r="G17" i="22" s="1"/>
  <c r="AE18" i="21"/>
  <c r="AP18" i="21"/>
  <c r="AO12" i="21"/>
  <c r="AO11" i="21"/>
  <c r="AP73" i="21"/>
  <c r="AP33" i="21"/>
  <c r="H5" i="22" s="1"/>
  <c r="F33" i="22"/>
  <c r="AP15" i="21"/>
  <c r="AP2" i="21"/>
  <c r="AB30" i="21"/>
  <c r="AM28" i="21"/>
  <c r="E23" i="22" s="1"/>
  <c r="E38" i="22" s="1"/>
  <c r="AP20" i="21"/>
  <c r="AN4" i="21"/>
  <c r="S4" i="21"/>
  <c r="AM57" i="21"/>
  <c r="AP53" i="21"/>
  <c r="AM47" i="21"/>
  <c r="AM7" i="21"/>
  <c r="AP3" i="21"/>
  <c r="AM9" i="21"/>
  <c r="S74" i="21"/>
  <c r="AN74" i="21"/>
  <c r="AO64" i="21"/>
  <c r="I20" i="22"/>
  <c r="I35" i="22" s="1"/>
  <c r="AN58" i="21"/>
  <c r="AE34" i="21"/>
  <c r="AN8" i="21"/>
  <c r="AO4" i="21"/>
  <c r="AO73" i="21"/>
  <c r="S62" i="21"/>
  <c r="AM62" i="21"/>
  <c r="AO58" i="21"/>
  <c r="AB57" i="21"/>
  <c r="AO46" i="21"/>
  <c r="V26" i="21"/>
  <c r="AO20" i="21"/>
  <c r="AM16" i="21"/>
  <c r="AP6" i="21"/>
  <c r="AE5" i="21"/>
  <c r="AM4" i="21"/>
  <c r="AM73" i="21"/>
  <c r="AN3" i="21"/>
  <c r="AB75" i="21"/>
  <c r="AE74" i="21"/>
  <c r="AB68" i="21"/>
  <c r="AB67" i="21"/>
  <c r="AH62" i="21"/>
  <c r="AH61" i="21"/>
  <c r="AB49" i="21"/>
  <c r="S46" i="21"/>
  <c r="AH39" i="21"/>
  <c r="V33" i="21"/>
  <c r="V27" i="21"/>
  <c r="AB24" i="21"/>
  <c r="AE21" i="21"/>
  <c r="AH20" i="21"/>
  <c r="S19" i="21"/>
  <c r="AE14" i="21"/>
  <c r="AB9" i="21"/>
  <c r="AB8" i="21"/>
  <c r="AH5" i="21"/>
  <c r="AH4" i="21"/>
  <c r="S2" i="21"/>
  <c r="AH69" i="21"/>
  <c r="S66" i="21"/>
  <c r="V65" i="21"/>
  <c r="V58" i="21"/>
  <c r="AB53" i="21"/>
  <c r="AE51" i="21"/>
  <c r="AH50" i="21"/>
  <c r="S49" i="21"/>
  <c r="AE42" i="21"/>
  <c r="AB38" i="21"/>
  <c r="AB37" i="21"/>
  <c r="AH32" i="21"/>
  <c r="AH30" i="21"/>
  <c r="S30" i="21"/>
  <c r="AB19" i="21"/>
  <c r="S16" i="21"/>
  <c r="AH10" i="21"/>
  <c r="V6" i="21"/>
  <c r="AH42" i="21"/>
  <c r="S32" i="21"/>
  <c r="S26" i="21"/>
  <c r="V16" i="21"/>
  <c r="AP60" i="21"/>
  <c r="H3" i="22" s="1"/>
  <c r="H13" i="22" s="1"/>
  <c r="AM2" i="21"/>
  <c r="AN50" i="21"/>
  <c r="AN46" i="21"/>
  <c r="AN16" i="21"/>
  <c r="V75" i="21"/>
  <c r="AM68" i="21"/>
  <c r="AM32" i="21"/>
  <c r="E4" i="22" s="1"/>
  <c r="AM26" i="21"/>
  <c r="E21" i="22" s="1"/>
  <c r="AM24" i="21"/>
  <c r="E19" i="22" s="1"/>
  <c r="E34" i="22" s="1"/>
  <c r="J21" i="22"/>
  <c r="J36" i="22" s="1"/>
  <c r="AB72" i="21"/>
  <c r="AB51" i="21"/>
  <c r="Y38" i="21"/>
  <c r="Y34" i="21"/>
  <c r="Y19" i="21"/>
  <c r="Y58" i="21"/>
  <c r="S17" i="21"/>
  <c r="AP46" i="21"/>
  <c r="J24" i="22"/>
  <c r="J39" i="22" s="1"/>
  <c r="Y72" i="21"/>
  <c r="AB69" i="21"/>
  <c r="AE67" i="21"/>
  <c r="AE66" i="21"/>
  <c r="V61" i="21"/>
  <c r="V54" i="21"/>
  <c r="AE48" i="21"/>
  <c r="V38" i="21"/>
  <c r="AB25" i="21"/>
  <c r="Y11" i="21"/>
  <c r="AB10" i="21"/>
  <c r="AE8" i="21"/>
  <c r="AE7" i="21"/>
  <c r="V4" i="21"/>
  <c r="D38" i="22"/>
  <c r="E39" i="22"/>
  <c r="D36" i="22"/>
  <c r="I23" i="22"/>
  <c r="I38" i="22" s="1"/>
  <c r="P73" i="21"/>
  <c r="M68" i="21"/>
  <c r="P52" i="21"/>
  <c r="J22" i="21"/>
  <c r="M20" i="21"/>
  <c r="AB74" i="21"/>
  <c r="V67" i="21"/>
  <c r="AB65" i="21"/>
  <c r="S59" i="21"/>
  <c r="AB48" i="21"/>
  <c r="AE47" i="21"/>
  <c r="AH46" i="21"/>
  <c r="V37" i="21"/>
  <c r="AB33" i="21"/>
  <c r="S28" i="21"/>
  <c r="AB18" i="21"/>
  <c r="AE17" i="21"/>
  <c r="AH16" i="21"/>
  <c r="V8" i="21"/>
  <c r="AB6" i="21"/>
  <c r="P47" i="21"/>
  <c r="M28" i="21"/>
  <c r="J7" i="21"/>
  <c r="AH52" i="21"/>
  <c r="V34" i="21"/>
  <c r="S8" i="21"/>
  <c r="P6" i="21"/>
  <c r="P60" i="21"/>
  <c r="J59" i="21"/>
  <c r="P34" i="21"/>
  <c r="J33" i="21"/>
  <c r="M11" i="21"/>
  <c r="AB2" i="21"/>
  <c r="AH57" i="21"/>
  <c r="AH51" i="21"/>
  <c r="AH26" i="21"/>
  <c r="AH21" i="21"/>
  <c r="J20" i="21"/>
  <c r="J4" i="21"/>
  <c r="S67" i="21"/>
  <c r="Y48" i="21"/>
  <c r="J54" i="21"/>
  <c r="J28" i="21"/>
  <c r="P57" i="21"/>
  <c r="J62" i="21"/>
  <c r="P39" i="21"/>
  <c r="J38" i="21"/>
  <c r="J29" i="21"/>
  <c r="P17" i="21"/>
  <c r="J16" i="21"/>
  <c r="J11" i="21"/>
  <c r="S69" i="21"/>
  <c r="AB58" i="21"/>
  <c r="AE57" i="21"/>
  <c r="AH54" i="21"/>
  <c r="V47" i="21"/>
  <c r="AB45" i="21"/>
  <c r="S39" i="21"/>
  <c r="AB27" i="21"/>
  <c r="AE26" i="21"/>
  <c r="AH25" i="21"/>
  <c r="V17" i="21"/>
  <c r="AB15" i="21"/>
  <c r="S10" i="21"/>
  <c r="M73" i="21"/>
  <c r="M25" i="21"/>
  <c r="AH75" i="21"/>
  <c r="P50" i="21"/>
  <c r="V66" i="21"/>
  <c r="Y18" i="21"/>
  <c r="P2" i="21"/>
  <c r="P29" i="21"/>
  <c r="M48" i="21"/>
  <c r="J41" i="21"/>
  <c r="M39" i="21"/>
  <c r="J19" i="21"/>
  <c r="J3" i="21"/>
  <c r="AB66" i="21"/>
  <c r="V53" i="21"/>
  <c r="V41" i="21"/>
  <c r="AB34" i="21"/>
  <c r="V24" i="21"/>
  <c r="V12" i="21"/>
  <c r="AB7" i="21"/>
  <c r="S37" i="21"/>
  <c r="AH22" i="21"/>
  <c r="V7" i="21"/>
  <c r="M32" i="21"/>
  <c r="AH47" i="21"/>
  <c r="AH41" i="21"/>
  <c r="AH17" i="21"/>
  <c r="AH12" i="21"/>
  <c r="P74" i="21"/>
  <c r="P66" i="21"/>
  <c r="AE2" i="21"/>
  <c r="J72" i="21"/>
  <c r="M49" i="21"/>
  <c r="P26" i="21"/>
  <c r="P3" i="21"/>
  <c r="AB60" i="21"/>
  <c r="AB50" i="21"/>
  <c r="AB40" i="21"/>
  <c r="AB29" i="21"/>
  <c r="AB20" i="21"/>
  <c r="AB11" i="21"/>
  <c r="AB3" i="21"/>
  <c r="J68" i="21"/>
  <c r="M69" i="21"/>
  <c r="J8" i="21"/>
  <c r="J60" i="21"/>
  <c r="M9" i="21"/>
  <c r="M53" i="21"/>
  <c r="M61" i="21"/>
  <c r="P22" i="21"/>
  <c r="M45" i="21"/>
  <c r="J32" i="21"/>
  <c r="M41" i="21"/>
  <c r="P58" i="21"/>
  <c r="J52" i="21"/>
  <c r="M29" i="21"/>
  <c r="M21" i="21"/>
  <c r="P10" i="21"/>
  <c r="P62" i="21"/>
  <c r="P54" i="21"/>
  <c r="J12" i="21"/>
  <c r="AH2" i="21"/>
  <c r="P38" i="21"/>
  <c r="J40" i="21"/>
  <c r="P46" i="21"/>
  <c r="J24" i="21"/>
  <c r="P65" i="21"/>
  <c r="J48" i="21"/>
  <c r="M33" i="21"/>
  <c r="P14" i="21"/>
  <c r="V69" i="21"/>
  <c r="V59" i="21"/>
  <c r="V49" i="21"/>
  <c r="V39" i="21"/>
  <c r="V28" i="21"/>
  <c r="V19" i="21"/>
  <c r="V10" i="21"/>
  <c r="M54" i="21"/>
  <c r="P30" i="21"/>
  <c r="P18" i="21"/>
  <c r="M5" i="21"/>
  <c r="L16" i="19"/>
  <c r="M16" i="19"/>
  <c r="K16" i="19"/>
  <c r="R16" i="19"/>
  <c r="E16" i="19"/>
  <c r="C14" i="22" l="1"/>
  <c r="I12" i="22"/>
  <c r="I7" i="22"/>
  <c r="I5" i="22"/>
  <c r="J19" i="22"/>
  <c r="J34" i="22" s="1"/>
  <c r="D32" i="22"/>
  <c r="D14" i="22"/>
  <c r="J7" i="22"/>
  <c r="N45" i="22" s="1"/>
  <c r="J20" i="22"/>
  <c r="J35" i="22" s="1"/>
  <c r="I22" i="22"/>
  <c r="I37" i="22" s="1"/>
  <c r="J25" i="22"/>
  <c r="J40" i="22" s="1"/>
  <c r="C50" i="22" s="1"/>
  <c r="I24" i="22"/>
  <c r="I39" i="22" s="1"/>
  <c r="J4" i="22"/>
  <c r="J23" i="22"/>
  <c r="J38" i="22" s="1"/>
  <c r="J26" i="22"/>
  <c r="J41" i="22" s="1"/>
  <c r="I4" i="22"/>
  <c r="I26" i="22"/>
  <c r="I41" i="22" s="1"/>
  <c r="J3" i="22"/>
  <c r="J22" i="22"/>
  <c r="J37" i="22" s="1"/>
  <c r="H37" i="22"/>
  <c r="J18" i="22"/>
  <c r="J33" i="22" s="1"/>
  <c r="C48" i="22" s="1"/>
  <c r="E32" i="22"/>
  <c r="I17" i="22"/>
  <c r="F42" i="22"/>
  <c r="J27" i="22"/>
  <c r="J42" i="22" s="1"/>
  <c r="C49" i="22" s="1"/>
  <c r="J14" i="22"/>
  <c r="E36" i="22"/>
  <c r="I21" i="22"/>
  <c r="I36" i="22" s="1"/>
  <c r="I25" i="22"/>
  <c r="I40" i="22" s="1"/>
  <c r="B50" i="22" s="1"/>
  <c r="E40" i="22"/>
  <c r="E14" i="22"/>
  <c r="F13" i="22"/>
  <c r="I19" i="22"/>
  <c r="I34" i="22" s="1"/>
  <c r="B51" i="22" s="1"/>
  <c r="G14" i="22"/>
  <c r="G32" i="22"/>
  <c r="G13" i="22"/>
  <c r="J5" i="22"/>
  <c r="M45" i="22"/>
  <c r="I13" i="22"/>
  <c r="M25" i="22" s="1"/>
  <c r="C51" i="22" l="1"/>
  <c r="C52" i="22"/>
  <c r="C53" i="22" s="1"/>
  <c r="B52" i="22"/>
  <c r="I32" i="22"/>
  <c r="B47" i="22" s="1"/>
  <c r="I14" i="22"/>
  <c r="N4" i="22"/>
  <c r="J13" i="22"/>
  <c r="N25" i="22" s="1"/>
  <c r="O25" i="22" s="1"/>
  <c r="O4" i="22" l="1"/>
  <c r="U4" i="22"/>
  <c r="U6" i="22" s="1"/>
  <c r="U7" i="22" s="1"/>
  <c r="B53" i="22"/>
  <c r="D51" i="22" s="1"/>
  <c r="E51" i="22"/>
  <c r="E50" i="22"/>
  <c r="E47" i="22"/>
  <c r="E49" i="22"/>
  <c r="D48" i="22"/>
  <c r="D49" i="22"/>
  <c r="D52" i="22"/>
  <c r="D47" i="22"/>
  <c r="E52" i="22"/>
  <c r="E48" i="22"/>
  <c r="D50" i="22" l="1"/>
  <c r="H19" i="19"/>
  <c r="H20" i="19"/>
  <c r="F19" i="19"/>
  <c r="F20" i="19"/>
  <c r="D20" i="19"/>
  <c r="D19" i="19"/>
  <c r="H6" i="19"/>
  <c r="H7" i="19"/>
  <c r="H8" i="19"/>
  <c r="H9" i="19"/>
  <c r="H10" i="19"/>
  <c r="H11" i="19"/>
  <c r="H12" i="19"/>
  <c r="H13" i="19"/>
  <c r="H14" i="19"/>
  <c r="H15" i="19"/>
  <c r="F6" i="19"/>
  <c r="F7" i="19"/>
  <c r="F8" i="19"/>
  <c r="F9" i="19"/>
  <c r="F10" i="19"/>
  <c r="F11" i="19"/>
  <c r="F12" i="19"/>
  <c r="F13" i="19"/>
  <c r="F14" i="19"/>
  <c r="F15" i="19"/>
  <c r="D9" i="19"/>
  <c r="D10" i="19"/>
  <c r="D11" i="19"/>
  <c r="D12" i="19"/>
  <c r="D13" i="19"/>
  <c r="D14" i="19"/>
  <c r="D15" i="19"/>
  <c r="D7" i="19"/>
  <c r="D8" i="19"/>
  <c r="D6" i="19"/>
  <c r="V42" i="17"/>
  <c r="E43" i="3"/>
  <c r="E41" i="3"/>
  <c r="D41" i="3"/>
  <c r="E37" i="6"/>
  <c r="D37" i="6"/>
  <c r="E36" i="5"/>
  <c r="D36" i="5"/>
  <c r="E38" i="3"/>
  <c r="D38" i="3"/>
  <c r="Z39" i="17"/>
  <c r="Y39" i="17"/>
  <c r="X39" i="17"/>
  <c r="Z28" i="17"/>
  <c r="Y28" i="17"/>
  <c r="X28" i="17"/>
  <c r="Z18" i="17"/>
  <c r="Y18" i="17"/>
  <c r="X18" i="17"/>
  <c r="Z10" i="17"/>
  <c r="Y10" i="17"/>
  <c r="X10" i="17"/>
  <c r="V39" i="17"/>
  <c r="V28" i="17"/>
  <c r="V18" i="17"/>
  <c r="V10" i="17"/>
  <c r="O10" i="17"/>
  <c r="U42" i="17"/>
  <c r="U39" i="17"/>
  <c r="U28" i="17"/>
  <c r="U18" i="17"/>
  <c r="U10" i="17"/>
  <c r="T5" i="17"/>
  <c r="T6" i="17"/>
  <c r="T7" i="17"/>
  <c r="T8" i="17"/>
  <c r="T9" i="17"/>
  <c r="T10" i="17"/>
  <c r="T14" i="17"/>
  <c r="T15" i="17"/>
  <c r="T16" i="17"/>
  <c r="T17" i="17"/>
  <c r="T18" i="17"/>
  <c r="T22" i="17"/>
  <c r="T23" i="17"/>
  <c r="T24" i="17"/>
  <c r="T25" i="17"/>
  <c r="T26" i="17"/>
  <c r="T27" i="17"/>
  <c r="T28" i="17"/>
  <c r="T32" i="17"/>
  <c r="T33" i="17"/>
  <c r="T34" i="17"/>
  <c r="T35" i="17"/>
  <c r="T36" i="17"/>
  <c r="T37" i="17"/>
  <c r="T38" i="17"/>
  <c r="T39" i="17"/>
  <c r="T4" i="17"/>
  <c r="M4" i="17"/>
  <c r="I33" i="12" l="1"/>
  <c r="J30" i="12"/>
  <c r="D18" i="12"/>
  <c r="D17" i="12"/>
  <c r="C18" i="12"/>
  <c r="C17" i="12"/>
  <c r="AB38" i="19" l="1"/>
  <c r="AH38" i="19" s="1"/>
  <c r="AB39" i="19"/>
  <c r="AH39" i="19" s="1"/>
  <c r="AB40" i="19"/>
  <c r="AH40" i="19" s="1"/>
  <c r="AB41" i="19"/>
  <c r="AH41" i="19" s="1"/>
  <c r="AB42" i="19"/>
  <c r="AH42" i="19" s="1"/>
  <c r="AB43" i="19"/>
  <c r="AI43" i="19" s="1"/>
  <c r="AB45" i="19"/>
  <c r="AH45" i="19" s="1"/>
  <c r="AB46" i="19"/>
  <c r="AI46" i="19" s="1"/>
  <c r="AB47" i="19"/>
  <c r="AH47" i="19" s="1"/>
  <c r="AB48" i="19"/>
  <c r="AH48" i="19" s="1"/>
  <c r="AB49" i="19"/>
  <c r="AH49" i="19" s="1"/>
  <c r="AB51" i="19"/>
  <c r="AH51" i="19" s="1"/>
  <c r="AB52" i="19"/>
  <c r="AH52" i="19" s="1"/>
  <c r="AB53" i="19"/>
  <c r="AH53" i="19" s="1"/>
  <c r="AB54" i="19"/>
  <c r="AH54" i="19" s="1"/>
  <c r="AB55" i="19"/>
  <c r="AH55" i="19" s="1"/>
  <c r="AB56" i="19"/>
  <c r="AH56" i="19" s="1"/>
  <c r="AB57" i="19"/>
  <c r="AH57" i="19" s="1"/>
  <c r="AB59" i="19"/>
  <c r="AH59" i="19" s="1"/>
  <c r="AB60" i="19"/>
  <c r="AI60" i="19" s="1"/>
  <c r="AB61" i="19"/>
  <c r="AH61" i="19" s="1"/>
  <c r="AB62" i="19"/>
  <c r="AH62" i="19" s="1"/>
  <c r="AB63" i="19"/>
  <c r="AH63" i="19" s="1"/>
  <c r="AB64" i="19"/>
  <c r="AH64" i="19" s="1"/>
  <c r="AB65" i="19"/>
  <c r="AH65" i="19" s="1"/>
  <c r="AB66" i="19"/>
  <c r="AH66" i="19" s="1"/>
  <c r="AB37" i="19"/>
  <c r="AI37" i="19" s="1"/>
  <c r="AA38" i="19"/>
  <c r="AF38" i="19" s="1"/>
  <c r="AA39" i="19"/>
  <c r="AF39" i="19" s="1"/>
  <c r="AA40" i="19"/>
  <c r="AF40" i="19" s="1"/>
  <c r="AA41" i="19"/>
  <c r="AF41" i="19" s="1"/>
  <c r="AA42" i="19"/>
  <c r="AG42" i="19" s="1"/>
  <c r="AA43" i="19"/>
  <c r="AF43" i="19" s="1"/>
  <c r="AA45" i="19"/>
  <c r="AG45" i="19" s="1"/>
  <c r="AA46" i="19"/>
  <c r="AF46" i="19" s="1"/>
  <c r="AA47" i="19"/>
  <c r="AF47" i="19" s="1"/>
  <c r="AA48" i="19"/>
  <c r="AF48" i="19" s="1"/>
  <c r="AA49" i="19"/>
  <c r="AF49" i="19" s="1"/>
  <c r="AA51" i="19"/>
  <c r="AA52" i="19"/>
  <c r="AF52" i="19" s="1"/>
  <c r="AA53" i="19"/>
  <c r="AF53" i="19" s="1"/>
  <c r="AA54" i="19"/>
  <c r="AF54" i="19" s="1"/>
  <c r="AA55" i="19"/>
  <c r="AF55" i="19" s="1"/>
  <c r="AA56" i="19"/>
  <c r="AG56" i="19" s="1"/>
  <c r="AA57" i="19"/>
  <c r="AF57" i="19" s="1"/>
  <c r="AA59" i="19"/>
  <c r="AF59" i="19" s="1"/>
  <c r="AA60" i="19"/>
  <c r="AG60" i="19" s="1"/>
  <c r="AA61" i="19"/>
  <c r="AF61" i="19" s="1"/>
  <c r="AA62" i="19"/>
  <c r="AF62" i="19" s="1"/>
  <c r="AA63" i="19"/>
  <c r="AF63" i="19" s="1"/>
  <c r="AA64" i="19"/>
  <c r="AF64" i="19" s="1"/>
  <c r="AA65" i="19"/>
  <c r="AF65" i="19" s="1"/>
  <c r="AA66" i="19"/>
  <c r="AF66" i="19" s="1"/>
  <c r="AA37" i="19"/>
  <c r="Z38" i="19"/>
  <c r="AE38" i="19" s="1"/>
  <c r="Z39" i="19"/>
  <c r="AD39" i="19" s="1"/>
  <c r="Z40" i="19"/>
  <c r="AD40" i="19" s="1"/>
  <c r="Z41" i="19"/>
  <c r="AD41" i="19" s="1"/>
  <c r="Z42" i="19"/>
  <c r="AD42" i="19" s="1"/>
  <c r="Z43" i="19"/>
  <c r="AD43" i="19" s="1"/>
  <c r="Z45" i="19"/>
  <c r="Z46" i="19"/>
  <c r="AE46" i="19" s="1"/>
  <c r="Z47" i="19"/>
  <c r="AE47" i="19" s="1"/>
  <c r="Z48" i="19"/>
  <c r="AE48" i="19" s="1"/>
  <c r="Z49" i="19"/>
  <c r="AE49" i="19" s="1"/>
  <c r="Z51" i="19"/>
  <c r="AE51" i="19" s="1"/>
  <c r="Z52" i="19"/>
  <c r="AE52" i="19" s="1"/>
  <c r="Z53" i="19"/>
  <c r="AD53" i="19" s="1"/>
  <c r="Z54" i="19"/>
  <c r="AD54" i="19" s="1"/>
  <c r="Z55" i="19"/>
  <c r="AD55" i="19" s="1"/>
  <c r="Z56" i="19"/>
  <c r="AD56" i="19" s="1"/>
  <c r="Z57" i="19"/>
  <c r="AE57" i="19" s="1"/>
  <c r="Z59" i="19"/>
  <c r="AE59" i="19" s="1"/>
  <c r="Z60" i="19"/>
  <c r="AE60" i="19" s="1"/>
  <c r="Z61" i="19"/>
  <c r="AD61" i="19" s="1"/>
  <c r="Z62" i="19"/>
  <c r="AE62" i="19" s="1"/>
  <c r="Z63" i="19"/>
  <c r="AE63" i="19" s="1"/>
  <c r="Z64" i="19"/>
  <c r="AE64" i="19" s="1"/>
  <c r="Z65" i="19"/>
  <c r="AE65" i="19" s="1"/>
  <c r="Z66" i="19"/>
  <c r="AD66" i="19" s="1"/>
  <c r="Z37" i="19"/>
  <c r="AD37" i="19" s="1"/>
  <c r="AD62" i="19" l="1"/>
  <c r="AG52" i="19"/>
  <c r="AG39" i="19"/>
  <c r="AG46" i="19"/>
  <c r="AF42" i="19"/>
  <c r="AG38" i="19"/>
  <c r="AI51" i="19"/>
  <c r="AG61" i="19"/>
  <c r="AF60" i="19"/>
  <c r="AF67" i="19" s="1"/>
  <c r="AF56" i="19"/>
  <c r="AI64" i="19"/>
  <c r="AI63" i="19"/>
  <c r="AG59" i="19"/>
  <c r="AG47" i="19"/>
  <c r="AI57" i="19"/>
  <c r="AI42" i="19"/>
  <c r="AA44" i="19"/>
  <c r="AD51" i="19"/>
  <c r="AD49" i="19"/>
  <c r="AH43" i="19"/>
  <c r="AA58" i="19"/>
  <c r="AI55" i="19"/>
  <c r="Z50" i="19"/>
  <c r="AG55" i="19"/>
  <c r="AI41" i="19"/>
  <c r="AG37" i="19"/>
  <c r="AE56" i="19"/>
  <c r="AG66" i="19"/>
  <c r="AG54" i="19"/>
  <c r="AG41" i="19"/>
  <c r="AI62" i="19"/>
  <c r="AI49" i="19"/>
  <c r="AI45" i="19"/>
  <c r="AD52" i="19"/>
  <c r="AA50" i="19"/>
  <c r="AD65" i="19"/>
  <c r="AH60" i="19"/>
  <c r="AH67" i="19" s="1"/>
  <c r="Z44" i="19"/>
  <c r="AB67" i="19"/>
  <c r="AD64" i="19"/>
  <c r="AG65" i="19"/>
  <c r="AG53" i="19"/>
  <c r="AG40" i="19"/>
  <c r="AI59" i="19"/>
  <c r="AI48" i="19"/>
  <c r="AI56" i="19"/>
  <c r="AD48" i="19"/>
  <c r="AD38" i="19"/>
  <c r="AD68" i="19" s="1"/>
  <c r="AF37" i="19"/>
  <c r="AB58" i="19"/>
  <c r="AD63" i="19"/>
  <c r="AH46" i="19"/>
  <c r="AH50" i="19" s="1"/>
  <c r="AH58" i="19"/>
  <c r="AE43" i="19"/>
  <c r="AD47" i="19"/>
  <c r="Z67" i="19"/>
  <c r="AE61" i="19"/>
  <c r="AE45" i="19"/>
  <c r="AE50" i="19" s="1"/>
  <c r="AB44" i="19"/>
  <c r="AE42" i="19"/>
  <c r="AD60" i="19"/>
  <c r="AD46" i="19"/>
  <c r="AE55" i="19"/>
  <c r="AE41" i="19"/>
  <c r="AD59" i="19"/>
  <c r="AD45" i="19"/>
  <c r="AF45" i="19"/>
  <c r="AF50" i="19" s="1"/>
  <c r="AE37" i="19"/>
  <c r="AE54" i="19"/>
  <c r="AE40" i="19"/>
  <c r="AD57" i="19"/>
  <c r="AG64" i="19"/>
  <c r="AG57" i="19"/>
  <c r="AG51" i="19"/>
  <c r="AG43" i="19"/>
  <c r="AH37" i="19"/>
  <c r="AI61" i="19"/>
  <c r="AI54" i="19"/>
  <c r="AI47" i="19"/>
  <c r="AI40" i="19"/>
  <c r="AB50" i="19"/>
  <c r="AE66" i="19"/>
  <c r="AE53" i="19"/>
  <c r="AE39" i="19"/>
  <c r="AF51" i="19"/>
  <c r="AG63" i="19"/>
  <c r="AG49" i="19"/>
  <c r="AI66" i="19"/>
  <c r="AI53" i="19"/>
  <c r="AI39" i="19"/>
  <c r="AA67" i="19"/>
  <c r="Z58" i="19"/>
  <c r="AG62" i="19"/>
  <c r="AG48" i="19"/>
  <c r="AI65" i="19"/>
  <c r="AI52" i="19"/>
  <c r="AI38" i="19"/>
  <c r="AI68" i="19" s="1"/>
  <c r="AH68" i="19" l="1"/>
  <c r="AE68" i="19"/>
  <c r="AG68" i="19"/>
  <c r="AF68" i="19"/>
  <c r="AF44" i="19"/>
  <c r="AD58" i="19"/>
  <c r="AG58" i="19"/>
  <c r="AG67" i="19"/>
  <c r="AF58" i="19"/>
  <c r="AI67" i="19"/>
  <c r="AE67" i="19"/>
  <c r="AD44" i="19"/>
  <c r="AH44" i="19"/>
  <c r="AG50" i="19"/>
  <c r="AE58" i="19"/>
  <c r="AD67" i="19"/>
  <c r="AG44" i="19"/>
  <c r="AI58" i="19"/>
  <c r="AI50" i="19"/>
  <c r="AE44" i="19"/>
  <c r="AI44" i="19"/>
  <c r="AD50" i="19"/>
  <c r="AA69" i="19"/>
  <c r="AB69" i="19"/>
  <c r="AB73" i="19" s="1"/>
  <c r="Z69" i="19"/>
  <c r="Z75" i="19" s="1"/>
  <c r="AB74" i="19"/>
  <c r="AC69" i="19" l="1"/>
  <c r="Z76" i="19"/>
  <c r="AA76" i="19"/>
  <c r="Z74" i="19"/>
  <c r="Z73" i="19"/>
  <c r="AB75" i="19"/>
  <c r="AB76" i="19"/>
  <c r="AA73" i="19"/>
  <c r="AA75" i="19"/>
  <c r="AA74" i="19"/>
  <c r="Z83" i="19" l="1"/>
  <c r="Z84" i="19" s="1"/>
  <c r="AD70" i="19"/>
  <c r="Z71" i="19"/>
  <c r="AB82" i="19"/>
  <c r="AB83" i="19" s="1"/>
  <c r="AB84" i="19" s="1"/>
  <c r="AB86" i="19" s="1"/>
  <c r="AA82" i="19"/>
  <c r="AA83" i="19" s="1"/>
  <c r="AA84" i="19" s="1"/>
  <c r="AA86" i="19" s="1"/>
  <c r="AA71" i="19"/>
  <c r="AB71" i="19"/>
  <c r="S40" i="19"/>
  <c r="M40" i="19"/>
  <c r="N40" i="19" s="1"/>
  <c r="T40" i="19" s="1"/>
  <c r="G40" i="19"/>
  <c r="H40" i="19" s="1"/>
  <c r="S36" i="19"/>
  <c r="M36" i="19"/>
  <c r="N36" i="19" s="1"/>
  <c r="T36" i="19" s="1"/>
  <c r="S35" i="19"/>
  <c r="M35" i="19"/>
  <c r="N35" i="19" s="1"/>
  <c r="T35" i="19" s="1"/>
  <c r="G35" i="19"/>
  <c r="H35" i="19" s="1"/>
  <c r="S22" i="19"/>
  <c r="M22" i="19"/>
  <c r="N22" i="19" s="1"/>
  <c r="T22" i="19" s="1"/>
  <c r="G22" i="19"/>
  <c r="H22" i="19" s="1"/>
  <c r="S5" i="19"/>
  <c r="T5" i="19" s="1"/>
  <c r="Q5" i="19"/>
  <c r="R5" i="19" s="1"/>
  <c r="O5" i="19"/>
  <c r="P5" i="19" s="1"/>
  <c r="M5" i="19"/>
  <c r="N5" i="19" s="1"/>
  <c r="K5" i="19"/>
  <c r="L5" i="19" s="1"/>
  <c r="I5" i="19"/>
  <c r="J5" i="19" s="1"/>
  <c r="G5" i="19"/>
  <c r="H5" i="19" s="1"/>
  <c r="E5" i="19"/>
  <c r="F5" i="19" s="1"/>
  <c r="C5" i="19"/>
  <c r="D5" i="19" s="1"/>
  <c r="L3" i="1"/>
  <c r="M3" i="1" s="1"/>
  <c r="Z86" i="19" l="1"/>
  <c r="X89" i="19" s="1"/>
  <c r="Y100" i="19" s="1"/>
  <c r="Z100" i="19" s="1"/>
  <c r="AA100" i="19" s="1"/>
  <c r="AB100" i="19" s="1"/>
  <c r="AC100" i="19" s="1"/>
  <c r="W81" i="19"/>
  <c r="AB89" i="19"/>
  <c r="Y98" i="19" s="1"/>
  <c r="Z98" i="19" s="1"/>
  <c r="AA98" i="19" s="1"/>
  <c r="AB98" i="19" s="1"/>
  <c r="AC98" i="19" s="1"/>
  <c r="AC89" i="19"/>
  <c r="AA89" i="19"/>
  <c r="Y99" i="19" s="1"/>
  <c r="Z99" i="19" s="1"/>
  <c r="AA99" i="19" s="1"/>
  <c r="AB99" i="19" s="1"/>
  <c r="AC99" i="19" s="1"/>
  <c r="AD89" i="19"/>
  <c r="AE89" i="19"/>
  <c r="Y96" i="19" s="1"/>
  <c r="Z96" i="19" s="1"/>
  <c r="AA96" i="19" s="1"/>
  <c r="AB96" i="19" s="1"/>
  <c r="AC96" i="19" s="1"/>
  <c r="AF89" i="19"/>
  <c r="Y97" i="19" s="1"/>
  <c r="Z97" i="19" s="1"/>
  <c r="AA97" i="19" s="1"/>
  <c r="AB97" i="19" s="1"/>
  <c r="AC97" i="19" s="1"/>
  <c r="AC83" i="19"/>
  <c r="AC84" i="19"/>
  <c r="AF37" i="6"/>
  <c r="AG37" i="6"/>
  <c r="AE37" i="6"/>
  <c r="AF36" i="5"/>
  <c r="AG36" i="5"/>
  <c r="AE36" i="5"/>
  <c r="AF38" i="3"/>
  <c r="AG38" i="3"/>
  <c r="AE38" i="3"/>
  <c r="Y116" i="19" l="1"/>
  <c r="Z116" i="19" s="1"/>
  <c r="AA116" i="19" s="1"/>
  <c r="AB116" i="19" s="1"/>
  <c r="AC116" i="19" s="1"/>
  <c r="AD116" i="19" s="1"/>
  <c r="AE116" i="19" s="1"/>
  <c r="AF116" i="19" s="1"/>
  <c r="AG115" i="19" s="1"/>
  <c r="AH115" i="19" s="1"/>
  <c r="AI115" i="19" s="1"/>
  <c r="AJ115" i="19" s="1"/>
  <c r="AK115" i="19" s="1"/>
  <c r="AL115" i="19" s="1"/>
  <c r="AM115" i="19" s="1"/>
  <c r="AN115" i="19" s="1"/>
  <c r="AO115" i="19" s="1"/>
  <c r="AP115" i="19" s="1"/>
  <c r="AQ115" i="19" s="1"/>
  <c r="AR115" i="19" s="1"/>
  <c r="Y108" i="19"/>
  <c r="Z108" i="19" s="1"/>
  <c r="AA108" i="19" s="1"/>
  <c r="AB108" i="19" s="1"/>
  <c r="AC108" i="19" s="1"/>
  <c r="AD108" i="19" s="1"/>
  <c r="AE108" i="19" s="1"/>
  <c r="AF108" i="19" s="1"/>
  <c r="AG107" i="19" s="1"/>
  <c r="AH107" i="19" s="1"/>
  <c r="AI107" i="19" s="1"/>
  <c r="AJ107" i="19" s="1"/>
  <c r="AK107" i="19" s="1"/>
  <c r="AL107" i="19" s="1"/>
  <c r="AM107" i="19" s="1"/>
  <c r="AN107" i="19" s="1"/>
  <c r="AO107" i="19" s="1"/>
  <c r="AP107" i="19" s="1"/>
  <c r="AQ107" i="19" s="1"/>
  <c r="AR107" i="19" s="1"/>
  <c r="AC86" i="19"/>
  <c r="Z89" i="19"/>
  <c r="Y114" i="19"/>
  <c r="Z114" i="19" s="1"/>
  <c r="AA114" i="19" s="1"/>
  <c r="AB114" i="19" s="1"/>
  <c r="AC114" i="19" s="1"/>
  <c r="AD114" i="19" s="1"/>
  <c r="AE114" i="19" s="1"/>
  <c r="AF114" i="19" s="1"/>
  <c r="AG113" i="19" s="1"/>
  <c r="AH113" i="19" s="1"/>
  <c r="AI113" i="19" s="1"/>
  <c r="AJ113" i="19" s="1"/>
  <c r="AK113" i="19" s="1"/>
  <c r="AL113" i="19" s="1"/>
  <c r="AM113" i="19" s="1"/>
  <c r="AN113" i="19" s="1"/>
  <c r="AO113" i="19" s="1"/>
  <c r="AP113" i="19" s="1"/>
  <c r="AQ113" i="19" s="1"/>
  <c r="AR113" i="19" s="1"/>
  <c r="Y106" i="19"/>
  <c r="Z106" i="19" s="1"/>
  <c r="AA106" i="19" s="1"/>
  <c r="AB106" i="19" s="1"/>
  <c r="AC106" i="19" s="1"/>
  <c r="AD106" i="19" s="1"/>
  <c r="AE106" i="19" s="1"/>
  <c r="AF106" i="19" s="1"/>
  <c r="AG105" i="19" s="1"/>
  <c r="AH105" i="19" s="1"/>
  <c r="AI105" i="19" s="1"/>
  <c r="AJ105" i="19" s="1"/>
  <c r="AK105" i="19" s="1"/>
  <c r="AL105" i="19" s="1"/>
  <c r="AM105" i="19" s="1"/>
  <c r="AN105" i="19" s="1"/>
  <c r="AO105" i="19" s="1"/>
  <c r="AP105" i="19" s="1"/>
  <c r="AQ105" i="19" s="1"/>
  <c r="AR105" i="19" s="1"/>
  <c r="Y113" i="19"/>
  <c r="Z113" i="19" s="1"/>
  <c r="AA113" i="19" s="1"/>
  <c r="AB113" i="19" s="1"/>
  <c r="AC113" i="19" s="1"/>
  <c r="AD113" i="19" s="1"/>
  <c r="AE113" i="19" s="1"/>
  <c r="AF113" i="19" s="1"/>
  <c r="AG112" i="19" s="1"/>
  <c r="AH112" i="19" s="1"/>
  <c r="AI112" i="19" s="1"/>
  <c r="AJ112" i="19" s="1"/>
  <c r="AK112" i="19" s="1"/>
  <c r="AL112" i="19" s="1"/>
  <c r="AM112" i="19" s="1"/>
  <c r="AN112" i="19" s="1"/>
  <c r="AO112" i="19" s="1"/>
  <c r="AP112" i="19" s="1"/>
  <c r="AQ112" i="19" s="1"/>
  <c r="AR112" i="19" s="1"/>
  <c r="Y105" i="19"/>
  <c r="Z105" i="19" s="1"/>
  <c r="AA105" i="19" s="1"/>
  <c r="AB105" i="19" s="1"/>
  <c r="AC105" i="19" s="1"/>
  <c r="AD105" i="19" s="1"/>
  <c r="AE105" i="19" s="1"/>
  <c r="AF105" i="19" s="1"/>
  <c r="AG104" i="19" s="1"/>
  <c r="AH104" i="19" s="1"/>
  <c r="AI104" i="19" s="1"/>
  <c r="AJ104" i="19" s="1"/>
  <c r="AK104" i="19" s="1"/>
  <c r="AL104" i="19" s="1"/>
  <c r="AM104" i="19" s="1"/>
  <c r="AN104" i="19" s="1"/>
  <c r="AO104" i="19" s="1"/>
  <c r="AP104" i="19" s="1"/>
  <c r="AQ104" i="19" s="1"/>
  <c r="AR104" i="19" s="1"/>
  <c r="O18" i="26"/>
  <c r="O17" i="26"/>
  <c r="Y107" i="19"/>
  <c r="Z107" i="19" s="1"/>
  <c r="AA107" i="19" s="1"/>
  <c r="AB107" i="19" s="1"/>
  <c r="AC107" i="19" s="1"/>
  <c r="AD107" i="19" s="1"/>
  <c r="AE107" i="19" s="1"/>
  <c r="AF107" i="19" s="1"/>
  <c r="AG106" i="19" s="1"/>
  <c r="AH106" i="19" s="1"/>
  <c r="AI106" i="19" s="1"/>
  <c r="AJ106" i="19" s="1"/>
  <c r="AK106" i="19" s="1"/>
  <c r="AL106" i="19" s="1"/>
  <c r="AM106" i="19" s="1"/>
  <c r="AN106" i="19" s="1"/>
  <c r="AO106" i="19" s="1"/>
  <c r="AP106" i="19" s="1"/>
  <c r="AQ106" i="19" s="1"/>
  <c r="AR106" i="19" s="1"/>
  <c r="Y115" i="19"/>
  <c r="Z115" i="19" s="1"/>
  <c r="AA115" i="19" s="1"/>
  <c r="AB115" i="19" s="1"/>
  <c r="AC115" i="19" s="1"/>
  <c r="AD115" i="19" s="1"/>
  <c r="AE115" i="19" s="1"/>
  <c r="AF115" i="19" s="1"/>
  <c r="AG114" i="19" s="1"/>
  <c r="AH114" i="19" s="1"/>
  <c r="AI114" i="19" s="1"/>
  <c r="AJ114" i="19" s="1"/>
  <c r="AK114" i="19" s="1"/>
  <c r="AL114" i="19" s="1"/>
  <c r="AM114" i="19" s="1"/>
  <c r="AN114" i="19" s="1"/>
  <c r="AO114" i="19" s="1"/>
  <c r="AP114" i="19" s="1"/>
  <c r="AQ114" i="19" s="1"/>
  <c r="AR114" i="19" s="1"/>
  <c r="L18" i="26"/>
  <c r="Y112" i="19"/>
  <c r="Z112" i="19" s="1"/>
  <c r="AA112" i="19" s="1"/>
  <c r="AB112" i="19" s="1"/>
  <c r="AC112" i="19" s="1"/>
  <c r="AD112" i="19" s="1"/>
  <c r="AE112" i="19" s="1"/>
  <c r="AF112" i="19" s="1"/>
  <c r="AG111" i="19" s="1"/>
  <c r="AH111" i="19" s="1"/>
  <c r="AI111" i="19" s="1"/>
  <c r="AJ111" i="19" s="1"/>
  <c r="AK111" i="19" s="1"/>
  <c r="AL111" i="19" s="1"/>
  <c r="AM111" i="19" s="1"/>
  <c r="AN111" i="19" s="1"/>
  <c r="AO111" i="19" s="1"/>
  <c r="AP111" i="19" s="1"/>
  <c r="AQ111" i="19" s="1"/>
  <c r="AR111" i="19" s="1"/>
  <c r="Y104" i="19"/>
  <c r="Z104" i="19" s="1"/>
  <c r="AA104" i="19" s="1"/>
  <c r="AB104" i="19" s="1"/>
  <c r="AC104" i="19" s="1"/>
  <c r="AD104" i="19" s="1"/>
  <c r="AE104" i="19" s="1"/>
  <c r="AF104" i="19" s="1"/>
  <c r="AG103" i="19" s="1"/>
  <c r="AH103" i="19" s="1"/>
  <c r="AI103" i="19" s="1"/>
  <c r="AJ103" i="19" s="1"/>
  <c r="AK103" i="19" s="1"/>
  <c r="AL103" i="19" s="1"/>
  <c r="AM103" i="19" s="1"/>
  <c r="AN103" i="19" s="1"/>
  <c r="AO103" i="19" s="1"/>
  <c r="AP103" i="19" s="1"/>
  <c r="AQ103" i="19" s="1"/>
  <c r="AR103" i="19" s="1"/>
  <c r="L17" i="26"/>
  <c r="Y89" i="19"/>
  <c r="Y91" i="19" s="1"/>
  <c r="X90" i="19"/>
  <c r="AF91" i="19"/>
  <c r="AF90" i="19"/>
  <c r="AE91" i="19"/>
  <c r="AE90" i="19"/>
  <c r="AD91" i="19"/>
  <c r="AD90" i="19"/>
  <c r="X91" i="19"/>
  <c r="Z91" i="19"/>
  <c r="Z90" i="19"/>
  <c r="AA90" i="19"/>
  <c r="AA91" i="19"/>
  <c r="AC91" i="19"/>
  <c r="AC90" i="19"/>
  <c r="AB91" i="19"/>
  <c r="AB90" i="19"/>
  <c r="AL38" i="3"/>
  <c r="AL36" i="5"/>
  <c r="AL37" i="6"/>
  <c r="U37" i="6"/>
  <c r="V37" i="6"/>
  <c r="T37" i="6"/>
  <c r="H41" i="17"/>
  <c r="G41" i="17"/>
  <c r="F41" i="17"/>
  <c r="E41" i="17"/>
  <c r="D41" i="17"/>
  <c r="C41" i="17"/>
  <c r="K40" i="17"/>
  <c r="J40" i="17"/>
  <c r="I40" i="17"/>
  <c r="H40" i="17"/>
  <c r="G40" i="17"/>
  <c r="F40" i="17"/>
  <c r="E40" i="17"/>
  <c r="D40" i="17"/>
  <c r="C40" i="17"/>
  <c r="M39" i="17"/>
  <c r="M38" i="17"/>
  <c r="M37" i="17"/>
  <c r="M36" i="17"/>
  <c r="M35" i="17"/>
  <c r="M34" i="17"/>
  <c r="M33" i="17"/>
  <c r="M32" i="17"/>
  <c r="M31" i="17"/>
  <c r="K29" i="17"/>
  <c r="J29" i="17"/>
  <c r="I29" i="17"/>
  <c r="H29" i="17"/>
  <c r="G29" i="17"/>
  <c r="F29" i="17"/>
  <c r="E29" i="17"/>
  <c r="D29" i="17"/>
  <c r="C29" i="17"/>
  <c r="C30" i="17" s="1"/>
  <c r="M28" i="17"/>
  <c r="M27" i="17"/>
  <c r="M26" i="17"/>
  <c r="M25" i="17"/>
  <c r="M24" i="17"/>
  <c r="M23" i="17"/>
  <c r="M22" i="17"/>
  <c r="M21" i="17"/>
  <c r="K19" i="17"/>
  <c r="J19" i="17"/>
  <c r="I19" i="17"/>
  <c r="H19" i="17"/>
  <c r="G19" i="17"/>
  <c r="F19" i="17"/>
  <c r="E19" i="17"/>
  <c r="D19" i="17"/>
  <c r="C19" i="17"/>
  <c r="M18" i="17"/>
  <c r="M17" i="17"/>
  <c r="M16" i="17"/>
  <c r="M15" i="17"/>
  <c r="M14" i="17"/>
  <c r="M13" i="17"/>
  <c r="K11" i="17"/>
  <c r="J11" i="17"/>
  <c r="I11" i="17"/>
  <c r="I12" i="17" s="1"/>
  <c r="H11" i="17"/>
  <c r="G11" i="17"/>
  <c r="F11" i="17"/>
  <c r="F12" i="17" s="1"/>
  <c r="E11" i="17"/>
  <c r="D11" i="17"/>
  <c r="C12" i="17" s="1"/>
  <c r="C11" i="17"/>
  <c r="M10" i="17"/>
  <c r="M9" i="17"/>
  <c r="M8" i="17"/>
  <c r="M7" i="17"/>
  <c r="M6" i="17"/>
  <c r="M5" i="17"/>
  <c r="I3" i="14"/>
  <c r="I18" i="19" l="1"/>
  <c r="Y93" i="19"/>
  <c r="M18" i="19"/>
  <c r="N18" i="19" s="1"/>
  <c r="CB18" i="19" s="1"/>
  <c r="AE93" i="19"/>
  <c r="C17" i="19"/>
  <c r="D17" i="19" s="1"/>
  <c r="X92" i="19"/>
  <c r="C17" i="26" s="1"/>
  <c r="P18" i="26"/>
  <c r="P17" i="26"/>
  <c r="O17" i="19"/>
  <c r="Z92" i="19"/>
  <c r="Q18" i="26"/>
  <c r="V18" i="26" s="1"/>
  <c r="Q17" i="26"/>
  <c r="V17" i="26" s="1"/>
  <c r="M17" i="26"/>
  <c r="M18" i="26"/>
  <c r="AR108" i="19"/>
  <c r="K17" i="26"/>
  <c r="T17" i="26" s="1"/>
  <c r="K18" i="19"/>
  <c r="AB93" i="19"/>
  <c r="I18" i="26" s="1"/>
  <c r="Q18" i="19"/>
  <c r="AC93" i="19"/>
  <c r="S18" i="19"/>
  <c r="T18" i="19" s="1"/>
  <c r="CH18" i="19" s="1"/>
  <c r="AF93" i="19"/>
  <c r="E17" i="19"/>
  <c r="F17" i="19" s="1"/>
  <c r="BT17" i="19" s="1"/>
  <c r="AA92" i="19"/>
  <c r="F17" i="26" s="1"/>
  <c r="C18" i="19"/>
  <c r="D18" i="19" s="1"/>
  <c r="BR18" i="19" s="1"/>
  <c r="X93" i="19"/>
  <c r="C18" i="26" s="1"/>
  <c r="Y90" i="19"/>
  <c r="N17" i="26"/>
  <c r="N18" i="26"/>
  <c r="AR116" i="19"/>
  <c r="D17" i="26"/>
  <c r="S17" i="19"/>
  <c r="T17" i="19" s="1"/>
  <c r="CH17" i="19" s="1"/>
  <c r="AF92" i="19"/>
  <c r="O18" i="19"/>
  <c r="CC18" i="19" s="1"/>
  <c r="Z93" i="19"/>
  <c r="E17" i="26"/>
  <c r="R17" i="26" s="1"/>
  <c r="E18" i="26"/>
  <c r="E18" i="19"/>
  <c r="BS18" i="19" s="1"/>
  <c r="AA93" i="19"/>
  <c r="F18" i="26" s="1"/>
  <c r="G17" i="19"/>
  <c r="AD92" i="19"/>
  <c r="M17" i="19"/>
  <c r="N17" i="19" s="1"/>
  <c r="CB17" i="19" s="1"/>
  <c r="AE92" i="19"/>
  <c r="Q17" i="19"/>
  <c r="CE17" i="19" s="1"/>
  <c r="AC92" i="19"/>
  <c r="J17" i="26"/>
  <c r="J18" i="26"/>
  <c r="K17" i="19"/>
  <c r="L17" i="19" s="1"/>
  <c r="BZ17" i="19" s="1"/>
  <c r="AB92" i="19"/>
  <c r="I17" i="26" s="1"/>
  <c r="G18" i="19"/>
  <c r="AD93" i="19"/>
  <c r="P17" i="19"/>
  <c r="CD17" i="19" s="1"/>
  <c r="CC17" i="19"/>
  <c r="H18" i="19"/>
  <c r="BV18" i="19" s="1"/>
  <c r="BU18" i="19"/>
  <c r="H17" i="19"/>
  <c r="BV17" i="19" s="1"/>
  <c r="BU17" i="19"/>
  <c r="R17" i="19"/>
  <c r="CF17" i="19" s="1"/>
  <c r="R18" i="19"/>
  <c r="CF18" i="19" s="1"/>
  <c r="CE18" i="19"/>
  <c r="J18" i="19"/>
  <c r="BX18" i="19" s="1"/>
  <c r="BW18" i="19"/>
  <c r="L18" i="19"/>
  <c r="BZ18" i="19" s="1"/>
  <c r="BY18" i="19"/>
  <c r="F18" i="19"/>
  <c r="BT18" i="19" s="1"/>
  <c r="BR17" i="19"/>
  <c r="BQ17" i="19"/>
  <c r="F30" i="17"/>
  <c r="D12" i="17"/>
  <c r="D20" i="17"/>
  <c r="I20" i="17"/>
  <c r="E20" i="17"/>
  <c r="E12" i="17"/>
  <c r="N18" i="17"/>
  <c r="K30" i="17"/>
  <c r="G30" i="17"/>
  <c r="J20" i="17"/>
  <c r="H30" i="17"/>
  <c r="K20" i="17"/>
  <c r="C20" i="17"/>
  <c r="G12" i="17"/>
  <c r="H12" i="17"/>
  <c r="N39" i="17"/>
  <c r="J12" i="17"/>
  <c r="N10" i="17"/>
  <c r="N42" i="17" s="1"/>
  <c r="P10" i="17" s="1"/>
  <c r="E30" i="17"/>
  <c r="I30" i="17"/>
  <c r="K12" i="17"/>
  <c r="D30" i="17"/>
  <c r="J30" i="17"/>
  <c r="N28" i="17"/>
  <c r="F20" i="17"/>
  <c r="H20" i="17"/>
  <c r="I41" i="17"/>
  <c r="K41" i="17"/>
  <c r="G20" i="17"/>
  <c r="J41" i="17"/>
  <c r="BS17" i="19" l="1"/>
  <c r="P18" i="19"/>
  <c r="CD18" i="19" s="1"/>
  <c r="CG17" i="19"/>
  <c r="BQ18" i="19"/>
  <c r="G17" i="26"/>
  <c r="H17" i="26"/>
  <c r="S17" i="26" s="1"/>
  <c r="I17" i="19"/>
  <c r="Y92" i="19"/>
  <c r="CA18" i="19"/>
  <c r="BY17" i="19"/>
  <c r="G18" i="26"/>
  <c r="H18" i="26"/>
  <c r="D18" i="26"/>
  <c r="R18" i="26" s="1"/>
  <c r="CG18" i="19"/>
  <c r="CA17" i="19"/>
  <c r="U18" i="26"/>
  <c r="U17" i="26"/>
  <c r="K18" i="26"/>
  <c r="T18" i="26" s="1"/>
  <c r="O39" i="17"/>
  <c r="P39" i="17" s="1"/>
  <c r="O18" i="17"/>
  <c r="P18" i="17" s="1"/>
  <c r="O28" i="17"/>
  <c r="P28" i="17" s="1"/>
  <c r="BW17" i="19" l="1"/>
  <c r="J17" i="19"/>
  <c r="BX17" i="19" s="1"/>
  <c r="S18" i="26"/>
  <c r="BI8" i="3"/>
  <c r="I4" i="14"/>
  <c r="J4" i="14"/>
  <c r="K4" i="14"/>
  <c r="K33" i="14" s="1"/>
  <c r="I5" i="14"/>
  <c r="J5" i="14"/>
  <c r="K5" i="14"/>
  <c r="I6" i="14"/>
  <c r="J6" i="14"/>
  <c r="K6" i="14"/>
  <c r="I7" i="14"/>
  <c r="J7" i="14"/>
  <c r="K7" i="14"/>
  <c r="I8" i="14"/>
  <c r="J8" i="14"/>
  <c r="K8" i="14"/>
  <c r="I9" i="14"/>
  <c r="J9" i="14"/>
  <c r="K9" i="14"/>
  <c r="I10" i="14"/>
  <c r="J10" i="14"/>
  <c r="K10" i="14"/>
  <c r="I11" i="14"/>
  <c r="J11" i="14"/>
  <c r="K11" i="14"/>
  <c r="I12" i="14"/>
  <c r="J12" i="14"/>
  <c r="K12" i="14"/>
  <c r="I13" i="14"/>
  <c r="J13" i="14"/>
  <c r="K13" i="14"/>
  <c r="I14" i="14"/>
  <c r="J14" i="14"/>
  <c r="K14" i="14"/>
  <c r="I15" i="14"/>
  <c r="J15" i="14"/>
  <c r="K15" i="14"/>
  <c r="I16" i="14"/>
  <c r="J16" i="14"/>
  <c r="K16" i="14"/>
  <c r="I17" i="14"/>
  <c r="J17" i="14"/>
  <c r="K17" i="14"/>
  <c r="I18" i="14"/>
  <c r="J18" i="14"/>
  <c r="K18" i="14"/>
  <c r="I19" i="14"/>
  <c r="J19" i="14"/>
  <c r="K19" i="14"/>
  <c r="I20" i="14"/>
  <c r="J20" i="14"/>
  <c r="K20" i="14"/>
  <c r="I21" i="14"/>
  <c r="J21" i="14"/>
  <c r="K21" i="14"/>
  <c r="I22" i="14"/>
  <c r="J22" i="14"/>
  <c r="K22" i="14"/>
  <c r="I23" i="14"/>
  <c r="J23" i="14"/>
  <c r="K23" i="14"/>
  <c r="I24" i="14"/>
  <c r="J24" i="14"/>
  <c r="K24" i="14"/>
  <c r="I25" i="14"/>
  <c r="J25" i="14"/>
  <c r="K25" i="14"/>
  <c r="I26" i="14"/>
  <c r="J26" i="14"/>
  <c r="K26" i="14"/>
  <c r="I27" i="14"/>
  <c r="J27" i="14"/>
  <c r="K27" i="14"/>
  <c r="I28" i="14"/>
  <c r="J28" i="14"/>
  <c r="K28" i="14"/>
  <c r="I29" i="14"/>
  <c r="J29" i="14"/>
  <c r="K29" i="14"/>
  <c r="I30" i="14"/>
  <c r="J30" i="14"/>
  <c r="K30" i="14"/>
  <c r="I31" i="14"/>
  <c r="J31" i="14"/>
  <c r="K31" i="14"/>
  <c r="I32" i="14"/>
  <c r="J32" i="14"/>
  <c r="K32" i="14"/>
  <c r="K3" i="14"/>
  <c r="J3" i="14"/>
  <c r="F33" i="14"/>
  <c r="G33" i="14"/>
  <c r="H33" i="14"/>
  <c r="J33" i="14" l="1"/>
  <c r="I33" i="14"/>
  <c r="BI9" i="3" l="1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I37" i="3"/>
  <c r="BI38" i="3" l="1"/>
  <c r="BI7" i="6" l="1"/>
  <c r="BI37" i="6" l="1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BI32" i="6"/>
  <c r="BI33" i="6"/>
  <c r="BI34" i="6"/>
  <c r="BI35" i="6"/>
  <c r="BI36" i="6"/>
  <c r="BI36" i="5"/>
  <c r="BI7" i="5"/>
  <c r="BI8" i="5"/>
  <c r="BI9" i="5"/>
  <c r="BI10" i="5"/>
  <c r="BI11" i="5"/>
  <c r="BI12" i="5"/>
  <c r="BI13" i="5"/>
  <c r="BI14" i="5"/>
  <c r="BI15" i="5"/>
  <c r="BI16" i="5"/>
  <c r="BI17" i="5"/>
  <c r="BI18" i="5"/>
  <c r="BI19" i="5"/>
  <c r="BI20" i="5"/>
  <c r="BI21" i="5"/>
  <c r="BI22" i="5"/>
  <c r="BI23" i="5"/>
  <c r="BI24" i="5"/>
  <c r="BI25" i="5"/>
  <c r="BI26" i="5"/>
  <c r="BI27" i="5"/>
  <c r="BI28" i="5"/>
  <c r="BI29" i="5"/>
  <c r="BI30" i="5"/>
  <c r="BI31" i="5"/>
  <c r="BI32" i="5"/>
  <c r="BI33" i="5"/>
  <c r="BI34" i="5"/>
  <c r="BI35" i="5"/>
  <c r="BI6" i="5"/>
  <c r="E9" i="12"/>
  <c r="E27" i="12"/>
  <c r="F27" i="12"/>
  <c r="G27" i="12"/>
  <c r="E10" i="12"/>
  <c r="E11" i="12"/>
  <c r="R3" i="1"/>
  <c r="Q3" i="1"/>
  <c r="I21" i="1" s="1"/>
  <c r="B31" i="12"/>
  <c r="C31" i="12"/>
  <c r="D31" i="12"/>
  <c r="B32" i="12"/>
  <c r="C32" i="12"/>
  <c r="D32" i="12"/>
  <c r="C30" i="12"/>
  <c r="D30" i="12"/>
  <c r="B30" i="12"/>
  <c r="T26" i="12"/>
  <c r="K5" i="11"/>
  <c r="K4" i="11"/>
  <c r="K6" i="1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O25" i="1" s="1"/>
  <c r="K3" i="1" s="1"/>
  <c r="I22" i="1" s="1"/>
  <c r="L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25" i="1"/>
  <c r="B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D33" i="12" l="1"/>
  <c r="G28" i="12"/>
  <c r="I31" i="12"/>
  <c r="G32" i="12"/>
  <c r="H31" i="12"/>
  <c r="B33" i="12"/>
  <c r="C33" i="12"/>
  <c r="G30" i="12"/>
  <c r="G31" i="12"/>
  <c r="I30" i="12"/>
  <c r="H30" i="12"/>
  <c r="I32" i="12"/>
  <c r="H32" i="12"/>
  <c r="J32" i="12" s="1"/>
  <c r="M25" i="1"/>
  <c r="M4" i="1"/>
  <c r="M26" i="1"/>
  <c r="M27" i="1"/>
  <c r="M5" i="1"/>
  <c r="M28" i="1"/>
  <c r="M6" i="1"/>
  <c r="M7" i="1"/>
  <c r="M29" i="1"/>
  <c r="M8" i="1"/>
  <c r="M30" i="1"/>
  <c r="M31" i="1"/>
  <c r="M9" i="1"/>
  <c r="M18" i="1" s="1"/>
  <c r="I20" i="1" s="1"/>
  <c r="M32" i="1"/>
  <c r="M10" i="1"/>
  <c r="M11" i="1"/>
  <c r="M33" i="1"/>
  <c r="M12" i="1"/>
  <c r="M34" i="1"/>
  <c r="M35" i="1"/>
  <c r="M13" i="1"/>
  <c r="M36" i="1"/>
  <c r="M14" i="1"/>
  <c r="M15" i="1"/>
  <c r="M37" i="1"/>
  <c r="M16" i="1"/>
  <c r="M38" i="1"/>
  <c r="M39" i="1"/>
  <c r="M17" i="1"/>
  <c r="J31" i="12" l="1"/>
  <c r="H33" i="12"/>
  <c r="G33" i="12"/>
  <c r="P25" i="1"/>
  <c r="E12" i="12"/>
  <c r="J4" i="13" l="1"/>
  <c r="M4" i="13" s="1"/>
  <c r="D12" i="12" l="1"/>
  <c r="L33" i="13"/>
  <c r="O33" i="13" s="1"/>
  <c r="K33" i="13"/>
  <c r="N33" i="13" s="1"/>
  <c r="J33" i="13"/>
  <c r="M33" i="13" s="1"/>
  <c r="L32" i="13"/>
  <c r="O32" i="13" s="1"/>
  <c r="K32" i="13"/>
  <c r="N32" i="13" s="1"/>
  <c r="J32" i="13"/>
  <c r="M32" i="13" s="1"/>
  <c r="L31" i="13"/>
  <c r="O31" i="13" s="1"/>
  <c r="K31" i="13"/>
  <c r="N31" i="13" s="1"/>
  <c r="J31" i="13"/>
  <c r="M31" i="13" s="1"/>
  <c r="L30" i="13"/>
  <c r="O30" i="13" s="1"/>
  <c r="K30" i="13"/>
  <c r="N30" i="13" s="1"/>
  <c r="J30" i="13"/>
  <c r="M30" i="13" s="1"/>
  <c r="L29" i="13"/>
  <c r="O29" i="13" s="1"/>
  <c r="K29" i="13"/>
  <c r="N29" i="13" s="1"/>
  <c r="J29" i="13"/>
  <c r="M29" i="13" s="1"/>
  <c r="L28" i="13"/>
  <c r="O28" i="13" s="1"/>
  <c r="K28" i="13"/>
  <c r="N28" i="13" s="1"/>
  <c r="J28" i="13"/>
  <c r="M28" i="13" s="1"/>
  <c r="L27" i="13"/>
  <c r="O27" i="13" s="1"/>
  <c r="K27" i="13"/>
  <c r="N27" i="13" s="1"/>
  <c r="J27" i="13"/>
  <c r="M27" i="13" s="1"/>
  <c r="L26" i="13"/>
  <c r="O26" i="13" s="1"/>
  <c r="K26" i="13"/>
  <c r="N26" i="13" s="1"/>
  <c r="J26" i="13"/>
  <c r="M26" i="13" s="1"/>
  <c r="L25" i="13"/>
  <c r="O25" i="13" s="1"/>
  <c r="K25" i="13"/>
  <c r="N25" i="13" s="1"/>
  <c r="J25" i="13"/>
  <c r="M25" i="13" s="1"/>
  <c r="L24" i="13"/>
  <c r="O24" i="13" s="1"/>
  <c r="K24" i="13"/>
  <c r="N24" i="13" s="1"/>
  <c r="J24" i="13"/>
  <c r="M24" i="13" s="1"/>
  <c r="L23" i="13"/>
  <c r="O23" i="13" s="1"/>
  <c r="K23" i="13"/>
  <c r="N23" i="13" s="1"/>
  <c r="J23" i="13"/>
  <c r="M23" i="13" s="1"/>
  <c r="L22" i="13"/>
  <c r="O22" i="13" s="1"/>
  <c r="K22" i="13"/>
  <c r="N22" i="13" s="1"/>
  <c r="J22" i="13"/>
  <c r="M22" i="13" s="1"/>
  <c r="L21" i="13"/>
  <c r="O21" i="13" s="1"/>
  <c r="K21" i="13"/>
  <c r="N21" i="13" s="1"/>
  <c r="J21" i="13"/>
  <c r="M21" i="13" s="1"/>
  <c r="L20" i="13"/>
  <c r="O20" i="13" s="1"/>
  <c r="K20" i="13"/>
  <c r="N20" i="13" s="1"/>
  <c r="J20" i="13"/>
  <c r="M20" i="13" s="1"/>
  <c r="L19" i="13"/>
  <c r="O19" i="13" s="1"/>
  <c r="K19" i="13"/>
  <c r="N19" i="13" s="1"/>
  <c r="J19" i="13"/>
  <c r="M19" i="13" s="1"/>
  <c r="L18" i="13"/>
  <c r="O18" i="13" s="1"/>
  <c r="K18" i="13"/>
  <c r="N18" i="13" s="1"/>
  <c r="J18" i="13"/>
  <c r="M18" i="13" s="1"/>
  <c r="L17" i="13"/>
  <c r="O17" i="13" s="1"/>
  <c r="K17" i="13"/>
  <c r="N17" i="13" s="1"/>
  <c r="J17" i="13"/>
  <c r="M17" i="13" s="1"/>
  <c r="L16" i="13"/>
  <c r="O16" i="13" s="1"/>
  <c r="K16" i="13"/>
  <c r="N16" i="13" s="1"/>
  <c r="J16" i="13"/>
  <c r="M16" i="13" s="1"/>
  <c r="L15" i="13"/>
  <c r="O15" i="13" s="1"/>
  <c r="K15" i="13"/>
  <c r="N15" i="13" s="1"/>
  <c r="J15" i="13"/>
  <c r="M15" i="13" s="1"/>
  <c r="L14" i="13"/>
  <c r="O14" i="13" s="1"/>
  <c r="K14" i="13"/>
  <c r="N14" i="13" s="1"/>
  <c r="J14" i="13"/>
  <c r="M14" i="13" s="1"/>
  <c r="L13" i="13"/>
  <c r="O13" i="13" s="1"/>
  <c r="K13" i="13"/>
  <c r="N13" i="13" s="1"/>
  <c r="J13" i="13"/>
  <c r="M13" i="13" s="1"/>
  <c r="L12" i="13"/>
  <c r="O12" i="13" s="1"/>
  <c r="K12" i="13"/>
  <c r="N12" i="13" s="1"/>
  <c r="J12" i="13"/>
  <c r="M12" i="13" s="1"/>
  <c r="L11" i="13"/>
  <c r="O11" i="13" s="1"/>
  <c r="K11" i="13"/>
  <c r="N11" i="13" s="1"/>
  <c r="J11" i="13"/>
  <c r="M11" i="13" s="1"/>
  <c r="L10" i="13"/>
  <c r="O10" i="13" s="1"/>
  <c r="K10" i="13"/>
  <c r="N10" i="13" s="1"/>
  <c r="J10" i="13"/>
  <c r="M10" i="13" s="1"/>
  <c r="L9" i="13"/>
  <c r="O9" i="13" s="1"/>
  <c r="K9" i="13"/>
  <c r="N9" i="13" s="1"/>
  <c r="J9" i="13"/>
  <c r="M9" i="13" s="1"/>
  <c r="R8" i="13"/>
  <c r="L8" i="13"/>
  <c r="O8" i="13" s="1"/>
  <c r="K8" i="13"/>
  <c r="N8" i="13" s="1"/>
  <c r="J8" i="13"/>
  <c r="M8" i="13" s="1"/>
  <c r="L7" i="13"/>
  <c r="O7" i="13" s="1"/>
  <c r="K7" i="13"/>
  <c r="N7" i="13" s="1"/>
  <c r="J7" i="13"/>
  <c r="M7" i="13" s="1"/>
  <c r="L6" i="13"/>
  <c r="O6" i="13" s="1"/>
  <c r="K6" i="13"/>
  <c r="N6" i="13" s="1"/>
  <c r="J6" i="13"/>
  <c r="M6" i="13" s="1"/>
  <c r="L5" i="13"/>
  <c r="O5" i="13" s="1"/>
  <c r="K5" i="13"/>
  <c r="N5" i="13" s="1"/>
  <c r="J5" i="13"/>
  <c r="M5" i="13" s="1"/>
  <c r="L4" i="13"/>
  <c r="O4" i="13" s="1"/>
  <c r="K4" i="13"/>
  <c r="K34" i="13" s="1"/>
  <c r="C14" i="12"/>
  <c r="D10" i="12"/>
  <c r="F10" i="12" s="1"/>
  <c r="D11" i="12"/>
  <c r="D9" i="12"/>
  <c r="J34" i="13" l="1"/>
  <c r="M34" i="13"/>
  <c r="O34" i="13"/>
  <c r="L34" i="13"/>
  <c r="R13" i="13" s="1"/>
  <c r="N4" i="13"/>
  <c r="N34" i="13" s="1"/>
  <c r="R12" i="13" l="1"/>
  <c r="R14" i="13" s="1"/>
  <c r="BG36" i="6"/>
  <c r="H3" i="12"/>
  <c r="F3" i="12"/>
  <c r="F2" i="12" l="1"/>
  <c r="G18" i="12" l="1"/>
  <c r="H18" i="12"/>
  <c r="C19" i="12"/>
  <c r="D19" i="12"/>
  <c r="G19" i="12"/>
  <c r="H19" i="12"/>
  <c r="H17" i="12"/>
  <c r="G17" i="12"/>
  <c r="F17" i="12"/>
  <c r="E17" i="12"/>
  <c r="B17" i="12" s="1"/>
  <c r="I19" i="12" l="1"/>
  <c r="I18" i="12"/>
  <c r="I17" i="12"/>
  <c r="B19" i="12"/>
  <c r="B18" i="12"/>
  <c r="B20" i="12" s="1"/>
  <c r="S36" i="5"/>
  <c r="G2" i="12" l="1"/>
  <c r="G3" i="12"/>
  <c r="F4" i="12"/>
  <c r="G4" i="12"/>
  <c r="I3" i="12"/>
  <c r="I4" i="12"/>
  <c r="I2" i="12"/>
  <c r="H4" i="12"/>
  <c r="H2" i="12"/>
  <c r="S37" i="6" l="1"/>
  <c r="H27" i="11" l="1"/>
  <c r="H10" i="11"/>
  <c r="H8" i="9"/>
  <c r="B37" i="11" l="1"/>
  <c r="G36" i="11"/>
  <c r="K36" i="11" s="1"/>
  <c r="N36" i="11" s="1"/>
  <c r="O36" i="11" s="1"/>
  <c r="Q36" i="11" s="1"/>
  <c r="H39" i="11" s="1"/>
  <c r="B23" i="11"/>
  <c r="J22" i="11"/>
  <c r="K22" i="11" s="1"/>
  <c r="G22" i="11"/>
  <c r="J21" i="11"/>
  <c r="K21" i="11" s="1"/>
  <c r="G21" i="11"/>
  <c r="J20" i="11"/>
  <c r="K20" i="11" s="1"/>
  <c r="G20" i="11"/>
  <c r="B6" i="11"/>
  <c r="J5" i="11"/>
  <c r="G5" i="11"/>
  <c r="J4" i="11"/>
  <c r="G4" i="11"/>
  <c r="G4" i="8"/>
  <c r="G5" i="8"/>
  <c r="G3" i="8"/>
  <c r="K23" i="11" l="1"/>
  <c r="H25" i="11" s="1"/>
  <c r="H8" i="11"/>
  <c r="H26" i="11"/>
  <c r="H40" i="11"/>
  <c r="G3" i="9" l="1"/>
  <c r="B4" i="9"/>
  <c r="K3" i="9" l="1"/>
  <c r="N3" i="9" s="1"/>
  <c r="O3" i="9" s="1"/>
  <c r="Q3" i="9" s="1"/>
  <c r="H6" i="9" s="1"/>
  <c r="H7" i="9"/>
  <c r="H9" i="11" l="1"/>
  <c r="Q25" i="1"/>
  <c r="F11" i="22" l="1"/>
  <c r="G11" i="22" l="1"/>
  <c r="H11" i="22"/>
  <c r="J8" i="22"/>
  <c r="I8" i="22"/>
  <c r="E11" i="22"/>
  <c r="D11" i="22"/>
  <c r="I11" i="22" l="1"/>
  <c r="M64" i="22" s="1"/>
  <c r="C8" i="22"/>
  <c r="J11" i="22"/>
  <c r="N64" i="22" s="1"/>
  <c r="O64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AM6" authorId="0" shapeId="0" xr:uid="{00000000-0006-0000-0600-000001000000}">
      <text>
        <r>
          <rPr>
            <b/>
            <sz val="14"/>
            <color indexed="81"/>
            <rFont val="Tahoma"/>
            <family val="2"/>
          </rPr>
          <t>Roger:</t>
        </r>
        <r>
          <rPr>
            <sz val="14"/>
            <color indexed="81"/>
            <rFont val="Tahoma"/>
            <family val="2"/>
          </rPr>
          <t xml:space="preserve">
data source: https://www.fao.org/dad-is/browse-by-country-and-species/en/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Rulli, Monica (AGAL)</author>
  </authors>
  <commentList>
    <comment ref="K2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Rulli, Monica (AGAL):</t>
        </r>
        <r>
          <rPr>
            <sz val="9"/>
            <color indexed="81"/>
            <rFont val="Tahoma"/>
            <family val="2"/>
          </rPr>
          <t xml:space="preserve">
from Aimable suppl xls</t>
        </r>
      </text>
    </comment>
    <comment ref="N2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Rulli, Monica (AGAL):</t>
        </r>
        <r>
          <rPr>
            <sz val="9"/>
            <color indexed="81"/>
            <rFont val="Tahoma"/>
            <family val="2"/>
          </rPr>
          <t xml:space="preserve">
from Aimable suppl xls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tc={20999A89-A32F-4F98-9CCF-A5DEED7CF680}</author>
  </authors>
  <commentList>
    <comment ref="A16" authorId="0" shapeId="0" xr:uid="{20999A89-A32F-4F98-9CCF-A5DEED7CF680}">
      <text>
        <t>[Threaded comment]
Your version of Excel allows you to read this threaded comment; however, any edits to it will get removed if the file is opened in a newer version of Excel. Learn more: https://go.microsoft.com/fwlink/?linkid=870924
Comment:
    Revoir les données Phyllis pour ajuster</t>
      </text>
    </comment>
  </commentList>
</comments>
</file>

<file path=xl/sharedStrings.xml><?xml version="1.0" encoding="utf-8"?>
<sst xmlns="http://schemas.openxmlformats.org/spreadsheetml/2006/main" count="4538" uniqueCount="723">
  <si>
    <t>TABLE 1</t>
  </si>
  <si>
    <t>Adult female</t>
  </si>
  <si>
    <t>Adult male</t>
  </si>
  <si>
    <t>Female calf</t>
  </si>
  <si>
    <t>Male calf</t>
  </si>
  <si>
    <t>Meat female (Growing)</t>
  </si>
  <si>
    <t>Meat male (growing)</t>
  </si>
  <si>
    <t>Heifers (replacement)</t>
  </si>
  <si>
    <t>Steers (replecement)</t>
  </si>
  <si>
    <t>Female at slaughter</t>
  </si>
  <si>
    <t>Male at slaughter</t>
  </si>
  <si>
    <t>LOCAL</t>
  </si>
  <si>
    <t>Eugene M (2017) Characterization of Cattle Production Systems in Nyagatare District of Eastern Province, Rwanda</t>
  </si>
  <si>
    <t>CROSSBREED</t>
  </si>
  <si>
    <t xml:space="preserve">calculated with GLEAM formulas: RFkg = (AFkg – Ckg)/2 + Ckg; RMkg = (AMkg – Ckg)/2 + Ckg; MFkg = (MFSkg – Ckg)/2 + Ckg; MMkg = (MMSkg – Ckg)/2 + Ckg </t>
  </si>
  <si>
    <t>EXOTIC</t>
  </si>
  <si>
    <t>MILK</t>
  </si>
  <si>
    <t>COWS</t>
  </si>
  <si>
    <t>kg milk year</t>
  </si>
  <si>
    <t>Average milk yield per day</t>
  </si>
  <si>
    <t>2020 milk produced (ANNUAL REPORT-Ministry og Agriculture Rwanda)</t>
  </si>
  <si>
    <t>HERD</t>
  </si>
  <si>
    <t>AM</t>
  </si>
  <si>
    <t>AF</t>
  </si>
  <si>
    <t>RM</t>
  </si>
  <si>
    <t>RF</t>
  </si>
  <si>
    <t>MM</t>
  </si>
  <si>
    <t>MF</t>
  </si>
  <si>
    <t xml:space="preserve">Grazing </t>
  </si>
  <si>
    <t>Semi grazing</t>
  </si>
  <si>
    <t>Zero grazing</t>
  </si>
  <si>
    <t>Milk yield (lt*cow*day)</t>
  </si>
  <si>
    <t>Cows</t>
  </si>
  <si>
    <t>Total milk produced</t>
  </si>
  <si>
    <t>Province</t>
  </si>
  <si>
    <t>District</t>
  </si>
  <si>
    <t>Local</t>
  </si>
  <si>
    <t>Crossbreed</t>
  </si>
  <si>
    <t>Exotic</t>
  </si>
  <si>
    <t>East</t>
  </si>
  <si>
    <t>Bugesera</t>
  </si>
  <si>
    <t>North</t>
  </si>
  <si>
    <t>Burera</t>
  </si>
  <si>
    <t>Gakenke</t>
  </si>
  <si>
    <t>Kigali</t>
  </si>
  <si>
    <t>Gasabo</t>
  </si>
  <si>
    <t>Gatsibo</t>
  </si>
  <si>
    <t>Gicumbi</t>
  </si>
  <si>
    <t>South</t>
  </si>
  <si>
    <t>Gisagara</t>
  </si>
  <si>
    <t>Huye</t>
  </si>
  <si>
    <t>Kamonyi</t>
  </si>
  <si>
    <t>West</t>
  </si>
  <si>
    <t>Karongi</t>
  </si>
  <si>
    <t>Kayonza</t>
  </si>
  <si>
    <t>Kicukiro</t>
  </si>
  <si>
    <t>Kirehe</t>
  </si>
  <si>
    <t>Muhanga</t>
  </si>
  <si>
    <t>Musanze</t>
  </si>
  <si>
    <t>Ngoma</t>
  </si>
  <si>
    <t>Ngororero</t>
  </si>
  <si>
    <t>Nyabihu</t>
  </si>
  <si>
    <t>Nyagatare</t>
  </si>
  <si>
    <t>Nyamagabe</t>
  </si>
  <si>
    <t>Nyamasheke</t>
  </si>
  <si>
    <t>Nyanza</t>
  </si>
  <si>
    <t>Nyarugenge</t>
  </si>
  <si>
    <t>Nyaruguru</t>
  </si>
  <si>
    <t>Rubavu</t>
  </si>
  <si>
    <t>Ruhango</t>
  </si>
  <si>
    <t>Rulindo</t>
  </si>
  <si>
    <t>Rusizi</t>
  </si>
  <si>
    <t>Rutsiro</t>
  </si>
  <si>
    <t>Rwamagana</t>
  </si>
  <si>
    <t>kg MILK from LOCAL</t>
  </si>
  <si>
    <t>kg MILK from CROSSBREED</t>
  </si>
  <si>
    <t>kg MILK from EXOTIC</t>
  </si>
  <si>
    <t>Slaughtered for own consumption</t>
  </si>
  <si>
    <t>Slaughter weight (kg)</t>
  </si>
  <si>
    <t>Carcass weight (kg)                                                                 (57 % Dressing percentage)</t>
  </si>
  <si>
    <t>local</t>
  </si>
  <si>
    <t>crossbreed</t>
  </si>
  <si>
    <t>exotic</t>
  </si>
  <si>
    <t>OBJECTID</t>
  </si>
  <si>
    <t>PROV_NAME</t>
  </si>
  <si>
    <t>DISTR_NAME</t>
  </si>
  <si>
    <t xml:space="preserve">Male </t>
  </si>
  <si>
    <t>Female</t>
  </si>
  <si>
    <t>From MINAGRI ANNUAL REPORT 2021-2022</t>
  </si>
  <si>
    <t>Cattles contributed significantly to meat production with 34 %</t>
  </si>
  <si>
    <t>% cattle</t>
  </si>
  <si>
    <t>kg of meat</t>
  </si>
  <si>
    <t>MINAGRI</t>
  </si>
  <si>
    <t>CW or LW?</t>
  </si>
  <si>
    <t>bone free meat ratio</t>
  </si>
  <si>
    <t>protein</t>
  </si>
  <si>
    <t>CW in Kg</t>
  </si>
  <si>
    <t>LW to sold</t>
  </si>
  <si>
    <t>meat protein</t>
  </si>
  <si>
    <t>Adult male weight</t>
  </si>
  <si>
    <t>Adult female weight</t>
  </si>
  <si>
    <t>Note</t>
  </si>
  <si>
    <t>Title</t>
  </si>
  <si>
    <t>Link</t>
  </si>
  <si>
    <t>age at first calving (AFC)</t>
  </si>
  <si>
    <t>2.82 (33.8/12)</t>
  </si>
  <si>
    <t>Hirwa et al. 2017 Management and phenotypic features of indigenous cattle in Rwanda. International Journal of Livestock Production Vol. 8(7), pp. 95-112, July 2017</t>
  </si>
  <si>
    <t>Fertility rate of adult females</t>
  </si>
  <si>
    <t>Hirwa et al. 2017 Management and phenotypic features of indigenous cattle in Rwanda. International Journal of Livestock Production Vol. 8(7), pp. 95-112, July 2018</t>
  </si>
  <si>
    <t>Milk protein content</t>
  </si>
  <si>
    <t>Hirwa et al. 2017 Management and phenotypic features of indigenous cattle in Rwanda. International Journal of Livestock Production Vol. 8(7), pp. 95-112, July 2019</t>
  </si>
  <si>
    <t>Milk fat content</t>
  </si>
  <si>
    <t>Hirwa et al. 2017 Management and phenotypic features of indigenous cattle in Rwanda. International Journal of Livestock Production Vol. 8(7), pp. 95-112, July 2020</t>
  </si>
  <si>
    <t>Live weight of adult females</t>
  </si>
  <si>
    <t xml:space="preserve">Table 10 </t>
  </si>
  <si>
    <t>Eugene, M. (2017). Characterization of cattle production systems in Nyagatare District of Eastern Province, Rwanda. Rheology: Open Access, 1(2), 1-21.</t>
  </si>
  <si>
    <t>https://www.omicsonline.org/open-access/characterization-of-cattle-production-systems-in-nyagatare-district-ofeastern-province-rwanda.pdf</t>
  </si>
  <si>
    <t>Live weight of adult males</t>
  </si>
  <si>
    <t>Live weight of female calves at birth</t>
  </si>
  <si>
    <t>Dressing percentage</t>
  </si>
  <si>
    <t>Aimable pers. Comm.</t>
  </si>
  <si>
    <t>Death rate of female calves</t>
  </si>
  <si>
    <t>Hirwa et al. 2017 Management and phenotypic features of indigenous cattle in Rwanda. International Journal of Livestock Production Vol. 8(7), pp. 95-112, July 2024</t>
  </si>
  <si>
    <t>Death rate of male calves</t>
  </si>
  <si>
    <t>Death rate of animals other than calves</t>
  </si>
  <si>
    <t>calculated (dead/herd)</t>
  </si>
  <si>
    <t>Mazimpaka, E., Mbuza, F., Michael, T., Gatari, E. N., Bukenya, E. M., &amp; James, O. A. (2017). Current status of cattle production system in Nyagatare District-Rwanda. Tropical animal health and production, 49(8), 1645-1656.</t>
  </si>
  <si>
    <t>https://link.springer.com/content/pdf/10.1007/s11250-017-1372-y.pdf</t>
  </si>
  <si>
    <t>Data from Aimable (xls file) Rwanda field data</t>
  </si>
  <si>
    <t>DWG_Female</t>
  </si>
  <si>
    <t>GROWF = (AFkg – Ckg) / (AFC * 365) </t>
  </si>
  <si>
    <t>GLEAM formula</t>
  </si>
  <si>
    <t>DWG_Male</t>
  </si>
  <si>
    <t>GROWM = (AMkg – Ckg) / (AFC * 365) </t>
  </si>
  <si>
    <t>RRF</t>
  </si>
  <si>
    <t>PS</t>
  </si>
  <si>
    <t>%</t>
  </si>
  <si>
    <t>Kenya</t>
  </si>
  <si>
    <t>Intensive</t>
  </si>
  <si>
    <t>Semi Intensive</t>
  </si>
  <si>
    <t>Extensive</t>
  </si>
  <si>
    <t>Tanzania</t>
  </si>
  <si>
    <t>Traditional</t>
  </si>
  <si>
    <t xml:space="preserve">Improved </t>
  </si>
  <si>
    <t>Uganda</t>
  </si>
  <si>
    <t>Small-scale intensive</t>
  </si>
  <si>
    <t>Medium-scale intensive</t>
  </si>
  <si>
    <t>Large scale commercial</t>
  </si>
  <si>
    <t>Small-scale extensive</t>
  </si>
  <si>
    <t>Medium-scale extensive</t>
  </si>
  <si>
    <t>Pastoralist</t>
  </si>
  <si>
    <t>Agro-pastoralist</t>
  </si>
  <si>
    <t>Burkina Faso Benin Niger Senegal Mali</t>
  </si>
  <si>
    <t>Rwanda local Cattle herd parameters</t>
  </si>
  <si>
    <t>Data source: Agricultural households survey(NISR,AHS 2020)</t>
  </si>
  <si>
    <t>Live</t>
  </si>
  <si>
    <t>Sold to consumer</t>
  </si>
  <si>
    <t>Dead</t>
  </si>
  <si>
    <t>Born</t>
  </si>
  <si>
    <t>Calves</t>
  </si>
  <si>
    <t>young</t>
  </si>
  <si>
    <t>Adult</t>
  </si>
  <si>
    <t>Production system (% of households)</t>
  </si>
  <si>
    <t>AFKG</t>
  </si>
  <si>
    <t>AMKG</t>
  </si>
  <si>
    <t>CKG</t>
  </si>
  <si>
    <t>MFSKG</t>
  </si>
  <si>
    <t>MMSKG</t>
  </si>
  <si>
    <t>AFC</t>
  </si>
  <si>
    <t>FR</t>
  </si>
  <si>
    <t>DR1</t>
  </si>
  <si>
    <t>DR1M</t>
  </si>
  <si>
    <t>DR2</t>
  </si>
  <si>
    <t>BCR</t>
  </si>
  <si>
    <t>MLK_PROTEIN</t>
  </si>
  <si>
    <t>MET_PROTEIN</t>
  </si>
  <si>
    <t>MLK_FAT</t>
  </si>
  <si>
    <t>MLK_YIELD</t>
  </si>
  <si>
    <t>DRESS_AF</t>
  </si>
  <si>
    <t>DRESS_AM</t>
  </si>
  <si>
    <t>DRESS_MF</t>
  </si>
  <si>
    <t>DRESS_MM</t>
  </si>
  <si>
    <t>DRESS_RF</t>
  </si>
  <si>
    <t>DRESS_RM</t>
  </si>
  <si>
    <t>HOUR</t>
  </si>
  <si>
    <t>DWG_AF</t>
  </si>
  <si>
    <t>LW_AF</t>
  </si>
  <si>
    <t>DWG_AM</t>
  </si>
  <si>
    <t>LW_AM</t>
  </si>
  <si>
    <t>DWG_MF</t>
  </si>
  <si>
    <t>LW_MF</t>
  </si>
  <si>
    <t>DWG_MM</t>
  </si>
  <si>
    <t>LW_MM</t>
  </si>
  <si>
    <t>DWG_RF</t>
  </si>
  <si>
    <t>LW_RF</t>
  </si>
  <si>
    <t>DWG_RM</t>
  </si>
  <si>
    <t>LW_RM</t>
  </si>
  <si>
    <t>FRRF</t>
  </si>
  <si>
    <t>DCR</t>
  </si>
  <si>
    <t>Year</t>
  </si>
  <si>
    <t xml:space="preserve">Pasture grazing </t>
  </si>
  <si>
    <t xml:space="preserve">Scavenging  </t>
  </si>
  <si>
    <t xml:space="preserve">Zero grazing </t>
  </si>
  <si>
    <t> Live weight of adult females</t>
  </si>
  <si>
    <t> Live weight of adult males</t>
  </si>
  <si>
    <t> Live weight of calves at birth</t>
  </si>
  <si>
    <t> Live weight of female fattening animals at slaughter</t>
  </si>
  <si>
    <t> Live weight of male fattening animals at slaughter</t>
  </si>
  <si>
    <t> Age at first calving/parturition</t>
  </si>
  <si>
    <t> Replacement rate of adult females</t>
  </si>
  <si>
    <t> Fertility rate of adult females</t>
  </si>
  <si>
    <t>Bull to cow ratio (reproductive males to reproductive females) </t>
  </si>
  <si>
    <t> Meat protein content</t>
  </si>
  <si>
    <t> Dressing percentage for adult reproductive females</t>
  </si>
  <si>
    <t> Dressing percentage for adult reproductive males</t>
  </si>
  <si>
    <t> Dressing percentage for fattening females</t>
  </si>
  <si>
    <t> Dressing percentage for fattening males</t>
  </si>
  <si>
    <t> Dressing percentage for replacement females</t>
  </si>
  <si>
    <t> Dressing percentage for replacement males</t>
  </si>
  <si>
    <t> Number of working hour per male animal used for draught power per day</t>
  </si>
  <si>
    <t> Daily weight gain of adult reproductive females</t>
  </si>
  <si>
    <t> Live weight of adult females (same as AFKG)</t>
  </si>
  <si>
    <t> Daily weight gain of adult reproductive males</t>
  </si>
  <si>
    <t> Live weight of adult males (same as AMKG)</t>
  </si>
  <si>
    <t> Daily weight gain of fattening females</t>
  </si>
  <si>
    <t> Average live weight of fattening females</t>
  </si>
  <si>
    <t> Daily weight gain of fattening males</t>
  </si>
  <si>
    <t> Average live weight of fattening males</t>
  </si>
  <si>
    <t> Daily weight gain of replacement females</t>
  </si>
  <si>
    <t> Average live weight of replacement females</t>
  </si>
  <si>
    <t> Daily weight gain of replacement males</t>
  </si>
  <si>
    <t> Average live weight of replacement males</t>
  </si>
  <si>
    <t> Share of fertile replacement females</t>
  </si>
  <si>
    <t> Ratio of dairy cows to total stock population</t>
  </si>
  <si>
    <t>Age at first calving/parturition(months)</t>
  </si>
  <si>
    <t>2.6 (31.3/12)</t>
  </si>
  <si>
    <t>Table 12</t>
  </si>
  <si>
    <t>Death rate of animals other than calves/lambs/kids</t>
  </si>
  <si>
    <t>avg death rate calc from the data female/male</t>
  </si>
  <si>
    <t>Death rate</t>
  </si>
  <si>
    <t>Live weight of calves/lambs/kids at birth</t>
  </si>
  <si>
    <t>from Local</t>
  </si>
  <si>
    <t>Rwanda crossbreed  Cattle herd parameters</t>
  </si>
  <si>
    <t>MILK_YIELD</t>
  </si>
  <si>
    <t>Male</t>
  </si>
  <si>
    <t> Live weight of calves/lambs/kids at birth</t>
  </si>
  <si>
    <t> Age at first calving/parturition(months)</t>
  </si>
  <si>
    <t>Death rate of female calves/lambs/kids</t>
  </si>
  <si>
    <t>Death rate of male calves/lambs/kids</t>
  </si>
  <si>
    <t>Bull/ram to cow/ewe ratio (reproductive males to reproductive females) </t>
  </si>
  <si>
    <t> Dressing percentage</t>
  </si>
  <si>
    <t>2.5 (30/12)</t>
  </si>
  <si>
    <t>Rwanda exotic  Cattle herd parameters</t>
  </si>
  <si>
    <t>Description</t>
  </si>
  <si>
    <t>Feed basket ratio (%)</t>
  </si>
  <si>
    <t>Component</t>
  </si>
  <si>
    <t>Dry Matter (g/kg)</t>
  </si>
  <si>
    <t>Crude protein                   (g/kg DM)</t>
  </si>
  <si>
    <t>N content*          (g N/kg DM)</t>
  </si>
  <si>
    <t>DE   (MJ/kg DM)</t>
  </si>
  <si>
    <t>GE   (MJ/kg DM)</t>
  </si>
  <si>
    <t>Average GE (MJ/KG DM)</t>
  </si>
  <si>
    <t>Energy Digestibility</t>
  </si>
  <si>
    <t>Feed basket Energy digestibility</t>
  </si>
  <si>
    <t>Average Energy digestibility (%)              LCIDE</t>
  </si>
  <si>
    <t>Average N content (%) LCIN</t>
  </si>
  <si>
    <t>Napier grass (fresh)</t>
  </si>
  <si>
    <t>Napier grass (Medium CP)</t>
  </si>
  <si>
    <t>Fresh vegetative</t>
  </si>
  <si>
    <t>Hay or silage from cultivated grass</t>
  </si>
  <si>
    <t>Kikuyu (fresh)</t>
  </si>
  <si>
    <t>Kikuyu (mature)</t>
  </si>
  <si>
    <t>Whole plant</t>
  </si>
  <si>
    <t>Fresh grass</t>
  </si>
  <si>
    <t>Maize silage</t>
  </si>
  <si>
    <t>Silage</t>
  </si>
  <si>
    <t>Silage from whole maize plant</t>
  </si>
  <si>
    <t>Maize grain</t>
  </si>
  <si>
    <t>Grains</t>
  </si>
  <si>
    <t>Maize stover</t>
  </si>
  <si>
    <t>stover</t>
  </si>
  <si>
    <t>Crop residues from maize</t>
  </si>
  <si>
    <r>
      <rPr>
        <sz val="11"/>
        <rFont val="Times New Roman"/>
        <family val="1"/>
      </rPr>
      <t>Desmodium</t>
    </r>
    <r>
      <rPr>
        <sz val="11"/>
        <color rgb="FFFF0000"/>
        <rFont val="Times New Roman"/>
        <family val="1"/>
      </rPr>
      <t xml:space="preserve"> intortum</t>
    </r>
  </si>
  <si>
    <r>
      <rPr>
        <sz val="12"/>
        <rFont val="Calibri"/>
        <family val="2"/>
        <scheme val="minor"/>
      </rPr>
      <t>Desmodium</t>
    </r>
    <r>
      <rPr>
        <sz val="12"/>
        <color rgb="FFFF0000"/>
        <rFont val="Calibri"/>
        <family val="2"/>
        <scheme val="minor"/>
      </rPr>
      <t xml:space="preserve"> intortum</t>
    </r>
  </si>
  <si>
    <t>Lucerne</t>
  </si>
  <si>
    <t>Fresh mixture of grass and legumes</t>
  </si>
  <si>
    <t>Mucuna Whole plant</t>
  </si>
  <si>
    <t xml:space="preserve">Mucuna pruriens </t>
  </si>
  <si>
    <t>Hay or silage from grass and legumes</t>
  </si>
  <si>
    <t>Chloris gayana (hay)</t>
  </si>
  <si>
    <t>Chloris gayana</t>
  </si>
  <si>
    <t>Sugar cane tops</t>
  </si>
  <si>
    <t>Tops</t>
  </si>
  <si>
    <t>Crop residues from sugarcane</t>
  </si>
  <si>
    <r>
      <t>Calliandra</t>
    </r>
    <r>
      <rPr>
        <sz val="11"/>
        <color rgb="FFFF0000"/>
        <rFont val="Times New Roman"/>
        <family val="1"/>
      </rPr>
      <t xml:space="preserve"> calothyrsus (fresh)</t>
    </r>
  </si>
  <si>
    <r>
      <t>Calliandra</t>
    </r>
    <r>
      <rPr>
        <sz val="12"/>
        <color rgb="FFFF0000"/>
        <rFont val="Calibri"/>
        <family val="2"/>
        <scheme val="minor"/>
      </rPr>
      <t xml:space="preserve"> calothyrsus</t>
    </r>
  </si>
  <si>
    <t>Leaves mature</t>
  </si>
  <si>
    <t>Banana</t>
  </si>
  <si>
    <t>Pseudo stem</t>
  </si>
  <si>
    <t>Cotton</t>
  </si>
  <si>
    <t>Seedcakes</t>
  </si>
  <si>
    <t>By-products from cottonseed</t>
  </si>
  <si>
    <t>Soybean</t>
  </si>
  <si>
    <t>Distilled grain wet</t>
  </si>
  <si>
    <t>* Aimable paper</t>
  </si>
  <si>
    <t>Data for GLEAM</t>
  </si>
  <si>
    <t>LCIDE</t>
  </si>
  <si>
    <t xml:space="preserve">Source: </t>
  </si>
  <si>
    <t>LCIN</t>
  </si>
  <si>
    <t>Feed basket ratio: Data from Aimable (xls file suppl material) Rwanda field data</t>
  </si>
  <si>
    <t>LCIGE</t>
  </si>
  <si>
    <t>Feed chemical parameters: Dyness M. Mgheni, Germana H. Laswai and Louis A. Mtenga, Jean Ndikumana, Emmanuel Zziwa. Chemical Composition and Nutritional Values of Feed Resources for Ruminants: Eastern and Central Africa (ECA) Table for Ruminants 2013. ASARECA (Association for Strengthening Agricultural Research in Eastern and Central Africa), Entebbe.</t>
  </si>
  <si>
    <t>Average Energy digestibility (%): Data from Aimable (xls file suppl material) Rwanda field data</t>
  </si>
  <si>
    <t>DE (%)</t>
  </si>
  <si>
    <t>Average N content (%): calculated</t>
  </si>
  <si>
    <t>Desmodium intortum</t>
  </si>
  <si>
    <t>Mucuna Whole
plant</t>
  </si>
  <si>
    <t>Calliandra calothyrsus (fresh)</t>
  </si>
  <si>
    <t>DE                  (MJ/kg DM)</t>
  </si>
  <si>
    <t>ADF (%)</t>
  </si>
  <si>
    <t>NDF  (%)</t>
  </si>
  <si>
    <t>CP  (%)</t>
  </si>
  <si>
    <t>Ash  (%)</t>
  </si>
  <si>
    <t>Fat (EE)  (%)</t>
  </si>
  <si>
    <t>Calculated DE (Kcal/ Kg)</t>
  </si>
  <si>
    <t>Calculated DE (MJ/ Kg)</t>
  </si>
  <si>
    <t>Roadside grasses</t>
  </si>
  <si>
    <t>Fresh Roadside grasses</t>
  </si>
  <si>
    <t>Districts</t>
  </si>
  <si>
    <t>Nyabihu, RUbavu, Rutsiro, Ngororero (Gishwati)</t>
  </si>
  <si>
    <t>White Clover</t>
  </si>
  <si>
    <t>White clover</t>
  </si>
  <si>
    <t>Paper on feeds in Rwanda : Jean de Dieu Ayabagabo</t>
  </si>
  <si>
    <t>Nyagatare, Gatsibo, Rwamagana, Kirehe, Ngoma</t>
  </si>
  <si>
    <t>DE              (MJ/kg DM)</t>
  </si>
  <si>
    <t>GE            (MJ/kg DM)</t>
  </si>
  <si>
    <t>Chloris gayana (Fresh)</t>
  </si>
  <si>
    <t>Brachiaria Spp</t>
  </si>
  <si>
    <t>Rest of the districts</t>
  </si>
  <si>
    <t>Proportion of manure managed in different system</t>
  </si>
  <si>
    <t>Livestock Production System</t>
  </si>
  <si>
    <t>MMS liquid</t>
  </si>
  <si>
    <t>MMS solid</t>
  </si>
  <si>
    <t>MMS pasture</t>
  </si>
  <si>
    <t>MMS daily spread</t>
  </si>
  <si>
    <t>MMS out</t>
  </si>
  <si>
    <t>% total</t>
  </si>
  <si>
    <t>Pasture grazing</t>
  </si>
  <si>
    <t>MMSburned</t>
  </si>
  <si>
    <t>:</t>
  </si>
  <si>
    <t>the percentage of the manure that is burned for energy purposes</t>
  </si>
  <si>
    <t>MMSlagoon</t>
  </si>
  <si>
    <t>the percentage of the manure that is stored in open lagoons</t>
  </si>
  <si>
    <t>MMSliquid</t>
  </si>
  <si>
    <t xml:space="preserve">the percentage of the manure that is stored as liquid slurry </t>
  </si>
  <si>
    <t>MSsolid</t>
  </si>
  <si>
    <t>the percentage of the manure that is stored as solid manure, most of the time in combination with bedding material</t>
  </si>
  <si>
    <t>MMSdrylot</t>
  </si>
  <si>
    <t>the percentage of the manure that is stored as dried material</t>
  </si>
  <si>
    <t>MMSpasture</t>
  </si>
  <si>
    <t>the percentage of the manure (in fact dung and urine) that is deposited during grazing. The percentage of manure is assumed to be equal to the time spent grazing.</t>
  </si>
  <si>
    <t>MMSdaily</t>
  </si>
  <si>
    <t>the percentage of the manure that is daily spread over the fields</t>
  </si>
  <si>
    <t>MMSbiogas</t>
  </si>
  <si>
    <t>the percentage of the manure that is converted into biogas.</t>
  </si>
  <si>
    <t>MMScompost</t>
  </si>
  <si>
    <t>the percentage of the manure that is is stored and turned into compost.</t>
  </si>
  <si>
    <t>MMSliquid cruster</t>
  </si>
  <si>
    <t>the percentage of the manure that is stored as liquid slurry, but with a naturally or artificially formed crust on the top.</t>
  </si>
  <si>
    <t>MMSout</t>
  </si>
  <si>
    <t>the percentage of manure that is allowed to lie as deposited on outdoor confinement areas and is not managed.</t>
  </si>
  <si>
    <t>MMSpit2</t>
  </si>
  <si>
    <t>the percentage of manure that is collected and stored below a slatted floor in an enclosed animal confinement for a period of 2 months or more.</t>
  </si>
  <si>
    <t>DaIMA Districts</t>
  </si>
  <si>
    <t>Cross</t>
  </si>
  <si>
    <t>Proportion of Cattle in the PS</t>
  </si>
  <si>
    <t>Eastern</t>
  </si>
  <si>
    <t>Cattle ownership per HH</t>
  </si>
  <si>
    <t>Northern</t>
  </si>
  <si>
    <t>Western</t>
  </si>
  <si>
    <t>Southern</t>
  </si>
  <si>
    <t>Specie</t>
  </si>
  <si>
    <t>module</t>
  </si>
  <si>
    <t>system</t>
  </si>
  <si>
    <t>orientation</t>
  </si>
  <si>
    <t>feedgroup</t>
  </si>
  <si>
    <t>parameter</t>
  </si>
  <si>
    <t>LocalWOP</t>
  </si>
  <si>
    <t>LocalDaIMA</t>
  </si>
  <si>
    <t>delta</t>
  </si>
  <si>
    <t>CrossWOP</t>
  </si>
  <si>
    <t>CrossDaIMA</t>
  </si>
  <si>
    <t>ExoticWOP</t>
  </si>
  <si>
    <t>ExoticDaIMA</t>
  </si>
  <si>
    <t>unit</t>
  </si>
  <si>
    <t>LocalSIWOP</t>
  </si>
  <si>
    <t>LocalSIDaIMA</t>
  </si>
  <si>
    <t>CrossSIWOP</t>
  </si>
  <si>
    <t>CrossSIDaIMA</t>
  </si>
  <si>
    <t>ExoticSIWOP</t>
  </si>
  <si>
    <t>ExoticSIDaIMA</t>
  </si>
  <si>
    <t>LocalZGWOP</t>
  </si>
  <si>
    <t>LocalZGDaIMA</t>
  </si>
  <si>
    <t>CrossZGWOP</t>
  </si>
  <si>
    <t>CrossZGDaIMA</t>
  </si>
  <si>
    <t>ExoticZGWOP</t>
  </si>
  <si>
    <t>ExoticZGDaIMA</t>
  </si>
  <si>
    <t>Cattle</t>
  </si>
  <si>
    <t>All</t>
  </si>
  <si>
    <t>CH4: enteric fermentation</t>
  </si>
  <si>
    <t>kgCH4/year</t>
  </si>
  <si>
    <t>CH4: Manure - CH4 from manure management</t>
  </si>
  <si>
    <t>Emissions by head</t>
  </si>
  <si>
    <t>kgCO2-eq</t>
  </si>
  <si>
    <t>Energy - CO2 direct energy use</t>
  </si>
  <si>
    <t>kgCO2/year</t>
  </si>
  <si>
    <t>Energy - CO2 indirect energy use</t>
  </si>
  <si>
    <t>Feed: CO2 feed production</t>
  </si>
  <si>
    <t>Feed: CO2 LUC palm kernel cake</t>
  </si>
  <si>
    <t>Feed: CO2 LUC soy</t>
  </si>
  <si>
    <t>FEED: N2O from fertilizer and  crop residues</t>
  </si>
  <si>
    <t>kgN2O/year</t>
  </si>
  <si>
    <t>Feed: N2O from manure applied and deposited</t>
  </si>
  <si>
    <t>Meat emission intensity</t>
  </si>
  <si>
    <t>kgCO2-eq/kgProt</t>
  </si>
  <si>
    <t>Milk production</t>
  </si>
  <si>
    <t>kg/year</t>
  </si>
  <si>
    <t>N2O from feed production</t>
  </si>
  <si>
    <t>N2O from manure management</t>
  </si>
  <si>
    <t>Number of heads</t>
  </si>
  <si>
    <t>#</t>
  </si>
  <si>
    <t>Total CH4</t>
  </si>
  <si>
    <t>Total CO2</t>
  </si>
  <si>
    <t>Total GHG emissions</t>
  </si>
  <si>
    <t>kgCO2-eq/year</t>
  </si>
  <si>
    <t>Total N2O</t>
  </si>
  <si>
    <t>Grassland Based</t>
  </si>
  <si>
    <t>Dairy</t>
  </si>
  <si>
    <t>Mixed</t>
  </si>
  <si>
    <t>Emissions linked to direct energy use</t>
  </si>
  <si>
    <t>Feedlot total GHG emissions</t>
  </si>
  <si>
    <t>GHG emissions linked to meat production</t>
  </si>
  <si>
    <t>GHG emissions linked to milk production</t>
  </si>
  <si>
    <t>Meat production in carcass weight for a given cohort (Meat females feedlot)</t>
  </si>
  <si>
    <t>Meat production in carcass weight for a given cohort (Meat males feedlot)</t>
  </si>
  <si>
    <t>Meat production in carcass weight for a given cohort (Non feedlot meat females)</t>
  </si>
  <si>
    <t>Meat production in carcass weight for a given cohort (Non feedlot meat males)</t>
  </si>
  <si>
    <t>Milk emission intensity</t>
  </si>
  <si>
    <t>Milk production (Adult Females)</t>
  </si>
  <si>
    <t>Number of animals (Meat females feedlot)</t>
  </si>
  <si>
    <t>Number of animals (Meat males feedlot)</t>
  </si>
  <si>
    <t>Number of animals (Non feedlot meat females)</t>
  </si>
  <si>
    <t>Number of animals (Non feedlot meat males)</t>
  </si>
  <si>
    <t>Number of animals (Replacement Females)</t>
  </si>
  <si>
    <t>Number of animals (Replacement Males)</t>
  </si>
  <si>
    <t>Number of new female calves</t>
  </si>
  <si>
    <t>Number of new male calves</t>
  </si>
  <si>
    <t>System meat production in carcass weight</t>
  </si>
  <si>
    <t>Total cohort feed intake (Meat females feedlot)</t>
  </si>
  <si>
    <t>Total cohort feed intake (Meat males feedlot)</t>
  </si>
  <si>
    <t>Total cohort feed intake (Non feedlot meat females)</t>
  </si>
  <si>
    <t>Total cohort feed intake (Non feedlot meat males)</t>
  </si>
  <si>
    <t>Total feed intake</t>
  </si>
  <si>
    <t>kgDM/year</t>
  </si>
  <si>
    <t>Total GHG emissions (Adult Females)</t>
  </si>
  <si>
    <t>Total GHG emissions (Adult Males)</t>
  </si>
  <si>
    <t>Total GHG emissions (Meat females feedlot)</t>
  </si>
  <si>
    <t>Total GHG emissions (Meat males feedlot)</t>
  </si>
  <si>
    <t>Total GHG emissions (Non feedlot meat females)</t>
  </si>
  <si>
    <t>Total GHG emissions (Non feedlot meat males)</t>
  </si>
  <si>
    <t>Total GHG emissions (Replacement Females)</t>
  </si>
  <si>
    <t>Total GHG emissions (Replacement Males)</t>
  </si>
  <si>
    <t>Selection</t>
  </si>
  <si>
    <t>Feedlot</t>
  </si>
  <si>
    <t>Meat production in kg protein</t>
  </si>
  <si>
    <t>LocalGrWOP</t>
  </si>
  <si>
    <t>LocalGrDaIMA</t>
  </si>
  <si>
    <t>CrossGrWOP</t>
  </si>
  <si>
    <t>CrossGrDaIMA</t>
  </si>
  <si>
    <t>ExoticGrWOP</t>
  </si>
  <si>
    <t>ExoticGrDaIMA</t>
  </si>
  <si>
    <t>GrazingWOP</t>
  </si>
  <si>
    <t>GrazingDaIMA</t>
  </si>
  <si>
    <t>Semi-IntensiveWOP</t>
  </si>
  <si>
    <t>Semi-IntensiveDaIMA</t>
  </si>
  <si>
    <t>Zero-GrazingWOP</t>
  </si>
  <si>
    <t>Zero-GrazingDaIMA</t>
  </si>
  <si>
    <t>Grazing</t>
  </si>
  <si>
    <t>Semi-Intensive</t>
  </si>
  <si>
    <t>Zero-grazing</t>
  </si>
  <si>
    <t>All Rwanda</t>
  </si>
  <si>
    <t>WOP</t>
  </si>
  <si>
    <t>With DaIMA</t>
  </si>
  <si>
    <t>Total emissions (t CO2eq/year)</t>
  </si>
  <si>
    <t>Total emissions (Tons CO2-eq)</t>
  </si>
  <si>
    <t>tCO2eq/year</t>
  </si>
  <si>
    <t>% change</t>
  </si>
  <si>
    <t>Year 0 (baseline</t>
  </si>
  <si>
    <t>Year 25 WP</t>
  </si>
  <si>
    <t>Year 25 WOP</t>
  </si>
  <si>
    <t>Cumulative difference WP-WOP (20 year)</t>
  </si>
  <si>
    <t>Diference WP-WOP per year</t>
  </si>
  <si>
    <t>Total production in protein</t>
  </si>
  <si>
    <t>t protein/year</t>
  </si>
  <si>
    <t>Emissions intensity meat</t>
  </si>
  <si>
    <t>kg CO2eq/kg protein</t>
  </si>
  <si>
    <t>Emissions intensity milk</t>
  </si>
  <si>
    <t>Feed intake</t>
  </si>
  <si>
    <t>t DM/year</t>
  </si>
  <si>
    <t>Herd size</t>
  </si>
  <si>
    <t>heads</t>
  </si>
  <si>
    <t>kg CO2eq/kg milk</t>
  </si>
  <si>
    <t>Enteric Methane EF</t>
  </si>
  <si>
    <t>kg CH4/head/year</t>
  </si>
  <si>
    <t>Breakdown of emissions (GWP 27 for CH4 and 273 for N2O)</t>
  </si>
  <si>
    <t>Emissions intensity milk (kg CO2eq/kg milk)</t>
  </si>
  <si>
    <t xml:space="preserve">tCO2 equivalance </t>
  </si>
  <si>
    <t>Total milk production (t milk/year)</t>
  </si>
  <si>
    <t>Methane from enteric fermentation</t>
  </si>
  <si>
    <t>Methane from manure management</t>
  </si>
  <si>
    <t>Nitrous oxide from manure management</t>
  </si>
  <si>
    <t>Nitrous oxide from manure applied and deposited</t>
  </si>
  <si>
    <t>Carbon dioxide from energy use</t>
  </si>
  <si>
    <t xml:space="preserve">Carbon dioxide and nitrous oxide from feed </t>
  </si>
  <si>
    <t>Total feed intake (t DM/year)</t>
  </si>
  <si>
    <t>Data Inputs used for revised assessment for 2024</t>
  </si>
  <si>
    <t>Herd Module</t>
  </si>
  <si>
    <t>B1LG</t>
  </si>
  <si>
    <t>B1MR local</t>
  </si>
  <si>
    <t>B1MR cross</t>
  </si>
  <si>
    <t>B2OM</t>
  </si>
  <si>
    <t>B1OM</t>
  </si>
  <si>
    <t>Parameter</t>
  </si>
  <si>
    <t>Unit</t>
  </si>
  <si>
    <t>B1LG Baseline</t>
  </si>
  <si>
    <t>B1LG WOP</t>
  </si>
  <si>
    <t>B1LG WP</t>
  </si>
  <si>
    <t>B1MR local Baseline</t>
  </si>
  <si>
    <t>B1MR local WOP</t>
  </si>
  <si>
    <t>B1MR local WP</t>
  </si>
  <si>
    <t>B1MR cross Baseline</t>
  </si>
  <si>
    <t>B1MR cross WOP</t>
  </si>
  <si>
    <t>B1MR cross WP</t>
  </si>
  <si>
    <t>B2OM  Baseline</t>
  </si>
  <si>
    <t>B2OM WOP</t>
  </si>
  <si>
    <t>B2OM WP</t>
  </si>
  <si>
    <t>B1OM  Baseline</t>
  </si>
  <si>
    <t>B1OM WOP</t>
  </si>
  <si>
    <t>B1OM WP</t>
  </si>
  <si>
    <t>Age at the first parturition</t>
  </si>
  <si>
    <t>months</t>
  </si>
  <si>
    <t>Death rate of adult animals</t>
  </si>
  <si>
    <t>Death rate of young females</t>
  </si>
  <si>
    <t>Death rate of young males</t>
  </si>
  <si>
    <t>Fertility rate (adult female)</t>
  </si>
  <si>
    <t>Live weight (Adult Females)</t>
  </si>
  <si>
    <t>kg</t>
  </si>
  <si>
    <t>Live weight (Adult Males)</t>
  </si>
  <si>
    <t>Live weight of animal at slaughter (Meat Females)</t>
  </si>
  <si>
    <t>Live weight of animal at slaughter (Meat Males)</t>
  </si>
  <si>
    <t>Milk Yield</t>
  </si>
  <si>
    <t>Number of animals (Adult Females)</t>
  </si>
  <si>
    <t>Number of animals (Adult Males)</t>
  </si>
  <si>
    <t>Replacement rate of adult females</t>
  </si>
  <si>
    <t>Weight at birth</t>
  </si>
  <si>
    <t>Feed Module (ADULT FEMALE AND REPLACEMENT ANIMALS)</t>
  </si>
  <si>
    <t>By-products from rape (canola)</t>
  </si>
  <si>
    <t>By-products from soy</t>
  </si>
  <si>
    <t>By-products from sugar beet</t>
  </si>
  <si>
    <t>Crop residues from millet</t>
  </si>
  <si>
    <t>Crop residues from other grains</t>
  </si>
  <si>
    <t>Crop residues from rice</t>
  </si>
  <si>
    <t>Crop residues from sorghum</t>
  </si>
  <si>
    <t>Crop residues from wheat</t>
  </si>
  <si>
    <t>Dry by-product from grain industries</t>
  </si>
  <si>
    <t>Fodder beet</t>
  </si>
  <si>
    <t>Hay from adjacent areas</t>
  </si>
  <si>
    <t>Hay or silage from alfalfa</t>
  </si>
  <si>
    <t>Leaves from natural vegetation</t>
  </si>
  <si>
    <t>Maize</t>
  </si>
  <si>
    <t>Maize gluten feed</t>
  </si>
  <si>
    <t>Maize gluten meal</t>
  </si>
  <si>
    <t>Molasses</t>
  </si>
  <si>
    <t>Oil palm kernel expeller</t>
  </si>
  <si>
    <t>Silage from whole grain plants.</t>
  </si>
  <si>
    <t>Wet by-product from grain industries</t>
  </si>
  <si>
    <t>Manure Module</t>
  </si>
  <si>
    <t>Anaerobic digester</t>
  </si>
  <si>
    <t>Burned for fuel</t>
  </si>
  <si>
    <t>Composting</t>
  </si>
  <si>
    <t>Daily spread</t>
  </si>
  <si>
    <t>Dry lot</t>
  </si>
  <si>
    <t>Liquid/Slurry</t>
  </si>
  <si>
    <t>Pasture/Range/Paddock</t>
  </si>
  <si>
    <t>Solid storage</t>
  </si>
  <si>
    <t>Uncovered anaerobic lagoon</t>
  </si>
  <si>
    <t>HHs</t>
  </si>
  <si>
    <t>Unit Biodig</t>
  </si>
  <si>
    <t>Zero grazing system (crossbreed)</t>
  </si>
  <si>
    <t>Zero grazing system 
exotic breed</t>
  </si>
  <si>
    <t>Zero grazing system 
cross breed</t>
  </si>
  <si>
    <t>Parameters</t>
  </si>
  <si>
    <t xml:space="preserve">Baseline </t>
  </si>
  <si>
    <t>WP</t>
  </si>
  <si>
    <t>ALL Rwanda</t>
  </si>
  <si>
    <t>Baseline</t>
  </si>
  <si>
    <t>DaIMA</t>
  </si>
  <si>
    <t>Year 0 (baseline)</t>
  </si>
  <si>
    <t>Year 20 WP</t>
  </si>
  <si>
    <t>Year 20 WOP</t>
  </si>
  <si>
    <t>Year 0</t>
  </si>
  <si>
    <t>Year 1</t>
  </si>
  <si>
    <t>Year 2</t>
  </si>
  <si>
    <t>Year 3</t>
  </si>
  <si>
    <t>Year 4</t>
  </si>
  <si>
    <t>Total Protein EI</t>
  </si>
  <si>
    <t>Year 5</t>
  </si>
  <si>
    <t>Milk EI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</si>
  <si>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</si>
  <si>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</si>
  <si>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</si>
  <si>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</si>
  <si>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</si>
  <si>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</si>
  <si>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</si>
  <si>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</si>
  <si>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</si>
  <si>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</si>
  <si>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</si>
  <si>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</si>
  <si>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</si>
  <si>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</si>
  <si>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</si>
  <si>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CH4 from enteric fermentation</t>
  </si>
  <si>
    <t>CH4 from manure management</t>
  </si>
  <si>
    <t>N2O from Feed production</t>
  </si>
  <si>
    <t>CO2 from energy use</t>
  </si>
  <si>
    <t>CO2 from feed production</t>
  </si>
  <si>
    <t>Rapport poids AF/Sub adulte femelle</t>
  </si>
  <si>
    <t>Requirement AF</t>
  </si>
  <si>
    <t>kgDM/day</t>
  </si>
  <si>
    <t>Requirement AM</t>
  </si>
  <si>
    <t>Requirement MF</t>
  </si>
  <si>
    <t>Requirement MM</t>
  </si>
  <si>
    <t>Dry by product from grain industries</t>
  </si>
  <si>
    <t>Dry by product grain industries sub adulte femelle</t>
  </si>
  <si>
    <t>kg/day</t>
  </si>
  <si>
    <t>Dry by product grain industries sub adulte male</t>
  </si>
  <si>
    <t>Dry by product grain indistries sub-adult Total</t>
  </si>
  <si>
    <t>Dry by product grain indistries sub-adult per animal</t>
  </si>
  <si>
    <t>kgDM/day/animal</t>
  </si>
  <si>
    <t>kg/day/animal</t>
  </si>
  <si>
    <t>Total cohort feed intake (Non feedlot meat females)/animal</t>
  </si>
  <si>
    <t>kg/year/animal</t>
  </si>
  <si>
    <t>Total cohort feed intake (Non feedlot meat males)/animal</t>
  </si>
  <si>
    <t>Feed intake AF</t>
  </si>
  <si>
    <t>kgDM/animal/year</t>
  </si>
  <si>
    <t>kgDM/animal/day</t>
  </si>
  <si>
    <t>% LW</t>
  </si>
  <si>
    <t>Dry by product grain industries AF par animal</t>
  </si>
  <si>
    <t>Dry by product grain industries AF Total</t>
  </si>
  <si>
    <t>Grains sub adulte femelle</t>
  </si>
  <si>
    <t>Grains sub adulte male</t>
  </si>
  <si>
    <t>Grains sub adult Total</t>
  </si>
  <si>
    <t>Grains sub adult per animal</t>
  </si>
  <si>
    <t>Grains AF per animal</t>
  </si>
  <si>
    <t>Grains AF total</t>
  </si>
  <si>
    <t>LW herd</t>
  </si>
  <si>
    <t xml:space="preserve">Average Feed intake % per LW </t>
  </si>
  <si>
    <t>Pasture and Rangelands</t>
  </si>
  <si>
    <t>% of diet</t>
  </si>
  <si>
    <t>Improved legume forage in diet AF and SA</t>
  </si>
  <si>
    <t>DM in AF diet</t>
  </si>
  <si>
    <t>tDM/cohort/year</t>
  </si>
  <si>
    <t>DM in SA diet</t>
  </si>
  <si>
    <t>Total DM required from improved rangeland and pasture</t>
  </si>
  <si>
    <t>tDM/year</t>
  </si>
  <si>
    <t>Natural pasture (Mwangi, 2015)</t>
  </si>
  <si>
    <t xml:space="preserve">tDM/ha </t>
  </si>
  <si>
    <t>Improved pasture (grazing management, irrigation, legumes reseeding, fertilization) (Macharia et al., 2010)</t>
  </si>
  <si>
    <t>Area required for rehabilitation</t>
  </si>
  <si>
    <t xml:space="preserve">Ha </t>
  </si>
  <si>
    <t>Area required for rehabilitation in WP Rwanda</t>
  </si>
  <si>
    <t>Ha</t>
  </si>
  <si>
    <t>CROSS</t>
  </si>
  <si>
    <t>Feed Module</t>
  </si>
  <si>
    <t>Adult Females</t>
  </si>
  <si>
    <t>Adult males</t>
  </si>
  <si>
    <t>Total cattle in the DaIMA districts herd</t>
  </si>
  <si>
    <t>National Cattle Population</t>
  </si>
  <si>
    <t>Proportion of breed in the herd</t>
  </si>
  <si>
    <t>% of  the Local Herd</t>
  </si>
  <si>
    <t>% of Cross herd</t>
  </si>
  <si>
    <t>% of the exotic Herd</t>
  </si>
  <si>
    <t>Number of HH</t>
  </si>
  <si>
    <t>HH Trageted</t>
  </si>
  <si>
    <t>% Targetted</t>
  </si>
  <si>
    <t>Number of Cattle</t>
  </si>
  <si>
    <t>Number of cattle (breeds/production system)</t>
  </si>
  <si>
    <t>Number of Adult Females</t>
  </si>
  <si>
    <t>Number of Adult Males</t>
  </si>
  <si>
    <t>BASELINE 2020 to 2024</t>
  </si>
  <si>
    <t>Annual growth rate</t>
  </si>
  <si>
    <t>Cattle - Zero grazing system - cross breed (B2OM)</t>
  </si>
  <si>
    <t>Cattle - Zero grazing system - exotic cows (B1OM)</t>
  </si>
  <si>
    <t>Cattle - Semi-grazing system (B1MR) crossbreed</t>
  </si>
  <si>
    <t>Cattle - Semi-grazing system (B1MR) local breed</t>
  </si>
  <si>
    <t>Cattle - Grazing system (B1LG) local breed</t>
  </si>
  <si>
    <t>WOP 2024 - 20 years</t>
  </si>
  <si>
    <t>WP 2024 - 20 years</t>
  </si>
  <si>
    <t>Rwanda</t>
  </si>
  <si>
    <t>Total LocalBASE</t>
  </si>
  <si>
    <t>Total LocaWOP</t>
  </si>
  <si>
    <t>Total LocalDaIMA</t>
  </si>
  <si>
    <t>Total CrossBASE</t>
  </si>
  <si>
    <t>Total CrossWOP</t>
  </si>
  <si>
    <t>Total CrossDaIMA</t>
  </si>
  <si>
    <t>Total ExoticBASE</t>
  </si>
  <si>
    <t>Total ExoticWOP</t>
  </si>
  <si>
    <t>Total ExoticDaIMA</t>
  </si>
  <si>
    <t>Total RwandaBASE</t>
  </si>
  <si>
    <t>Total RwandaWOP</t>
  </si>
  <si>
    <t>Total RwandaDaIMA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</si>
</sst>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(* #,##0.00_);_(* \(#,##0.00\);_(* &quot;-&quot;??_);_(@_)"/>
    <numFmt numFmtId="164" formatCode="_-* #,##0.00_-;\-* #,##0.00_-;_-* &quot;-&quot;??_-;_-@_-"/>
    <numFmt numFmtId="165" formatCode="_ * #,##0.00_ ;_ * \-#,##0.00_ ;_ * &quot;-&quot;??_ ;_ @_ "/>
    <numFmt numFmtId="166" formatCode="_(* #,##0_);_(* \(#,##0\);_(* &quot;-&quot;??_);_(@_)"/>
    <numFmt numFmtId="167" formatCode="0.0"/>
    <numFmt numFmtId="168" formatCode="0.000"/>
    <numFmt numFmtId="169" formatCode="0.0000"/>
    <numFmt numFmtId="170" formatCode="_(* #,##0.000000_);_(* \(#,##0.000000\);_(* &quot;-&quot;??_);_(@_)"/>
    <numFmt numFmtId="171" formatCode="_(* #,##0.0_);_(* \(#,##0.0\);_(* &quot;-&quot;??_);_(@_)"/>
    <numFmt numFmtId="172" formatCode="#,##0.0"/>
    <numFmt numFmtId="173" formatCode="_-* #,##0_-;\-* #,##0_-;_-* &quot;-&quot;??_-;_-@_-"/>
    <numFmt numFmtId="174" formatCode="0.0%"/>
    <numFmt numFmtId="175" formatCode="_(* #,##0.0_);_(* \(#,##0.0\);_(* &quot;-&quot;?_);_(@_)"/>
    <numFmt numFmtId="176" formatCode="_-* #,##0.0_-;\-* #,##0.0_-;_-* &quot;-&quot;??_-;_-@_-"/>
    <numFmt numFmtId="177" formatCode="_(&quot;£&quot;* #,##0.00_);_(&quot;£&quot;* \(#,##0.00\);_(&quot;£&quot;* &quot;-&quot;??_);_(@_)"/>
    <numFmt numFmtId="178" formatCode="_-* #,##0.00\ _€_-;\-* #,##0.00\ _€_-;_-* &quot;-&quot;??\ _€_-;_-@_-"/>
    <numFmt numFmtId="179" formatCode="_-[$€]* #,##0.00_-;\-[$€]* #,##0.00_-;_-[$€]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</font>
    <font>
      <u/>
      <sz val="11"/>
      <color theme="10"/>
      <name val="Calibri"/>
      <family val="2"/>
      <scheme val="minor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b/>
      <sz val="18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</font>
    <font>
      <sz val="12"/>
      <color indexed="8"/>
      <name val="Verdana"/>
      <family val="2"/>
    </font>
    <font>
      <sz val="11"/>
      <color indexed="8"/>
      <name val="Calibri"/>
      <family val="2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3"/>
      <color indexed="8"/>
      <name val="Calibri"/>
      <family val="2"/>
    </font>
    <font>
      <sz val="12"/>
      <name val="Calibri Light"/>
      <family val="2"/>
      <scheme val="major"/>
    </font>
    <font>
      <sz val="11"/>
      <color rgb="FF203864"/>
      <name val="Segoe UI Historic"/>
      <family val="2"/>
    </font>
    <font>
      <sz val="11"/>
      <color theme="1"/>
      <name val="Times New Roman"/>
      <family val="1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2F5496"/>
      <name val="Segoe UI Historic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6" fillId="0" borderId="0"/>
    <xf numFmtId="43" fontId="38" fillId="0" borderId="0" applyFont="0" applyFill="0" applyBorder="0" applyAlignment="0" applyProtection="0"/>
    <xf numFmtId="177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79" fontId="38" fillId="0" borderId="0" applyFont="0" applyFill="0" applyBorder="0" applyAlignment="0" applyProtection="0"/>
    <xf numFmtId="0" fontId="37" fillId="0" borderId="0"/>
    <xf numFmtId="178" fontId="38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177" fontId="38" fillId="0" borderId="0" applyFont="0" applyFill="0" applyBorder="0" applyAlignment="0" applyProtection="0"/>
    <xf numFmtId="0" fontId="37" fillId="0" borderId="0"/>
    <xf numFmtId="0" fontId="39" fillId="0" borderId="0"/>
  </cellStyleXfs>
  <cellXfs count="34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166" fontId="0" fillId="0" borderId="1" xfId="1" applyNumberFormat="1" applyFont="1" applyBorder="1"/>
    <xf numFmtId="167" fontId="0" fillId="0" borderId="1" xfId="0" applyNumberFormat="1" applyBorder="1" applyAlignment="1">
      <alignment horizontal="center"/>
    </xf>
    <xf numFmtId="167" fontId="0" fillId="0" borderId="1" xfId="0" applyNumberFormat="1" applyBorder="1"/>
    <xf numFmtId="168" fontId="0" fillId="0" borderId="1" xfId="0" applyNumberFormat="1" applyBorder="1" applyAlignment="1">
      <alignment horizontal="center"/>
    </xf>
    <xf numFmtId="168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169" fontId="0" fillId="0" borderId="1" xfId="0" applyNumberFormat="1" applyBorder="1"/>
    <xf numFmtId="0" fontId="10" fillId="0" borderId="0" xfId="2"/>
    <xf numFmtId="43" fontId="0" fillId="0" borderId="1" xfId="1" applyFont="1" applyBorder="1"/>
    <xf numFmtId="166" fontId="0" fillId="0" borderId="1" xfId="1" applyNumberFormat="1" applyFont="1" applyBorder="1" applyAlignment="1">
      <alignment horizont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169" fontId="0" fillId="0" borderId="1" xfId="0" applyNumberFormat="1" applyBorder="1" applyAlignment="1">
      <alignment horizontal="center"/>
    </xf>
    <xf numFmtId="43" fontId="0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166" fontId="0" fillId="0" borderId="0" xfId="0" applyNumberFormat="1"/>
    <xf numFmtId="43" fontId="0" fillId="0" borderId="1" xfId="1" applyFont="1" applyFill="1" applyBorder="1"/>
    <xf numFmtId="167" fontId="0" fillId="0" borderId="0" xfId="0" applyNumberFormat="1" applyAlignment="1">
      <alignment horizontal="center"/>
    </xf>
    <xf numFmtId="167" fontId="3" fillId="0" borderId="0" xfId="0" applyNumberFormat="1" applyFont="1"/>
    <xf numFmtId="0" fontId="20" fillId="0" borderId="0" xfId="0" applyFont="1" applyAlignment="1">
      <alignment vertical="top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top" wrapText="1"/>
    </xf>
    <xf numFmtId="0" fontId="19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/>
    <xf numFmtId="1" fontId="18" fillId="0" borderId="0" xfId="0" applyNumberFormat="1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Alignment="1">
      <alignment horizontal="center" vertical="center"/>
    </xf>
    <xf numFmtId="0" fontId="24" fillId="0" borderId="0" xfId="0" applyFont="1"/>
    <xf numFmtId="0" fontId="19" fillId="0" borderId="1" xfId="0" applyFont="1" applyBorder="1" applyAlignment="1">
      <alignment vertical="center"/>
    </xf>
    <xf numFmtId="0" fontId="25" fillId="0" borderId="0" xfId="0" applyFont="1"/>
    <xf numFmtId="0" fontId="3" fillId="3" borderId="0" xfId="0" applyFont="1" applyFill="1"/>
    <xf numFmtId="2" fontId="3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168" fontId="20" fillId="0" borderId="0" xfId="0" applyNumberFormat="1" applyFont="1" applyAlignment="1">
      <alignment vertical="top" wrapText="1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 textRotation="90"/>
    </xf>
    <xf numFmtId="1" fontId="23" fillId="0" borderId="1" xfId="0" applyNumberFormat="1" applyFont="1" applyBorder="1" applyAlignment="1">
      <alignment horizontal="center" vertical="center"/>
    </xf>
    <xf numFmtId="2" fontId="23" fillId="0" borderId="1" xfId="3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26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26" fillId="0" borderId="0" xfId="0" applyNumberFormat="1" applyFont="1" applyAlignment="1">
      <alignment horizontal="center" vertical="center"/>
    </xf>
    <xf numFmtId="167" fontId="4" fillId="2" borderId="0" xfId="0" applyNumberFormat="1" applyFont="1" applyFill="1" applyAlignment="1">
      <alignment horizontal="center" vertical="center"/>
    </xf>
    <xf numFmtId="0" fontId="4" fillId="0" borderId="0" xfId="0" applyFont="1"/>
    <xf numFmtId="0" fontId="29" fillId="0" borderId="0" xfId="0" applyFont="1"/>
    <xf numFmtId="0" fontId="14" fillId="0" borderId="0" xfId="0" applyFont="1" applyAlignment="1">
      <alignment horizontal="center" vertical="center" wrapText="1"/>
    </xf>
    <xf numFmtId="166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166" fontId="0" fillId="0" borderId="1" xfId="0" applyNumberFormat="1" applyBorder="1"/>
    <xf numFmtId="0" fontId="0" fillId="0" borderId="1" xfId="0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right"/>
    </xf>
    <xf numFmtId="1" fontId="0" fillId="0" borderId="1" xfId="1" applyNumberFormat="1" applyFont="1" applyBorder="1" applyAlignment="1">
      <alignment horizontal="right"/>
    </xf>
    <xf numFmtId="1" fontId="0" fillId="3" borderId="1" xfId="0" applyNumberFormat="1" applyFill="1" applyBorder="1" applyAlignment="1">
      <alignment horizontal="right"/>
    </xf>
    <xf numFmtId="0" fontId="0" fillId="3" borderId="1" xfId="0" applyFill="1" applyBorder="1"/>
    <xf numFmtId="1" fontId="0" fillId="2" borderId="1" xfId="0" applyNumberFormat="1" applyFill="1" applyBorder="1" applyAlignment="1">
      <alignment horizontal="right"/>
    </xf>
    <xf numFmtId="1" fontId="0" fillId="2" borderId="1" xfId="1" applyNumberFormat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14" fillId="0" borderId="1" xfId="0" applyFont="1" applyBorder="1" applyAlignment="1">
      <alignment horizontal="left" vertical="center"/>
    </xf>
    <xf numFmtId="0" fontId="31" fillId="0" borderId="7" xfId="0" applyFont="1" applyBorder="1"/>
    <xf numFmtId="0" fontId="0" fillId="0" borderId="8" xfId="0" applyBorder="1"/>
    <xf numFmtId="170" fontId="0" fillId="0" borderId="1" xfId="0" applyNumberFormat="1" applyBorder="1"/>
    <xf numFmtId="167" fontId="14" fillId="0" borderId="1" xfId="0" applyNumberFormat="1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171" fontId="0" fillId="0" borderId="1" xfId="1" applyNumberFormat="1" applyFont="1" applyBorder="1"/>
    <xf numFmtId="3" fontId="0" fillId="0" borderId="1" xfId="0" applyNumberFormat="1" applyBorder="1"/>
    <xf numFmtId="3" fontId="0" fillId="0" borderId="0" xfId="0" applyNumberFormat="1"/>
    <xf numFmtId="172" fontId="0" fillId="0" borderId="0" xfId="0" applyNumberFormat="1"/>
    <xf numFmtId="3" fontId="0" fillId="0" borderId="1" xfId="0" applyNumberFormat="1" applyBorder="1" applyAlignment="1">
      <alignment horizontal="center" vertical="center"/>
    </xf>
    <xf numFmtId="3" fontId="2" fillId="0" borderId="0" xfId="0" applyNumberFormat="1" applyFont="1"/>
    <xf numFmtId="167" fontId="2" fillId="0" borderId="1" xfId="0" applyNumberFormat="1" applyFont="1" applyBorder="1" applyAlignment="1">
      <alignment horizontal="center" vertical="center"/>
    </xf>
    <xf numFmtId="9" fontId="0" fillId="0" borderId="0" xfId="3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66" fontId="0" fillId="0" borderId="1" xfId="4" applyNumberFormat="1" applyFont="1" applyBorder="1" applyAlignment="1">
      <alignment vertical="center"/>
    </xf>
    <xf numFmtId="43" fontId="0" fillId="0" borderId="1" xfId="4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173" fontId="2" fillId="0" borderId="0" xfId="4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0" fillId="0" borderId="1" xfId="0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43" fontId="0" fillId="0" borderId="0" xfId="0" applyNumberFormat="1" applyAlignment="1">
      <alignment vertical="center"/>
    </xf>
    <xf numFmtId="43" fontId="2" fillId="0" borderId="0" xfId="0" applyNumberFormat="1" applyFont="1" applyAlignment="1">
      <alignment vertical="center"/>
    </xf>
    <xf numFmtId="1" fontId="0" fillId="0" borderId="0" xfId="0" applyNumberFormat="1"/>
    <xf numFmtId="168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9" fontId="0" fillId="0" borderId="0" xfId="0" applyNumberFormat="1"/>
    <xf numFmtId="10" fontId="0" fillId="0" borderId="0" xfId="0" applyNumberFormat="1"/>
    <xf numFmtId="0" fontId="0" fillId="0" borderId="11" xfId="0" applyBorder="1"/>
    <xf numFmtId="166" fontId="0" fillId="0" borderId="11" xfId="0" applyNumberFormat="1" applyBorder="1"/>
    <xf numFmtId="0" fontId="0" fillId="0" borderId="12" xfId="0" applyBorder="1"/>
    <xf numFmtId="166" fontId="0" fillId="0" borderId="13" xfId="0" applyNumberFormat="1" applyBorder="1"/>
    <xf numFmtId="10" fontId="0" fillId="0" borderId="11" xfId="0" applyNumberFormat="1" applyBorder="1"/>
    <xf numFmtId="174" fontId="0" fillId="0" borderId="11" xfId="0" applyNumberFormat="1" applyBorder="1"/>
    <xf numFmtId="0" fontId="0" fillId="0" borderId="14" xfId="0" applyBorder="1"/>
    <xf numFmtId="174" fontId="0" fillId="0" borderId="15" xfId="0" applyNumberFormat="1" applyBorder="1"/>
    <xf numFmtId="10" fontId="0" fillId="0" borderId="12" xfId="0" applyNumberFormat="1" applyBorder="1"/>
    <xf numFmtId="165" fontId="0" fillId="0" borderId="0" xfId="0" applyNumberFormat="1"/>
    <xf numFmtId="166" fontId="0" fillId="2" borderId="1" xfId="1" applyNumberFormat="1" applyFont="1" applyFill="1" applyBorder="1"/>
    <xf numFmtId="167" fontId="0" fillId="2" borderId="1" xfId="0" applyNumberFormat="1" applyFill="1" applyBorder="1" applyAlignment="1">
      <alignment horizontal="center"/>
    </xf>
    <xf numFmtId="167" fontId="0" fillId="2" borderId="1" xfId="0" applyNumberFormat="1" applyFill="1" applyBorder="1"/>
    <xf numFmtId="2" fontId="0" fillId="2" borderId="1" xfId="0" applyNumberFormat="1" applyFill="1" applyBorder="1"/>
    <xf numFmtId="169" fontId="0" fillId="2" borderId="1" xfId="0" applyNumberFormat="1" applyFill="1" applyBorder="1"/>
    <xf numFmtId="43" fontId="0" fillId="2" borderId="1" xfId="1" applyFont="1" applyFill="1" applyBorder="1"/>
    <xf numFmtId="170" fontId="0" fillId="2" borderId="1" xfId="0" applyNumberFormat="1" applyFill="1" applyBorder="1"/>
    <xf numFmtId="0" fontId="0" fillId="2" borderId="0" xfId="0" applyFill="1"/>
    <xf numFmtId="43" fontId="0" fillId="0" borderId="0" xfId="0" applyNumberFormat="1"/>
    <xf numFmtId="175" fontId="0" fillId="0" borderId="0" xfId="0" applyNumberFormat="1"/>
    <xf numFmtId="0" fontId="0" fillId="0" borderId="2" xfId="0" applyBorder="1"/>
    <xf numFmtId="43" fontId="0" fillId="0" borderId="0" xfId="1" applyFont="1"/>
    <xf numFmtId="0" fontId="0" fillId="0" borderId="0" xfId="0" applyAlignment="1">
      <alignment horizontal="right"/>
    </xf>
    <xf numFmtId="43" fontId="33" fillId="0" borderId="0" xfId="0" applyNumberFormat="1" applyFont="1"/>
    <xf numFmtId="0" fontId="33" fillId="0" borderId="0" xfId="0" applyFont="1"/>
    <xf numFmtId="174" fontId="0" fillId="0" borderId="0" xfId="3" applyNumberFormat="1" applyFont="1"/>
    <xf numFmtId="167" fontId="0" fillId="0" borderId="0" xfId="0" applyNumberFormat="1"/>
    <xf numFmtId="171" fontId="0" fillId="0" borderId="0" xfId="0" applyNumberFormat="1"/>
    <xf numFmtId="169" fontId="0" fillId="0" borderId="0" xfId="0" applyNumberFormat="1"/>
    <xf numFmtId="43" fontId="2" fillId="0" borderId="0" xfId="0" applyNumberFormat="1" applyFont="1"/>
    <xf numFmtId="164" fontId="0" fillId="0" borderId="0" xfId="0" applyNumberFormat="1"/>
    <xf numFmtId="164" fontId="31" fillId="0" borderId="0" xfId="0" applyNumberFormat="1" applyFont="1"/>
    <xf numFmtId="0" fontId="0" fillId="0" borderId="0" xfId="0" applyAlignment="1">
      <alignment wrapText="1"/>
    </xf>
    <xf numFmtId="10" fontId="0" fillId="0" borderId="0" xfId="3" applyNumberFormat="1" applyFont="1"/>
    <xf numFmtId="166" fontId="0" fillId="0" borderId="0" xfId="0" applyNumberFormat="1" applyAlignment="1">
      <alignment horizontal="center"/>
    </xf>
    <xf numFmtId="0" fontId="31" fillId="0" borderId="0" xfId="0" applyFont="1"/>
    <xf numFmtId="0" fontId="2" fillId="0" borderId="0" xfId="0" applyFont="1" applyAlignment="1">
      <alignment horizontal="right"/>
    </xf>
    <xf numFmtId="4" fontId="0" fillId="0" borderId="0" xfId="0" applyNumberFormat="1"/>
    <xf numFmtId="0" fontId="34" fillId="0" borderId="0" xfId="0" applyFont="1" applyAlignment="1">
      <alignment vertical="center"/>
    </xf>
    <xf numFmtId="0" fontId="34" fillId="0" borderId="0" xfId="0" applyFont="1"/>
    <xf numFmtId="3" fontId="0" fillId="0" borderId="0" xfId="1" applyNumberFormat="1" applyFont="1"/>
    <xf numFmtId="3" fontId="34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176" fontId="0" fillId="0" borderId="0" xfId="0" applyNumberFormat="1"/>
    <xf numFmtId="173" fontId="0" fillId="0" borderId="0" xfId="0" applyNumberFormat="1"/>
    <xf numFmtId="0" fontId="2" fillId="0" borderId="0" xfId="0" applyFont="1" applyAlignment="1">
      <alignment wrapText="1"/>
    </xf>
    <xf numFmtId="43" fontId="0" fillId="0" borderId="0" xfId="1" applyFont="1" applyAlignment="1">
      <alignment wrapText="1"/>
    </xf>
    <xf numFmtId="0" fontId="34" fillId="0" borderId="0" xfId="0" applyFont="1" applyAlignment="1">
      <alignment wrapText="1"/>
    </xf>
    <xf numFmtId="0" fontId="0" fillId="5" borderId="0" xfId="0" applyFill="1"/>
    <xf numFmtId="0" fontId="33" fillId="5" borderId="0" xfId="0" applyFont="1" applyFill="1" applyAlignment="1">
      <alignment wrapText="1"/>
    </xf>
    <xf numFmtId="176" fontId="0" fillId="5" borderId="0" xfId="0" applyNumberFormat="1" applyFill="1"/>
    <xf numFmtId="164" fontId="0" fillId="5" borderId="0" xfId="0" applyNumberFormat="1" applyFill="1"/>
    <xf numFmtId="0" fontId="2" fillId="0" borderId="1" xfId="0" applyFont="1" applyBorder="1"/>
    <xf numFmtId="43" fontId="0" fillId="5" borderId="0" xfId="1" applyFont="1" applyFill="1"/>
    <xf numFmtId="43" fontId="0" fillId="5" borderId="0" xfId="0" applyNumberFormat="1" applyFill="1"/>
    <xf numFmtId="0" fontId="2" fillId="0" borderId="10" xfId="0" applyFont="1" applyBorder="1"/>
    <xf numFmtId="0" fontId="2" fillId="0" borderId="20" xfId="0" applyFont="1" applyBorder="1"/>
    <xf numFmtId="10" fontId="0" fillId="0" borderId="10" xfId="3" applyNumberFormat="1" applyFont="1" applyBorder="1"/>
    <xf numFmtId="10" fontId="0" fillId="0" borderId="20" xfId="3" applyNumberFormat="1" applyFont="1" applyBorder="1"/>
    <xf numFmtId="10" fontId="2" fillId="0" borderId="10" xfId="3" applyNumberFormat="1" applyFont="1" applyBorder="1"/>
    <xf numFmtId="10" fontId="2" fillId="0" borderId="20" xfId="3" applyNumberFormat="1" applyFont="1" applyBorder="1"/>
    <xf numFmtId="10" fontId="2" fillId="0" borderId="10" xfId="0" applyNumberFormat="1" applyFont="1" applyBorder="1"/>
    <xf numFmtId="10" fontId="2" fillId="0" borderId="20" xfId="0" applyNumberFormat="1" applyFont="1" applyBorder="1"/>
    <xf numFmtId="10" fontId="2" fillId="5" borderId="21" xfId="0" applyNumberFormat="1" applyFont="1" applyFill="1" applyBorder="1"/>
    <xf numFmtId="10" fontId="2" fillId="5" borderId="22" xfId="0" applyNumberFormat="1" applyFont="1" applyFill="1" applyBorder="1"/>
    <xf numFmtId="0" fontId="2" fillId="0" borderId="1" xfId="0" applyFont="1" applyBorder="1" applyAlignment="1">
      <alignment horizontal="center" wrapText="1"/>
    </xf>
    <xf numFmtId="0" fontId="30" fillId="0" borderId="0" xfId="0" applyFont="1"/>
    <xf numFmtId="0" fontId="2" fillId="0" borderId="17" xfId="0" applyFont="1" applyBorder="1" applyAlignment="1">
      <alignment horizontal="center" wrapText="1"/>
    </xf>
    <xf numFmtId="0" fontId="0" fillId="0" borderId="10" xfId="0" applyBorder="1"/>
    <xf numFmtId="0" fontId="0" fillId="0" borderId="20" xfId="0" applyBorder="1"/>
    <xf numFmtId="0" fontId="34" fillId="0" borderId="10" xfId="0" applyFont="1" applyBorder="1"/>
    <xf numFmtId="9" fontId="0" fillId="0" borderId="10" xfId="0" applyNumberFormat="1" applyBorder="1"/>
    <xf numFmtId="9" fontId="0" fillId="0" borderId="20" xfId="0" applyNumberFormat="1" applyBorder="1"/>
    <xf numFmtId="0" fontId="0" fillId="0" borderId="21" xfId="0" applyBorder="1"/>
    <xf numFmtId="0" fontId="0" fillId="0" borderId="23" xfId="0" applyBorder="1"/>
    <xf numFmtId="0" fontId="0" fillId="0" borderId="22" xfId="0" applyBorder="1"/>
    <xf numFmtId="0" fontId="2" fillId="0" borderId="2" xfId="0" applyFont="1" applyBorder="1" applyAlignment="1">
      <alignment horizontal="center" wrapText="1"/>
    </xf>
    <xf numFmtId="0" fontId="0" fillId="0" borderId="19" xfId="0" applyBorder="1"/>
    <xf numFmtId="0" fontId="0" fillId="0" borderId="24" xfId="0" applyBorder="1"/>
    <xf numFmtId="0" fontId="0" fillId="0" borderId="18" xfId="0" applyBorder="1"/>
    <xf numFmtId="0" fontId="33" fillId="0" borderId="20" xfId="0" applyFont="1" applyBorder="1"/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167" fontId="0" fillId="2" borderId="0" xfId="0" applyNumberFormat="1" applyFill="1"/>
    <xf numFmtId="164" fontId="0" fillId="2" borderId="0" xfId="0" applyNumberFormat="1" applyFill="1"/>
    <xf numFmtId="9" fontId="0" fillId="2" borderId="0" xfId="3" applyFont="1" applyFill="1"/>
    <xf numFmtId="9" fontId="0" fillId="2" borderId="0" xfId="0" applyNumberFormat="1" applyFill="1"/>
    <xf numFmtId="174" fontId="0" fillId="2" borderId="0" xfId="3" applyNumberFormat="1" applyFont="1" applyFill="1"/>
    <xf numFmtId="0" fontId="2" fillId="2" borderId="1" xfId="0" applyFont="1" applyFill="1" applyBorder="1" applyAlignment="1">
      <alignment wrapText="1"/>
    </xf>
    <xf numFmtId="43" fontId="0" fillId="2" borderId="0" xfId="0" applyNumberFormat="1" applyFill="1"/>
    <xf numFmtId="2" fontId="0" fillId="2" borderId="0" xfId="0" applyNumberFormat="1" applyFill="1"/>
    <xf numFmtId="43" fontId="34" fillId="0" borderId="10" xfId="0" applyNumberFormat="1" applyFont="1" applyBorder="1"/>
    <xf numFmtId="176" fontId="34" fillId="0" borderId="0" xfId="0" applyNumberFormat="1" applyFont="1"/>
    <xf numFmtId="176" fontId="34" fillId="0" borderId="20" xfId="0" applyNumberFormat="1" applyFont="1" applyBorder="1"/>
    <xf numFmtId="176" fontId="34" fillId="0" borderId="10" xfId="0" applyNumberFormat="1" applyFont="1" applyBorder="1"/>
    <xf numFmtId="0" fontId="2" fillId="6" borderId="1" xfId="0" applyFont="1" applyFill="1" applyBorder="1" applyAlignment="1">
      <alignment horizontal="center" wrapText="1"/>
    </xf>
    <xf numFmtId="0" fontId="2" fillId="6" borderId="0" xfId="0" applyFont="1" applyFill="1"/>
    <xf numFmtId="0" fontId="2" fillId="6" borderId="0" xfId="0" applyFont="1" applyFill="1" applyAlignment="1">
      <alignment horizontal="right"/>
    </xf>
    <xf numFmtId="0" fontId="2" fillId="6" borderId="1" xfId="0" applyFont="1" applyFill="1" applyBorder="1" applyAlignment="1">
      <alignment horizontal="center"/>
    </xf>
    <xf numFmtId="173" fontId="34" fillId="0" borderId="0" xfId="0" applyNumberFormat="1" applyFont="1"/>
    <xf numFmtId="0" fontId="2" fillId="5" borderId="1" xfId="0" applyFont="1" applyFill="1" applyBorder="1" applyAlignment="1">
      <alignment horizontal="center" wrapText="1"/>
    </xf>
    <xf numFmtId="0" fontId="2" fillId="5" borderId="0" xfId="0" applyFont="1" applyFill="1"/>
    <xf numFmtId="0" fontId="2" fillId="5" borderId="2" xfId="0" applyFont="1" applyFill="1" applyBorder="1" applyAlignment="1">
      <alignment horizontal="center" wrapText="1"/>
    </xf>
    <xf numFmtId="0" fontId="2" fillId="5" borderId="0" xfId="0" applyFont="1" applyFill="1" applyAlignment="1">
      <alignment horizontal="right"/>
    </xf>
    <xf numFmtId="10" fontId="34" fillId="0" borderId="0" xfId="0" applyNumberFormat="1" applyFont="1"/>
    <xf numFmtId="0" fontId="2" fillId="5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 wrapText="1"/>
    </xf>
    <xf numFmtId="0" fontId="2" fillId="7" borderId="0" xfId="0" applyFont="1" applyFill="1"/>
    <xf numFmtId="0" fontId="2" fillId="7" borderId="2" xfId="0" applyFont="1" applyFill="1" applyBorder="1" applyAlignment="1">
      <alignment horizontal="center" wrapText="1"/>
    </xf>
    <xf numFmtId="0" fontId="2" fillId="7" borderId="0" xfId="0" applyFont="1" applyFill="1" applyAlignment="1">
      <alignment horizontal="right"/>
    </xf>
    <xf numFmtId="0" fontId="2" fillId="8" borderId="1" xfId="0" applyFont="1" applyFill="1" applyBorder="1" applyAlignment="1">
      <alignment horizontal="center" wrapText="1"/>
    </xf>
    <xf numFmtId="0" fontId="2" fillId="8" borderId="0" xfId="0" applyFont="1" applyFill="1"/>
    <xf numFmtId="0" fontId="2" fillId="9" borderId="17" xfId="0" applyFont="1" applyFill="1" applyBorder="1" applyAlignment="1">
      <alignment horizontal="center" wrapText="1"/>
    </xf>
    <xf numFmtId="0" fontId="2" fillId="9" borderId="0" xfId="0" applyFont="1" applyFill="1"/>
    <xf numFmtId="0" fontId="2" fillId="9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4" fontId="0" fillId="0" borderId="0" xfId="0" applyNumberFormat="1"/>
    <xf numFmtId="1" fontId="0" fillId="0" borderId="20" xfId="0" applyNumberFormat="1" applyBorder="1"/>
    <xf numFmtId="9" fontId="0" fillId="0" borderId="25" xfId="0" applyNumberFormat="1" applyBorder="1"/>
    <xf numFmtId="0" fontId="2" fillId="9" borderId="0" xfId="0" applyFont="1" applyFill="1" applyAlignment="1">
      <alignment horizontal="right"/>
    </xf>
    <xf numFmtId="10" fontId="33" fillId="0" borderId="0" xfId="0" applyNumberFormat="1" applyFont="1"/>
    <xf numFmtId="0" fontId="34" fillId="0" borderId="20" xfId="0" applyFont="1" applyBorder="1"/>
    <xf numFmtId="0" fontId="34" fillId="0" borderId="1" xfId="0" applyFont="1" applyBorder="1"/>
    <xf numFmtId="43" fontId="34" fillId="0" borderId="0" xfId="1" applyFont="1"/>
    <xf numFmtId="164" fontId="34" fillId="5" borderId="0" xfId="0" applyNumberFormat="1" applyFont="1" applyFill="1"/>
    <xf numFmtId="0" fontId="30" fillId="0" borderId="0" xfId="0" applyFont="1" applyAlignment="1">
      <alignment wrapText="1"/>
    </xf>
    <xf numFmtId="0" fontId="34" fillId="0" borderId="24" xfId="0" applyFont="1" applyBorder="1"/>
    <xf numFmtId="0" fontId="34" fillId="0" borderId="18" xfId="0" applyFont="1" applyBorder="1"/>
    <xf numFmtId="0" fontId="34" fillId="0" borderId="19" xfId="0" applyFont="1" applyBorder="1"/>
    <xf numFmtId="1" fontId="34" fillId="0" borderId="0" xfId="0" applyNumberFormat="1" applyFont="1"/>
    <xf numFmtId="0" fontId="0" fillId="10" borderId="10" xfId="0" applyFill="1" applyBorder="1"/>
    <xf numFmtId="0" fontId="0" fillId="10" borderId="0" xfId="0" applyFill="1"/>
    <xf numFmtId="0" fontId="0" fillId="10" borderId="20" xfId="0" applyFill="1" applyBorder="1"/>
    <xf numFmtId="0" fontId="0" fillId="13" borderId="0" xfId="0" applyFill="1"/>
    <xf numFmtId="4" fontId="0" fillId="7" borderId="0" xfId="0" applyNumberFormat="1" applyFill="1"/>
    <xf numFmtId="0" fontId="0" fillId="7" borderId="0" xfId="0" applyFill="1"/>
    <xf numFmtId="0" fontId="0" fillId="12" borderId="0" xfId="0" applyFill="1"/>
    <xf numFmtId="0" fontId="0" fillId="8" borderId="0" xfId="0" applyFill="1"/>
    <xf numFmtId="0" fontId="33" fillId="10" borderId="20" xfId="0" applyFont="1" applyFill="1" applyBorder="1"/>
    <xf numFmtId="0" fontId="33" fillId="2" borderId="0" xfId="0" applyFont="1" applyFill="1"/>
    <xf numFmtId="1" fontId="33" fillId="0" borderId="0" xfId="0" applyNumberFormat="1" applyFont="1"/>
    <xf numFmtId="10" fontId="33" fillId="0" borderId="10" xfId="3" applyNumberFormat="1" applyFont="1" applyBorder="1"/>
    <xf numFmtId="10" fontId="33" fillId="0" borderId="20" xfId="3" applyNumberFormat="1" applyFont="1" applyBorder="1"/>
    <xf numFmtId="0" fontId="33" fillId="5" borderId="0" xfId="0" applyFont="1" applyFill="1"/>
    <xf numFmtId="0" fontId="0" fillId="11" borderId="0" xfId="0" applyFill="1"/>
    <xf numFmtId="2" fontId="0" fillId="11" borderId="0" xfId="0" applyNumberFormat="1" applyFill="1"/>
    <xf numFmtId="0" fontId="2" fillId="0" borderId="24" xfId="0" applyFont="1" applyBorder="1"/>
    <xf numFmtId="43" fontId="0" fillId="11" borderId="0" xfId="1" applyFont="1" applyFill="1" applyBorder="1"/>
    <xf numFmtId="173" fontId="33" fillId="0" borderId="0" xfId="0" applyNumberFormat="1" applyFont="1"/>
    <xf numFmtId="43" fontId="0" fillId="0" borderId="0" xfId="1" applyFont="1" applyFill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" fontId="0" fillId="0" borderId="1" xfId="0" applyNumberFormat="1" applyBorder="1"/>
    <xf numFmtId="9" fontId="0" fillId="0" borderId="1" xfId="0" applyNumberFormat="1" applyBorder="1"/>
    <xf numFmtId="1" fontId="34" fillId="0" borderId="1" xfId="0" applyNumberFormat="1" applyFont="1" applyBorder="1"/>
    <xf numFmtId="173" fontId="34" fillId="0" borderId="1" xfId="0" applyNumberFormat="1" applyFont="1" applyBorder="1"/>
    <xf numFmtId="0" fontId="0" fillId="0" borderId="23" xfId="0" applyBorder="1" applyAlignment="1">
      <alignment wrapText="1"/>
    </xf>
    <xf numFmtId="1" fontId="0" fillId="0" borderId="23" xfId="0" applyNumberFormat="1" applyBorder="1"/>
    <xf numFmtId="0" fontId="0" fillId="11" borderId="0" xfId="0" applyFill="1" applyAlignment="1">
      <alignment wrapText="1"/>
    </xf>
    <xf numFmtId="2" fontId="0" fillId="0" borderId="23" xfId="0" applyNumberFormat="1" applyBorder="1"/>
    <xf numFmtId="0" fontId="33" fillId="0" borderId="21" xfId="0" applyFont="1" applyBorder="1"/>
    <xf numFmtId="0" fontId="33" fillId="0" borderId="23" xfId="0" applyFont="1" applyBorder="1"/>
    <xf numFmtId="10" fontId="33" fillId="0" borderId="23" xfId="0" applyNumberFormat="1" applyFont="1" applyBorder="1"/>
    <xf numFmtId="0" fontId="0" fillId="0" borderId="25" xfId="0" applyBorder="1"/>
    <xf numFmtId="0" fontId="34" fillId="7" borderId="0" xfId="0" applyFont="1" applyFill="1"/>
    <xf numFmtId="167" fontId="2" fillId="0" borderId="0" xfId="0" applyNumberFormat="1" applyFont="1"/>
    <xf numFmtId="10" fontId="31" fillId="0" borderId="0" xfId="0" applyNumberFormat="1" applyFont="1"/>
    <xf numFmtId="10" fontId="0" fillId="2" borderId="0" xfId="0" applyNumberFormat="1" applyFill="1"/>
    <xf numFmtId="0" fontId="34" fillId="2" borderId="0" xfId="0" applyFont="1" applyFill="1"/>
    <xf numFmtId="173" fontId="0" fillId="2" borderId="0" xfId="0" applyNumberFormat="1" applyFill="1"/>
    <xf numFmtId="10" fontId="34" fillId="2" borderId="0" xfId="0" applyNumberFormat="1" applyFont="1" applyFill="1"/>
    <xf numFmtId="0" fontId="34" fillId="3" borderId="0" xfId="0" applyFont="1" applyFill="1" applyAlignment="1">
      <alignment vertical="center"/>
    </xf>
    <xf numFmtId="173" fontId="0" fillId="3" borderId="0" xfId="0" applyNumberFormat="1" applyFill="1"/>
    <xf numFmtId="10" fontId="34" fillId="3" borderId="0" xfId="0" applyNumberFormat="1" applyFont="1" applyFill="1"/>
    <xf numFmtId="0" fontId="0" fillId="3" borderId="0" xfId="0" applyFill="1"/>
    <xf numFmtId="0" fontId="34" fillId="12" borderId="0" xfId="0" applyFont="1" applyFill="1"/>
    <xf numFmtId="43" fontId="0" fillId="12" borderId="0" xfId="1" applyFont="1" applyFill="1"/>
    <xf numFmtId="10" fontId="34" fillId="12" borderId="0" xfId="0" applyNumberFormat="1" applyFont="1" applyFill="1"/>
    <xf numFmtId="10" fontId="33" fillId="0" borderId="0" xfId="0" applyNumberFormat="1" applyFont="1" applyAlignment="1">
      <alignment wrapText="1"/>
    </xf>
    <xf numFmtId="173" fontId="0" fillId="7" borderId="0" xfId="0" applyNumberFormat="1" applyFill="1"/>
    <xf numFmtId="10" fontId="34" fillId="7" borderId="0" xfId="0" applyNumberFormat="1" applyFont="1" applyFill="1"/>
    <xf numFmtId="0" fontId="34" fillId="2" borderId="10" xfId="0" applyFont="1" applyFill="1" applyBorder="1"/>
    <xf numFmtId="0" fontId="34" fillId="2" borderId="20" xfId="0" applyFont="1" applyFill="1" applyBorder="1"/>
    <xf numFmtId="174" fontId="0" fillId="2" borderId="0" xfId="0" applyNumberFormat="1" applyFill="1"/>
    <xf numFmtId="0" fontId="40" fillId="10" borderId="0" xfId="0" applyFont="1" applyFill="1" applyAlignment="1">
      <alignment horizontal="left" indent="1"/>
    </xf>
    <xf numFmtId="173" fontId="40" fillId="5" borderId="0" xfId="0" applyNumberFormat="1" applyFont="1" applyFill="1"/>
    <xf numFmtId="0" fontId="3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33" fillId="5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1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18">
    <cellStyle name="Comma" xfId="1" builtinId="3"/>
    <cellStyle name="Euro" xfId="10" xr:uid="{1FBD658F-4E3F-4987-9AEC-397150FCD943}"/>
    <cellStyle name="Hyperlink" xfId="2" builtinId="8"/>
    <cellStyle name="Migliaia 2" xfId="4" xr:uid="{00000000-0005-0000-0000-000002000000}"/>
    <cellStyle name="Milliers 2" xfId="12" xr:uid="{4EE64A51-F470-4E66-98D5-A6B63B0E052A}"/>
    <cellStyle name="Milliers 3" xfId="14" xr:uid="{B7AF8BCE-19A3-4DC7-961D-24A4B3D9A9E7}"/>
    <cellStyle name="Milliers 4" xfId="6" xr:uid="{B83AC316-C428-4167-955B-11703C7C8F2E}"/>
    <cellStyle name="Monétaire 2" xfId="15" xr:uid="{6AE42F02-A036-4590-895F-40B79DEC6FDE}"/>
    <cellStyle name="Monétaire 3" xfId="7" xr:uid="{5DEE39CB-2168-4D75-86E5-5F00460D6CFB}"/>
    <cellStyle name="Normal" xfId="0" builtinId="0"/>
    <cellStyle name="Normal 2" xfId="9" xr:uid="{364F8E78-D33C-4611-9153-B4495EB55AAB}"/>
    <cellStyle name="Normal 2 2" xfId="13" xr:uid="{B9A76294-BDF3-47C0-B089-65462DF33395}"/>
    <cellStyle name="Normal 3" xfId="11" xr:uid="{ACA7A2F1-C61E-4523-8F5A-693BA6C96A32}"/>
    <cellStyle name="Normal 3 2" xfId="16" xr:uid="{DBC21F8A-A9FC-4899-9AC3-9C2CEF86CC7B}"/>
    <cellStyle name="Normal 4" xfId="17" xr:uid="{0F356D3D-9D1B-4287-BC08-8D749A3001A9}"/>
    <cellStyle name="Normal 5" xfId="5" xr:uid="{08667860-44B2-45ED-A5AF-F3E167863423}"/>
    <cellStyle name="Percent" xfId="3" builtinId="5"/>
    <cellStyle name="Pourcentage 2" xfId="8" xr:uid="{39D054FC-B865-4AE8-A879-A2F5332A04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'Summary Tables'!$D$46</c:f>
              <c:strCache>
                <c:ptCount val="1"/>
                <c:pt idx="0">
                  <c:v>WOP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64A-465F-B539-DF23A987D6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64A-465F-B539-DF23A987D6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64A-465F-B539-DF23A987D6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64A-465F-B539-DF23A987D6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64A-465F-B539-DF23A987D6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64A-465F-B539-DF23A987D6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'Summary Tables'!$A$47:$A$52</c:f>
              <c:strCache>
                <c:ptCount val="6"/>
                <c:pt idx="0">
                  <c:v>Methane from enteric fermentation</c:v>
                </c:pt>
                <c:pt idx="1">
                  <c:v>Methane from manure management</c:v>
                </c:pt>
                <c:pt idx="2">
                  <c:v>Nitrous oxide from manure management</c:v>
                </c:pt>
                <c:pt idx="3">
                  <c:v>Nitrous oxide from manure applied and deposited</c:v>
                </c:pt>
                <c:pt idx="4">
                  <c:v>Carbon dioxide from energy use</c:v>
                </c:pt>
                <c:pt idx="5">
                  <c:v>Carbon dioxide and nitrous oxide from feed </c:v>
                </c:pt>
              </c:strCache>
            </c:strRef>
          </c:cat>
          <c:val>
            <c:numRef>
              <c:f>'Summary Tables'!$D$47:$D$52</c:f>
              <c:numCache>
                <c:formatCode>0%</c:formatCode>
                <c:ptCount val="6"/>
                <c:pt idx="0">
                  <c:v>0.61576136101420087</c:v>
                </c:pt>
                <c:pt idx="1">
                  <c:v>0.12688555457053599</c:v>
                </c:pt>
                <c:pt idx="2">
                  <c:v>3.6222589048069603E-2</c:v>
                </c:pt>
                <c:pt idx="3">
                  <c:v>0.11855948666322741</c:v>
                </c:pt>
                <c:pt idx="4">
                  <c:v>1.5834582659461673E-2</c:v>
                </c:pt>
                <c:pt idx="5">
                  <c:v>8.6736426044504461E-2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E-4867-BE03-1B25FC85899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Emissions intensity milk (kg CO2eq/kg milk)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 2024'!$AB$23:$AC$23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 2024'!$AB$24:$AC$24</c:f>
              <c:numCache>
                <c:formatCode>0.00</c:formatCode>
                <c:ptCount val="2"/>
                <c:pt idx="0">
                  <c:v>4.5532132926721989</c:v>
                </c:pt>
                <c:pt idx="1">
                  <c:v>2.2859270797573479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E9-4D92-BDAF-C1BDBB229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6523759"/>
        <c:axId val="1387046592"/>
      </c:barChart>
      <c:catAx>
        <c:axId val="1036523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046592"/>
        <c:crosses val="autoZero"/>
        <c:auto val="1"/>
        <c:lblAlgn val="ctr"/>
        <c:lblOffset val="100"/>
        <c:noMultiLvlLbl val="0"/>
      </c:catAx>
      <c:valAx>
        <c:axId val="13870465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523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milk production (t milk/year)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 2024'!$AB$42:$AC$42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 2024'!$AB$43:$AC$43</c:f>
              <c:numCache>
                <c:formatCode>_-* #,##0_-;\-* #,##0_-;_-* "-"??_-;_-@_-</c:formatCode>
                <c:ptCount val="2"/>
                <c:pt idx="0">
                  <c:v>89504.766400000008</c:v>
                </c:pt>
                <c:pt idx="1">
                  <c:v>154678.7996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7-41F4-8907-A42F2D745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4413440"/>
        <c:axId val="1225439056"/>
      </c:barChart>
      <c:catAx>
        <c:axId val="97441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439056"/>
        <c:crosses val="autoZero"/>
        <c:auto val="1"/>
        <c:lblAlgn val="ctr"/>
        <c:lblOffset val="100"/>
        <c:noMultiLvlLbl val="0"/>
      </c:catAx>
      <c:valAx>
        <c:axId val="12254390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41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feed intake (t DM/year)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 2024'!$AB$62:$AC$62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 2024'!$AB$63:$AC$63</c:f>
              <c:numCache>
                <c:formatCode>_-* #,##0_-;\-* #,##0_-;_-* "-"??_-;_-@_-</c:formatCode>
                <c:ptCount val="2"/>
                <c:pt idx="0">
                  <c:v>850760.11785000004</c:v>
                </c:pt>
                <c:pt idx="1">
                  <c:v>749752.00065000018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7A-43B8-9604-8DED7D977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3237232"/>
        <c:axId val="1037761872"/>
      </c:barChart>
      <c:catAx>
        <c:axId val="105323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761872"/>
        <c:crosses val="autoZero"/>
        <c:auto val="1"/>
        <c:lblAlgn val="ctr"/>
        <c:lblOffset val="100"/>
        <c:noMultiLvlLbl val="0"/>
      </c:catAx>
      <c:valAx>
        <c:axId val="10377618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23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Emissions Trend in 20 years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'Summary Tables 2024'!$AI$9</c:f>
              <c:strCache>
                <c:ptCount val="1"/>
                <c:pt idx="0">
                  <c:v>WOP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'Summary Tables 2024'!$AH$10:$AH$35</c:f>
              <c:strCache>
                <c:ptCount val="21"/>
                <c:pt idx="0">
                  <c:v>Year 0</c:v>
                </c:pt>
                <c:pt idx="1">
                  <c:v>Year 1</c:v>
                </c:pt>
                <c:pt idx="2">
                  <c:v>Year 2</c:v>
                </c:pt>
                <c:pt idx="3">
                  <c:v>Year 3</c:v>
                </c:pt>
                <c:pt idx="4">
                  <c:v>Year 4</c:v>
                </c:pt>
                <c:pt idx="5">
                  <c:v>Year 5</c:v>
                </c:pt>
                <c:pt idx="6">
                  <c:v>Year 6</c:v>
                </c:pt>
                <c:pt idx="7">
                  <c:v>Year 7</c:v>
                </c:pt>
                <c:pt idx="8">
                  <c:v>Year 8</c:v>
                </c:pt>
                <c:pt idx="9">
                  <c:v>Year 9</c:v>
                </c:pt>
                <c:pt idx="10">
                  <c:v>Year 10</c:v>
                </c:pt>
                <c:pt idx="11">
                  <c:v>Year 11</c:v>
                </c:pt>
                <c:pt idx="12">
                  <c:v>Year 12</c:v>
                </c:pt>
                <c:pt idx="13">
                  <c:v>Year 13</c:v>
                </c:pt>
                <c:pt idx="14">
                  <c:v>Year 14</c:v>
                </c:pt>
                <c:pt idx="15">
                  <c:v>Year 15</c:v>
                </c:pt>
                <c:pt idx="16">
                  <c:v>Year 16</c:v>
                </c:pt>
                <c:pt idx="17">
                  <c:v>Year 17</c:v>
                </c:pt>
                <c:pt idx="18">
                  <c:v>Year 18</c:v>
                </c:pt>
                <c:pt idx="19">
                  <c:v>Year 19</c:v>
                </c:pt>
                <c:pt idx="20">
                  <c:v>Year 20</c:v>
                </c:pt>
              </c:strCache>
            </c:strRef>
          </c:xVal>
          <c:yVal>
            <c:numRef>
              <c:f>'Summary Tables 2024'!$AI$10:$AI$35</c:f>
              <c:numCache>
                <c:formatCode>_-* #,##0_-;\-* #,##0_-;_-* "-"??_-;_-@_-</c:formatCode>
                <c:ptCount val="26"/>
                <c:pt idx="0">
                  <c:v>440319.45545000001</c:v>
                </c:pt>
                <c:pt idx="1">
                  <c:v>447844.37512849999</c:v>
                </c:pt>
                <c:pt idx="2">
                  <c:v>455369.29480699997</c:v>
                </c:pt>
                <c:pt idx="3">
                  <c:v>462894.21448549995</c:v>
                </c:pt>
                <c:pt idx="4">
                  <c:v>470419.13416399993</c:v>
                </c:pt>
                <c:pt idx="5">
                  <c:v>477944.05384249991</c:v>
                </c:pt>
                <c:pt idx="6">
                  <c:v>485468.97352099989</c:v>
                </c:pt>
                <c:pt idx="7">
                  <c:v>492993.89319949987</c:v>
                </c:pt>
                <c:pt idx="8">
                  <c:v>500518.81287799985</c:v>
                </c:pt>
                <c:pt idx="9">
                  <c:v>508043.73255649983</c:v>
                </c:pt>
                <c:pt idx="10">
                  <c:v>515568.65223499981</c:v>
                </c:pt>
                <c:pt idx="11">
                  <c:v>523093.57191349979</c:v>
                </c:pt>
                <c:pt idx="12">
                  <c:v>530618.49159199977</c:v>
                </c:pt>
                <c:pt idx="13">
                  <c:v>538143.41127049981</c:v>
                </c:pt>
                <c:pt idx="14">
                  <c:v>545668.33094899985</c:v>
                </c:pt>
                <c:pt idx="15">
                  <c:v>553193.25062749989</c:v>
                </c:pt>
                <c:pt idx="16">
                  <c:v>560718.17030599993</c:v>
                </c:pt>
                <c:pt idx="17">
                  <c:v>568243.08998449997</c:v>
                </c:pt>
                <c:pt idx="18">
                  <c:v>575768.009663</c:v>
                </c:pt>
                <c:pt idx="19">
                  <c:v>583292.92934150004</c:v>
                </c:pt>
                <c:pt idx="20">
                  <c:v>590817.84902000008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3D-46DD-9D95-8304BB7464F2}"/>
            </c:ext>
          </c:extLst>
        </c:ser>
        <c:ser>
          <c:idx val="1"/>
          <c:order val="1"/>
          <c:tx>
            <c:strRef>
              <c:f>'Summary Tables 2024'!$AJ$9</c:f>
              <c:strCache>
                <c:ptCount val="1"/>
                <c:pt idx="0">
                  <c:v>DaIMA</c:v>
                </c:pt>
              </c:strCache>
            </c:strRef>
          </c:tx>
          <c:spPr>
            <a:ln w="19050" cap="rnd">
              <a:solidFill>
                <a:schemeClr val="accent3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'Summary Tables 2024'!$AH$10:$AH$35</c:f>
              <c:strCache>
                <c:ptCount val="21"/>
                <c:pt idx="0">
                  <c:v>Year 0</c:v>
                </c:pt>
                <c:pt idx="1">
                  <c:v>Year 1</c:v>
                </c:pt>
                <c:pt idx="2">
                  <c:v>Year 2</c:v>
                </c:pt>
                <c:pt idx="3">
                  <c:v>Year 3</c:v>
                </c:pt>
                <c:pt idx="4">
                  <c:v>Year 4</c:v>
                </c:pt>
                <c:pt idx="5">
                  <c:v>Year 5</c:v>
                </c:pt>
                <c:pt idx="6">
                  <c:v>Year 6</c:v>
                </c:pt>
                <c:pt idx="7">
                  <c:v>Year 7</c:v>
                </c:pt>
                <c:pt idx="8">
                  <c:v>Year 8</c:v>
                </c:pt>
                <c:pt idx="9">
                  <c:v>Year 9</c:v>
                </c:pt>
                <c:pt idx="10">
                  <c:v>Year 10</c:v>
                </c:pt>
                <c:pt idx="11">
                  <c:v>Year 11</c:v>
                </c:pt>
                <c:pt idx="12">
                  <c:v>Year 12</c:v>
                </c:pt>
                <c:pt idx="13">
                  <c:v>Year 13</c:v>
                </c:pt>
                <c:pt idx="14">
                  <c:v>Year 14</c:v>
                </c:pt>
                <c:pt idx="15">
                  <c:v>Year 15</c:v>
                </c:pt>
                <c:pt idx="16">
                  <c:v>Year 16</c:v>
                </c:pt>
                <c:pt idx="17">
                  <c:v>Year 17</c:v>
                </c:pt>
                <c:pt idx="18">
                  <c:v>Year 18</c:v>
                </c:pt>
                <c:pt idx="19">
                  <c:v>Year 19</c:v>
                </c:pt>
                <c:pt idx="20">
                  <c:v>Year 20</c:v>
                </c:pt>
              </c:strCache>
            </c:strRef>
          </c:xVal>
          <c:yVal>
            <c:numRef>
              <c:f>'Summary Tables 2024'!$AJ$10:$AJ$35</c:f>
              <c:numCache>
                <c:formatCode>_-* #,##0_-;\-* #,##0_-;_-* "-"??_-;_-@_-</c:formatCode>
                <c:ptCount val="26"/>
                <c:pt idx="0">
                  <c:v>440319.45545000001</c:v>
                </c:pt>
                <c:pt idx="1">
                  <c:v>445019.05422799999</c:v>
                </c:pt>
                <c:pt idx="2">
                  <c:v>449718.65300599998</c:v>
                </c:pt>
                <c:pt idx="3">
                  <c:v>454418.25178399996</c:v>
                </c:pt>
                <c:pt idx="4">
                  <c:v>459117.85056199995</c:v>
                </c:pt>
                <c:pt idx="5">
                  <c:v>463817.44933999993</c:v>
                </c:pt>
                <c:pt idx="6">
                  <c:v>468517.04811799992</c:v>
                </c:pt>
                <c:pt idx="7">
                  <c:v>473216.6468959999</c:v>
                </c:pt>
                <c:pt idx="8">
                  <c:v>477916.24567399989</c:v>
                </c:pt>
                <c:pt idx="9">
                  <c:v>482615.84445199987</c:v>
                </c:pt>
                <c:pt idx="10">
                  <c:v>487315.44322999986</c:v>
                </c:pt>
                <c:pt idx="11">
                  <c:v>492015.04200799984</c:v>
                </c:pt>
                <c:pt idx="12">
                  <c:v>496714.64078599983</c:v>
                </c:pt>
                <c:pt idx="13">
                  <c:v>501414.23956399981</c:v>
                </c:pt>
                <c:pt idx="14">
                  <c:v>506113.8383419998</c:v>
                </c:pt>
                <c:pt idx="15">
                  <c:v>510813.43711999978</c:v>
                </c:pt>
                <c:pt idx="16">
                  <c:v>515513.03589799977</c:v>
                </c:pt>
                <c:pt idx="17">
                  <c:v>520212.63467599975</c:v>
                </c:pt>
                <c:pt idx="18">
                  <c:v>524912.23345399974</c:v>
                </c:pt>
                <c:pt idx="19">
                  <c:v>529611.83223199972</c:v>
                </c:pt>
                <c:pt idx="20">
                  <c:v>534311.43100999971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3D-46DD-9D95-8304BB74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522319"/>
        <c:axId val="1223589568"/>
      </c:scatterChart>
      <c:valAx>
        <c:axId val="1036522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589568"/>
        <c:crosses val="autoZero"/>
        <c:crossBetween val="midCat"/>
      </c:valAx>
      <c:valAx>
        <c:axId val="122358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5223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'Summary Tables'!$E$46</c:f>
              <c:strCache>
                <c:ptCount val="1"/>
                <c:pt idx="0">
                  <c:v>With DaIMA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B36-4107-AF4A-6553456C9F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B36-4107-AF4A-6553456C9F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B36-4107-AF4A-6553456C9F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B36-4107-AF4A-6553456C9F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B36-4107-AF4A-6553456C9F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B36-4107-AF4A-6553456C9F2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'Summary Tables'!$A$47:$A$52</c:f>
              <c:strCache>
                <c:ptCount val="6"/>
                <c:pt idx="0">
                  <c:v>Methane from enteric fermentation</c:v>
                </c:pt>
                <c:pt idx="1">
                  <c:v>Methane from manure management</c:v>
                </c:pt>
                <c:pt idx="2">
                  <c:v>Nitrous oxide from manure management</c:v>
                </c:pt>
                <c:pt idx="3">
                  <c:v>Nitrous oxide from manure applied and deposited</c:v>
                </c:pt>
                <c:pt idx="4">
                  <c:v>Carbon dioxide from energy use</c:v>
                </c:pt>
                <c:pt idx="5">
                  <c:v>Carbon dioxide and nitrous oxide from feed </c:v>
                </c:pt>
              </c:strCache>
            </c:strRef>
          </c:cat>
          <c:val>
            <c:numRef>
              <c:f>'Summary Tables'!$E$47:$E$52</c:f>
              <c:numCache>
                <c:formatCode>0%</c:formatCode>
                <c:ptCount val="6"/>
                <c:pt idx="0">
                  <c:v>0.61140044214596911</c:v>
                </c:pt>
                <c:pt idx="1">
                  <c:v>0.13053339064492095</c:v>
                </c:pt>
                <c:pt idx="2">
                  <c:v>2.2829214505437883E-2</c:v>
                </c:pt>
                <c:pt idx="3">
                  <c:v>0.12914148396629052</c:v>
                </c:pt>
                <c:pt idx="4">
                  <c:v>1.9288599313184572E-2</c:v>
                </c:pt>
                <c:pt idx="5">
                  <c:v>8.680686942419695E-2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B-4CDB-94D3-36C28C24FD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feed intake (t DM/year)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Tables'!$M$63:$N$63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Tables'!$M$64:$N$64</c:f>
              <c:numCache>
                <c:formatCode>#,##0</c:formatCode>
                <c:ptCount val="2"/>
                <c:pt idx="0">
                  <c:v>4339779.6558800004</c:v>
                </c:pt>
                <c:pt idx="1">
                  <c:v>7769845.5119099999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1-44AB-88ED-31B69BCC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4034512"/>
        <c:axId val="724058384"/>
      </c:barChart>
      <c:catAx>
        <c:axId val="78403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058384"/>
        <c:crosses val="autoZero"/>
        <c:auto val="1"/>
        <c:lblAlgn val="ctr"/>
        <c:lblOffset val="100"/>
        <c:noMultiLvlLbl val="0"/>
      </c:catAx>
      <c:valAx>
        <c:axId val="72405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034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Total milk production (t milk/year)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Tables'!$M$44:$N$44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Tables'!$M$45:$N$45</c:f>
              <c:numCache>
                <c:formatCode>#,##0</c:formatCode>
                <c:ptCount val="2"/>
                <c:pt idx="0">
                  <c:v>549887.27772999986</c:v>
                </c:pt>
                <c:pt idx="1">
                  <c:v>886867.00710000005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5-4222-84EC-B208CF29E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2069264"/>
        <c:axId val="1629165552"/>
      </c:barChart>
      <c:catAx>
        <c:axId val="128206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165552"/>
        <c:crosses val="autoZero"/>
        <c:auto val="1"/>
        <c:lblAlgn val="ctr"/>
        <c:lblOffset val="100"/>
        <c:noMultiLvlLbl val="0"/>
      </c:catAx>
      <c:valAx>
        <c:axId val="162916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06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Emissions intensity milk (kg CO2eq/kg milk)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Tables'!$M$24:$N$24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Tables'!$M$25:$N$25</c:f>
              <c:numCache>
                <c:formatCode>#,##0.00</c:formatCode>
                <c:ptCount val="2"/>
                <c:pt idx="0">
                  <c:v>1.5338114872592659</c:v>
                </c:pt>
                <c:pt idx="1">
                  <c:v>1.2210064114019965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0-482B-83EC-E3BDD5536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4337728"/>
        <c:axId val="1637912048"/>
      </c:barChart>
      <c:catAx>
        <c:axId val="163433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912048"/>
        <c:crosses val="autoZero"/>
        <c:auto val="1"/>
        <c:lblAlgn val="ctr"/>
        <c:lblOffset val="100"/>
        <c:noMultiLvlLbl val="0"/>
      </c:catAx>
      <c:valAx>
        <c:axId val="163791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337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Total emissions (t CO2eq/year)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Tables'!$M$3:$N$3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Tables'!$M$4:$N$4</c:f>
              <c:numCache>
                <c:formatCode>#,##0</c:formatCode>
                <c:ptCount val="2"/>
                <c:pt idx="0">
                  <c:v>843423.4232800001</c:v>
                </c:pt>
                <c:pt idx="1">
                  <c:v>1082870.3017299999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E-4F6E-96F7-7150E9D31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4028272"/>
        <c:axId val="724050944"/>
      </c:barChart>
      <c:catAx>
        <c:axId val="78402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050944"/>
        <c:crosses val="autoZero"/>
        <c:auto val="1"/>
        <c:lblAlgn val="ctr"/>
        <c:lblOffset val="100"/>
        <c:noMultiLvlLbl val="0"/>
      </c:catAx>
      <c:valAx>
        <c:axId val="7240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02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'Summary Tables 2024'!$H$46</c:f>
              <c:strCache>
                <c:ptCount val="1"/>
                <c:pt idx="0">
                  <c:v>WOP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96-47BF-BBEF-9DF15CEB40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B96-47BF-BBEF-9DF15CEB40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B96-47BF-BBEF-9DF15CEB40A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B96-47BF-BBEF-9DF15CEB40A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B96-47BF-BBEF-9DF15CEB40A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B96-47BF-BBEF-9DF15CEB40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'Summary Tables 2024'!$A$47:$A$52</c:f>
              <c:strCache>
                <c:ptCount val="6"/>
                <c:pt idx="0">
                  <c:v>CH4 from enteric fermentation</c:v>
                </c:pt>
                <c:pt idx="1">
                  <c:v>CH4 from manure management</c:v>
                </c:pt>
                <c:pt idx="2">
                  <c:v>N2O from manure management</c:v>
                </c:pt>
                <c:pt idx="3">
                  <c:v>N2O from Feed production</c:v>
                </c:pt>
                <c:pt idx="4">
                  <c:v>CO2 from energy use</c:v>
                </c:pt>
                <c:pt idx="5">
                  <c:v>CO2 from feed production</c:v>
                </c:pt>
              </c:strCache>
            </c:strRef>
          </c:cat>
          <c:val>
            <c:numRef>
              <c:f>'Summary Tables 2024'!$H$47:$H$52</c:f>
              <c:numCache>
                <c:formatCode>0.0%</c:formatCode>
                <c:ptCount val="6"/>
                <c:pt idx="0">
                  <c:v>0.81895128729236899</c:v>
                </c:pt>
                <c:pt idx="1">
                  <c:v>6.7520917109692394E-2</c:v>
                </c:pt>
                <c:pt idx="2">
                  <c:v>5.6265716614649207E-2</c:v>
                </c:pt>
                <c:pt idx="3" formatCode="0.00%">
                  <c:v>2.8084234539237535E-4</c:v>
                </c:pt>
                <c:pt idx="4">
                  <c:v>5.645788196726109E-3</c:v>
                </c:pt>
                <c:pt idx="5">
                  <c:v>5.1335448441171098E-2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37-442E-A198-3EE3DDC9007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'Summary Tables 2024'!$I$46</c:f>
              <c:strCache>
                <c:ptCount val="1"/>
                <c:pt idx="0">
                  <c:v>DaIMA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95-43A9-8BA9-145DF24CED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F95-43A9-8BA9-145DF24CED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F95-43A9-8BA9-145DF24CED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F95-43A9-8BA9-145DF24CED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F95-43A9-8BA9-145DF24CED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F95-43A9-8BA9-145DF24CED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'Summary Tables 2024'!$A$47:$A$52</c:f>
              <c:strCache>
                <c:ptCount val="6"/>
                <c:pt idx="0">
                  <c:v>CH4 from enteric fermentation</c:v>
                </c:pt>
                <c:pt idx="1">
                  <c:v>CH4 from manure management</c:v>
                </c:pt>
                <c:pt idx="2">
                  <c:v>N2O from manure management</c:v>
                </c:pt>
                <c:pt idx="3">
                  <c:v>N2O from Feed production</c:v>
                </c:pt>
                <c:pt idx="4">
                  <c:v>CO2 from energy use</c:v>
                </c:pt>
                <c:pt idx="5">
                  <c:v>CO2 from feed production</c:v>
                </c:pt>
              </c:strCache>
            </c:strRef>
          </c:cat>
          <c:val>
            <c:numRef>
              <c:f>'Summary Tables 2024'!$I$47:$I$52</c:f>
              <c:numCache>
                <c:formatCode>0.0%</c:formatCode>
                <c:ptCount val="6"/>
                <c:pt idx="0">
                  <c:v>0.80466945033588499</c:v>
                </c:pt>
                <c:pt idx="1">
                  <c:v>6.1600956734184989E-2</c:v>
                </c:pt>
                <c:pt idx="2">
                  <c:v>6.621605460348888E-2</c:v>
                </c:pt>
                <c:pt idx="3" formatCode="0.00%">
                  <c:v>2.21241253592244E-4</c:v>
                </c:pt>
                <c:pt idx="4">
                  <c:v>9.8637045364003226E-3</c:v>
                </c:pt>
                <c:pt idx="5">
                  <c:v>5.742859253644865E-2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7-4B15-90D7-A9236CF1957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emissions (t CO2eq/year)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'Summary Tables 2024'!$AB$3:$AC$3</c:f>
              <c:strCache>
                <c:ptCount val="2"/>
                <c:pt idx="0">
                  <c:v>WOP</c:v>
                </c:pt>
                <c:pt idx="1">
                  <c:v>With DaIMA</c:v>
                </c:pt>
              </c:strCache>
            </c:strRef>
          </c:cat>
          <c:val>
            <c:numRef>
              <c:f>'Summary Tables 2024'!$AB$4:$AC$4</c:f>
              <c:numCache>
                <c:formatCode>_-* #,##0_-;\-* #,##0_-;_-* "-"??_-;_-@_-</c:formatCode>
                <c:ptCount val="2"/>
                <c:pt idx="0">
                  <c:v>590817.84901999997</c:v>
                </c:pt>
                <c:pt idx="1">
                  <c:v>534311.43101000006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D-4434-9B7F-442E00CD3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5790656"/>
        <c:axId val="1386836800"/>
      </c:barChart>
      <c:catAx>
        <c:axId val="149579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6836800"/>
        <c:crosses val="autoZero"/>
        <c:auto val="1"/>
        <c:lblAlgn val="ctr"/>
        <c:lblOffset val="100"/>
        <c:noMultiLvlLbl val="0"/>
      </c:catAx>
      <c:valAx>
        <c:axId val="1386836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579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746760</xdr:colOff>
      <xdr:row>53</xdr:row>
      <xdr:rowOff>148590</xdr:rowOff>
    </xdr:from>
    <xdr:to>
      <xdr:col>3</xdr:col>
      <xdr:colOff>762000</xdr:colOff>
      <xdr:row>68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9A04EC-B6FB-247F-434F-97422D7EB3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762000</xdr:colOff>
      <xdr:row>53</xdr:row>
      <xdr:rowOff>148590</xdr:rowOff>
    </xdr:from>
    <xdr:to>
      <xdr:col>8</xdr:col>
      <xdr:colOff>586740</xdr:colOff>
      <xdr:row>68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A58D03-328A-CD21-1534-DBA331093E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274320</xdr:colOff>
      <xdr:row>64</xdr:row>
      <xdr:rowOff>102870</xdr:rowOff>
    </xdr:from>
    <xdr:to>
      <xdr:col>18</xdr:col>
      <xdr:colOff>441960</xdr:colOff>
      <xdr:row>79</xdr:row>
      <xdr:rowOff>102870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00E2A7-47D6-6A14-2DF8-1DD86F32A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579120</xdr:colOff>
      <xdr:row>45</xdr:row>
      <xdr:rowOff>87630</xdr:rowOff>
    </xdr:from>
    <xdr:to>
      <xdr:col>18</xdr:col>
      <xdr:colOff>137160</xdr:colOff>
      <xdr:row>60</xdr:row>
      <xdr:rowOff>87630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E31D75-01B3-4C95-F45A-115AE00F77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15240</xdr:colOff>
      <xdr:row>25</xdr:row>
      <xdr:rowOff>156210</xdr:rowOff>
    </xdr:from>
    <xdr:to>
      <xdr:col>18</xdr:col>
      <xdr:colOff>182880</xdr:colOff>
      <xdr:row>40</xdr:row>
      <xdr:rowOff>156210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37460FD-100D-3A19-4E73-298E89962C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495300</xdr:colOff>
      <xdr:row>5</xdr:row>
      <xdr:rowOff>11430</xdr:rowOff>
    </xdr:from>
    <xdr:to>
      <xdr:col>18</xdr:col>
      <xdr:colOff>53340</xdr:colOff>
      <xdr:row>20</xdr:row>
      <xdr:rowOff>11430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C5D0AC2-D859-4C0F-C14C-3D0B2DE611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475200</xdr:colOff>
      <xdr:row>7</xdr:row>
      <xdr:rowOff>5554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D433F86-9431-01CF-4ED0-BDF52A18D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400000" cy="1285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664847</xdr:colOff>
      <xdr:row>54</xdr:row>
      <xdr:rowOff>58102</xdr:rowOff>
    </xdr:from>
    <xdr:to>
      <xdr:col>11</xdr:col>
      <xdr:colOff>193065</xdr:colOff>
      <xdr:row>69</xdr:row>
      <xdr:rowOff>97962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679C1279-467C-F803-CDD7-3F3846D29B5E}"/>
            </a:ext>
          </a:extLst>
        </xdr:cNvPr>
        <xdr:cNvGrpSpPr/>
      </xdr:nvGrpSpPr>
      <xdr:grpSpPr>
        <a:xfrm>
          <a:off x="3007997" y="10135552"/>
          <a:ext cx="8224543" cy="2754485"/>
          <a:chOff x="3075255" y="10030194"/>
          <a:chExt cx="8411739" cy="2809885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E6770749-24D4-5FAF-1282-F20A6A4C98F4}"/>
              </a:ext>
            </a:extLst>
          </xdr:cNvPr>
          <xdr:cNvGraphicFramePr/>
        </xdr:nvGraphicFramePr>
        <xdr:xfrm>
          <a:off x="3075255" y="10030194"/>
          <a:ext cx="4251258" cy="28043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3E0634EC-1DEE-F185-8683-44D5CB5BB206}"/>
              </a:ext>
            </a:extLst>
          </xdr:cNvPr>
          <xdr:cNvGraphicFramePr/>
        </xdr:nvGraphicFramePr>
        <xdr:xfrm>
          <a:off x="7363080" y="10031954"/>
          <a:ext cx="4123914" cy="2808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40</xdr:col>
      <xdr:colOff>201929</xdr:colOff>
      <xdr:row>28</xdr:row>
      <xdr:rowOff>35242</xdr:rowOff>
    </xdr:from>
    <xdr:to>
      <xdr:col>52</xdr:col>
      <xdr:colOff>103297</xdr:colOff>
      <xdr:row>45</xdr:row>
      <xdr:rowOff>1011</xdr:rowOff>
    </xdr:to>
    <xdr:grpSp>
      <xdr:nvGrpSpPr>
        <xdr:cNvPr id="10" name="Groupe 9">
          <a:extLst>
            <a:ext uri="{FF2B5EF4-FFF2-40B4-BE49-F238E27FC236}">
              <a16:creationId xmlns:a16="http://schemas.microsoft.com/office/drawing/2014/main" id="{4292E14C-1BB0-3C32-6218-5C1B165588F8}"/>
            </a:ext>
            <a:ext uri="{147F2762-F138-4A5C-976F-8EAC2B608ADB}">
              <a16:predDERef xmlns:a16="http://schemas.microsoft.com/office/drawing/2014/main" pred="{679C1279-467C-F803-CDD7-3F3846D29B5E}"/>
            </a:ext>
          </a:extLst>
        </xdr:cNvPr>
        <xdr:cNvGrpSpPr/>
      </xdr:nvGrpSpPr>
      <xdr:grpSpPr>
        <a:xfrm>
          <a:off x="33634679" y="5407342"/>
          <a:ext cx="6987968" cy="3042344"/>
          <a:chOff x="23870971" y="850115"/>
          <a:chExt cx="7185077" cy="3084332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12983060-FDDA-959C-5588-161E70052A98}"/>
              </a:ext>
            </a:extLst>
          </xdr:cNvPr>
          <xdr:cNvGraphicFramePr/>
        </xdr:nvGraphicFramePr>
        <xdr:xfrm>
          <a:off x="23870971" y="850115"/>
          <a:ext cx="3526038" cy="308427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9317F114-B6C0-3598-777D-6FF5E83E3F57}"/>
              </a:ext>
            </a:extLst>
          </xdr:cNvPr>
          <xdr:cNvGraphicFramePr/>
        </xdr:nvGraphicFramePr>
        <xdr:xfrm>
          <a:off x="27438570" y="862480"/>
          <a:ext cx="3617478" cy="30719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26</xdr:col>
      <xdr:colOff>64771</xdr:colOff>
      <xdr:row>43</xdr:row>
      <xdr:rowOff>35242</xdr:rowOff>
    </xdr:from>
    <xdr:to>
      <xdr:col>31</xdr:col>
      <xdr:colOff>266700</xdr:colOff>
      <xdr:row>58</xdr:row>
      <xdr:rowOff>79057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5FF5CB6-BA38-AE2C-9486-845E44428E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114300</xdr:colOff>
      <xdr:row>63</xdr:row>
      <xdr:rowOff>103822</xdr:rowOff>
    </xdr:from>
    <xdr:to>
      <xdr:col>31</xdr:col>
      <xdr:colOff>342900</xdr:colOff>
      <xdr:row>78</xdr:row>
      <xdr:rowOff>140017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9678265-2E91-FD4F-FDBC-FF60E3CA1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38</xdr:col>
      <xdr:colOff>437913</xdr:colOff>
      <xdr:row>9</xdr:row>
      <xdr:rowOff>84231</xdr:rowOff>
    </xdr:from>
    <xdr:to>
      <xdr:col>46</xdr:col>
      <xdr:colOff>152992</xdr:colOff>
      <xdr:row>24</xdr:row>
      <xdr:rowOff>121158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F09A4B8-E6C2-DAA5-6DB2-354A11919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454d643b68a8e4bc/FAO%20WORK/PADNET/DaIMA%20Project%20Impact%20GLEAM-i%20Assessment%20files/KENYA_2019_DAIRYCtlHerd_GLEAMv4_PWN.xlsx" TargetMode="External"/><Relationship Id="rId1" Type="http://schemas.openxmlformats.org/officeDocument/2006/relationships/externalLinkPath" Target="/Users/Rakotovaon/Documents/NSAG%20Dossiers/DaIMA%20-PADNET%20Gleam-i/Phyllis/DaIMA/KENYA_2019_DAIRYCtlHerd_GLEAMv4_PW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S"/>
      <sheetName val="KENYA_DAIRY_HERD 2019"/>
      <sheetName val="NOTE_ExoticCattle_dairy"/>
      <sheetName val="Exotic"/>
      <sheetName val="NOTE_IndigenousCattle_dairy"/>
      <sheetName val="Indigenous"/>
      <sheetName val="Indigenous_census 2019"/>
      <sheetName val="Data_Indigenous"/>
      <sheetName val="Calc_IndigenousDairy"/>
      <sheetName val="Sheet1"/>
      <sheetName val="Data Inputs - KE"/>
      <sheetName val="Processed Results"/>
      <sheetName val="Raw Results"/>
      <sheetName val="Raw results 2"/>
      <sheetName val="Summary Table"/>
      <sheetName val="Raw Results 2024"/>
      <sheetName val="Processed Results 2024"/>
      <sheetName val="Summary Table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9">
          <cell r="I59">
            <v>3088933626.25</v>
          </cell>
          <cell r="K59">
            <v>3485489481.73</v>
          </cell>
          <cell r="L59">
            <v>3830966366.1099997</v>
          </cell>
          <cell r="N59">
            <v>828805723.02999997</v>
          </cell>
          <cell r="O59">
            <v>849945519.54999995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akotovao, Narindra (NSAP)" id="{463DC4CA-67FF-4D7E-AE55-566B472127B9}" userId="S::Narindra.Rakotovao@fao.org::c5649f76-c67e-4ce1-b939-c00d9fde436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6" dT="2024-07-10T14:01:05.68" personId="{463DC4CA-67FF-4D7E-AE55-566B472127B9}" id="{20999A89-A32F-4F98-9CCF-A5DEED7CF680}">
    <text>Revoir les données Phyllis pour ajuster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micsonline.org/open-access/characterization-of-cattle-production-systems-in-nyagatare-district-ofeastern-province-rwanda.pdf" TargetMode="External"/><Relationship Id="rId2" Type="http://schemas.openxmlformats.org/officeDocument/2006/relationships/hyperlink" Target="https://www.omicsonline.org/open-access/characterization-of-cattle-production-systems-in-nyagatare-district-ofeastern-province-rwanda.pdf" TargetMode="External"/><Relationship Id="rId1" Type="http://schemas.openxmlformats.org/officeDocument/2006/relationships/hyperlink" Target="https://link.springer.com/content/pdf/10.1007/s11250-017-1372-y.pdf" TargetMode="External"/><Relationship Id="rId4" Type="http://schemas.openxmlformats.org/officeDocument/2006/relationships/hyperlink" Target="https://www.omicsonline.org/open-access/characterization-of-cattle-production-systems-in-nyagatare-district-ofeastern-province-rwanda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micsonline.org/open-access/characterization-of-cattle-production-systems-in-nyagatare-district-ofeastern-province-rwanda.pdf" TargetMode="External"/><Relationship Id="rId2" Type="http://schemas.openxmlformats.org/officeDocument/2006/relationships/hyperlink" Target="https://link.springer.com/content/pdf/10.1007/s11250-017-1372-y.pdf" TargetMode="External"/><Relationship Id="rId1" Type="http://schemas.openxmlformats.org/officeDocument/2006/relationships/hyperlink" Target="https://www.omicsonline.org/open-access/characterization-of-cattle-production-systems-in-nyagatare-district-ofeastern-province-rwanda.pdf" TargetMode="External"/><Relationship Id="rId5" Type="http://schemas.openxmlformats.org/officeDocument/2006/relationships/hyperlink" Target="https://www.omicsonline.org/open-access/characterization-of-cattle-production-systems-in-nyagatare-district-ofeastern-province-rwanda.pdf" TargetMode="External"/><Relationship Id="rId4" Type="http://schemas.openxmlformats.org/officeDocument/2006/relationships/hyperlink" Target="https://www.omicsonline.org/open-access/characterization-of-cattle-production-systems-in-nyagatare-district-ofeastern-province-rwanda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micsonline.org/open-access/characterization-of-cattle-production-systems-in-nyagatare-district-ofeastern-province-rwanda.pdf" TargetMode="External"/><Relationship Id="rId2" Type="http://schemas.openxmlformats.org/officeDocument/2006/relationships/hyperlink" Target="https://www.omicsonline.org/open-access/characterization-of-cattle-production-systems-in-nyagatare-district-ofeastern-province-rwanda.pdf" TargetMode="External"/><Relationship Id="rId1" Type="http://schemas.openxmlformats.org/officeDocument/2006/relationships/hyperlink" Target="https://www.omicsonline.org/open-access/characterization-of-cattle-production-systems-in-nyagatare-district-ofeastern-province-rwanda.pdf" TargetMode="External"/><Relationship Id="rId4" Type="http://schemas.openxmlformats.org/officeDocument/2006/relationships/hyperlink" Target="https://www.omicsonline.org/open-access/characterization-of-cattle-production-systems-in-nyagatare-district-ofeastern-province-rwan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3"/>
  <sheetViews>
    <sheetView workbookViewId="0">
      <selection activeCell="C24" sqref="C24"/>
    </sheetView>
  </sheetViews>
  <sheetFormatPr defaultColWidth="8.85546875" defaultRowHeight="14.45"/>
  <cols>
    <col min="1" max="1" width="14.28515625" bestFit="1" customWidth="1"/>
    <col min="2" max="19" width="13" customWidth="1"/>
    <col min="20" max="20" width="10.7109375" bestFit="1" customWidth="1"/>
  </cols>
  <sheetData>
    <row r="1" spans="1:16" ht="28.9">
      <c r="A1" s="73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1" t="s">
        <v>10</v>
      </c>
      <c r="L1" s="75"/>
      <c r="N1" s="77"/>
    </row>
    <row r="2" spans="1:16">
      <c r="A2" s="91" t="s">
        <v>11</v>
      </c>
      <c r="B2" s="86">
        <v>300</v>
      </c>
      <c r="C2" s="86">
        <v>350</v>
      </c>
      <c r="D2" s="86">
        <v>25</v>
      </c>
      <c r="E2" s="86">
        <v>25</v>
      </c>
      <c r="F2" s="84">
        <f>(J2-D2)/2+D2</f>
        <v>162.5</v>
      </c>
      <c r="G2" s="84">
        <f>(K2-E2)/2+E2</f>
        <v>187.5</v>
      </c>
      <c r="H2" s="84">
        <f>(B2-D2)/2+D2</f>
        <v>162.5</v>
      </c>
      <c r="I2" s="84">
        <f>(C2-E2)/2+E2</f>
        <v>187.5</v>
      </c>
      <c r="J2" s="82">
        <v>300</v>
      </c>
      <c r="K2" s="82">
        <v>350</v>
      </c>
      <c r="M2" s="89"/>
      <c r="N2" s="92" t="s">
        <v>12</v>
      </c>
    </row>
    <row r="3" spans="1:16">
      <c r="A3" s="91" t="s">
        <v>13</v>
      </c>
      <c r="B3" s="87">
        <v>350</v>
      </c>
      <c r="C3" s="87">
        <v>400</v>
      </c>
      <c r="D3" s="87">
        <v>30</v>
      </c>
      <c r="E3" s="87">
        <v>30</v>
      </c>
      <c r="F3" s="84">
        <f>(J3-D3)/2+D3</f>
        <v>190</v>
      </c>
      <c r="G3" s="84">
        <f t="shared" ref="G3:G4" si="0">(K3-E3)/2+E3</f>
        <v>215</v>
      </c>
      <c r="H3" s="84">
        <f>(B3-D3)/2+D3</f>
        <v>190</v>
      </c>
      <c r="I3" s="84">
        <f t="shared" ref="I3:I4" si="1">(C3-E3)/2+E3</f>
        <v>215</v>
      </c>
      <c r="J3" s="83">
        <v>350</v>
      </c>
      <c r="K3" s="83">
        <v>400</v>
      </c>
      <c r="M3" s="85"/>
      <c r="N3" s="92" t="s">
        <v>14</v>
      </c>
    </row>
    <row r="4" spans="1:16">
      <c r="A4" s="91" t="s">
        <v>15</v>
      </c>
      <c r="B4" s="87">
        <v>400</v>
      </c>
      <c r="C4" s="87">
        <v>450</v>
      </c>
      <c r="D4" s="87">
        <v>35</v>
      </c>
      <c r="E4" s="87">
        <v>35</v>
      </c>
      <c r="F4" s="84">
        <f t="shared" ref="F4" si="2">(J4-D4)/2+D4</f>
        <v>217.5</v>
      </c>
      <c r="G4" s="84">
        <f t="shared" si="0"/>
        <v>242.5</v>
      </c>
      <c r="H4" s="84">
        <f>(B4-D4)/2+D4</f>
        <v>217.5</v>
      </c>
      <c r="I4" s="84">
        <f t="shared" si="1"/>
        <v>242.5</v>
      </c>
      <c r="J4" s="83">
        <v>400</v>
      </c>
      <c r="K4" s="83">
        <v>450</v>
      </c>
    </row>
    <row r="8" spans="1:16" ht="33" customHeight="1">
      <c r="A8" s="113" t="s">
        <v>16</v>
      </c>
      <c r="B8" s="80" t="s">
        <v>17</v>
      </c>
      <c r="C8" s="80" t="s">
        <v>18</v>
      </c>
      <c r="D8" s="104" t="s">
        <v>19</v>
      </c>
    </row>
    <row r="9" spans="1:16">
      <c r="A9" s="97" t="s">
        <v>11</v>
      </c>
      <c r="B9" s="97">
        <v>256563.49652000002</v>
      </c>
      <c r="C9" s="100">
        <v>186566736.60553271</v>
      </c>
      <c r="D9" s="102">
        <f>C9/B9/365</f>
        <v>1.992262153649367</v>
      </c>
      <c r="E9" s="120">
        <f>C9/$C$12</f>
        <v>0.21511383508455376</v>
      </c>
      <c r="K9" s="116"/>
      <c r="P9" s="88"/>
    </row>
    <row r="10" spans="1:16">
      <c r="A10" s="97" t="s">
        <v>13</v>
      </c>
      <c r="B10" s="97">
        <v>453925.08583</v>
      </c>
      <c r="C10" s="100">
        <v>573190473.01582861</v>
      </c>
      <c r="D10" s="102">
        <f>C10/B10/365</f>
        <v>3.4595683442041345</v>
      </c>
      <c r="E10" s="120">
        <f t="shared" ref="E10:E11" si="3">C10/$C$12</f>
        <v>0.66089595137779655</v>
      </c>
      <c r="F10">
        <f>C10/B10/D10</f>
        <v>365</v>
      </c>
      <c r="K10" s="116"/>
      <c r="P10" s="88"/>
    </row>
    <row r="11" spans="1:16">
      <c r="A11" s="97" t="s">
        <v>15</v>
      </c>
      <c r="B11" s="97">
        <v>53871.999340000002</v>
      </c>
      <c r="C11" s="100">
        <v>107535851.8974379</v>
      </c>
      <c r="D11" s="102">
        <f>C11/B11/365</f>
        <v>5.4688664970893885</v>
      </c>
      <c r="E11" s="120">
        <f t="shared" si="3"/>
        <v>0.12399021353764973</v>
      </c>
      <c r="G11" s="101"/>
      <c r="K11" s="116"/>
    </row>
    <row r="12" spans="1:16">
      <c r="A12" s="98"/>
      <c r="B12" s="98">
        <v>764360.58169000002</v>
      </c>
      <c r="C12" s="101">
        <v>867293061.51879919</v>
      </c>
      <c r="D12" s="99">
        <f>C12/B12/365</f>
        <v>3.1086707385805448</v>
      </c>
      <c r="E12" s="101">
        <f>C12*0.035</f>
        <v>30355257.153157976</v>
      </c>
      <c r="K12" s="116"/>
    </row>
    <row r="13" spans="1:16">
      <c r="A13" s="98"/>
      <c r="B13" s="98"/>
      <c r="C13" s="101">
        <v>891326000</v>
      </c>
      <c r="D13" s="98" t="s">
        <v>20</v>
      </c>
      <c r="E13" s="98"/>
      <c r="F13" s="98"/>
      <c r="K13" s="116"/>
    </row>
    <row r="14" spans="1:16">
      <c r="C14" s="103">
        <f>C12/C13</f>
        <v>0.97303687036931397</v>
      </c>
      <c r="F14" s="98"/>
      <c r="K14" s="116"/>
    </row>
    <row r="15" spans="1:16">
      <c r="K15" s="116"/>
    </row>
    <row r="16" spans="1:16">
      <c r="B16" s="80" t="s">
        <v>21</v>
      </c>
      <c r="C16" s="81" t="s">
        <v>22</v>
      </c>
      <c r="D16" s="80" t="s">
        <v>23</v>
      </c>
      <c r="E16" s="80" t="s">
        <v>24</v>
      </c>
      <c r="F16" s="80" t="s">
        <v>25</v>
      </c>
      <c r="G16" s="80" t="s">
        <v>26</v>
      </c>
      <c r="H16" s="80" t="s">
        <v>27</v>
      </c>
      <c r="K16" s="116"/>
    </row>
    <row r="17" spans="1:20">
      <c r="A17" s="9" t="s">
        <v>11</v>
      </c>
      <c r="B17" s="10">
        <f>SUM(C17:H17)</f>
        <v>590159.21358074003</v>
      </c>
      <c r="C17" s="79">
        <f>SUM(B24:D24)</f>
        <v>28240.943249329997</v>
      </c>
      <c r="D17" s="79">
        <f>SUM(E24:G24)</f>
        <v>256566.5151973</v>
      </c>
      <c r="E17" s="79">
        <f>SUM(H24:J24)</f>
        <v>28750.738611009998</v>
      </c>
      <c r="F17" s="79">
        <f>SUM(K24:M24)</f>
        <v>89335.388918799988</v>
      </c>
      <c r="G17" s="79">
        <f>SUM(N24:P24)</f>
        <v>91233.912158100022</v>
      </c>
      <c r="H17" s="79">
        <f>SUM(Q24:S24)</f>
        <v>96031.715446200033</v>
      </c>
      <c r="I17" s="103">
        <f>D17/$B$17</f>
        <v>0.43474118389274113</v>
      </c>
    </row>
    <row r="18" spans="1:20">
      <c r="A18" s="9" t="s">
        <v>13</v>
      </c>
      <c r="B18" s="10">
        <f>SUM(C18:H18)</f>
        <v>1082366.1390387099</v>
      </c>
      <c r="C18" s="79">
        <f>SUM(B25:D25)</f>
        <v>65588.346549089998</v>
      </c>
      <c r="D18" s="79">
        <f>SUM(E25:G25)</f>
        <v>453922.22901292</v>
      </c>
      <c r="E18" s="79">
        <v>47300.317509999993</v>
      </c>
      <c r="F18" s="79">
        <v>158096.53199999998</v>
      </c>
      <c r="G18" s="79">
        <f t="shared" ref="G18:G19" si="4">SUM(N25:P25)</f>
        <v>174133.14036179997</v>
      </c>
      <c r="H18" s="79">
        <f t="shared" ref="H18:H19" si="5">SUM(Q25:S25)</f>
        <v>183325.57360489998</v>
      </c>
      <c r="I18" s="103">
        <f>D18/$B$17</f>
        <v>0.76915215177068252</v>
      </c>
    </row>
    <row r="19" spans="1:20">
      <c r="A19" s="9" t="s">
        <v>15</v>
      </c>
      <c r="B19" s="10">
        <f>SUM(C19:H19)</f>
        <v>117542.06372999998</v>
      </c>
      <c r="C19" s="79">
        <f t="shared" ref="C19" si="6">SUM(B26:D26)</f>
        <v>4360.8996599999991</v>
      </c>
      <c r="D19" s="79">
        <f t="shared" ref="D19" si="7">SUM(E26:G26)</f>
        <v>53871.999339999988</v>
      </c>
      <c r="E19" s="79">
        <v>3804.9567199999997</v>
      </c>
      <c r="F19" s="79">
        <v>16596.187299999998</v>
      </c>
      <c r="G19" s="79">
        <f t="shared" si="4"/>
        <v>15831.022910000003</v>
      </c>
      <c r="H19" s="79">
        <f t="shared" si="5"/>
        <v>23076.997799999997</v>
      </c>
      <c r="I19" s="103">
        <f>D19/$B$17</f>
        <v>9.128384019142273E-2</v>
      </c>
    </row>
    <row r="20" spans="1:20">
      <c r="B20" s="76">
        <f>SUM(B17:B19)</f>
        <v>1790067.4163494501</v>
      </c>
    </row>
    <row r="22" spans="1:20">
      <c r="B22" s="309" t="s">
        <v>22</v>
      </c>
      <c r="C22" s="309"/>
      <c r="D22" s="309"/>
      <c r="E22" s="309" t="s">
        <v>23</v>
      </c>
      <c r="F22" s="309"/>
      <c r="G22" s="309"/>
      <c r="H22" s="309" t="s">
        <v>24</v>
      </c>
      <c r="I22" s="309"/>
      <c r="J22" s="309"/>
      <c r="K22" s="309" t="s">
        <v>25</v>
      </c>
      <c r="L22" s="309"/>
      <c r="M22" s="309"/>
      <c r="N22" s="309" t="s">
        <v>26</v>
      </c>
      <c r="O22" s="309"/>
      <c r="P22" s="309"/>
      <c r="Q22" s="309" t="s">
        <v>27</v>
      </c>
      <c r="R22" s="309"/>
      <c r="S22" s="309"/>
    </row>
    <row r="23" spans="1:20">
      <c r="B23" s="78" t="s">
        <v>28</v>
      </c>
      <c r="C23" s="78" t="s">
        <v>29</v>
      </c>
      <c r="D23" s="78" t="s">
        <v>30</v>
      </c>
      <c r="E23" s="78" t="s">
        <v>28</v>
      </c>
      <c r="F23" s="78" t="s">
        <v>29</v>
      </c>
      <c r="G23" s="78" t="s">
        <v>30</v>
      </c>
      <c r="H23" s="78" t="s">
        <v>28</v>
      </c>
      <c r="I23" s="78" t="s">
        <v>29</v>
      </c>
      <c r="J23" s="78" t="s">
        <v>30</v>
      </c>
      <c r="K23" s="78" t="s">
        <v>28</v>
      </c>
      <c r="L23" s="78" t="s">
        <v>29</v>
      </c>
      <c r="M23" s="78" t="s">
        <v>30</v>
      </c>
      <c r="N23" s="78" t="s">
        <v>28</v>
      </c>
      <c r="O23" s="78" t="s">
        <v>29</v>
      </c>
      <c r="P23" s="78" t="s">
        <v>30</v>
      </c>
      <c r="Q23" s="78" t="s">
        <v>28</v>
      </c>
      <c r="R23" s="78" t="s">
        <v>29</v>
      </c>
      <c r="S23" s="78" t="s">
        <v>30</v>
      </c>
    </row>
    <row r="24" spans="1:20">
      <c r="A24" s="9" t="s">
        <v>11</v>
      </c>
      <c r="B24" s="10">
        <v>426.60187690000004</v>
      </c>
      <c r="C24" s="10">
        <v>1548.2287694199999</v>
      </c>
      <c r="D24" s="10">
        <v>26266.112603009999</v>
      </c>
      <c r="E24" s="10">
        <v>5312.6067772219994</v>
      </c>
      <c r="F24" s="10">
        <v>16912.301954339997</v>
      </c>
      <c r="G24" s="10">
        <v>234341.606465738</v>
      </c>
      <c r="H24" s="10">
        <v>530.877220814</v>
      </c>
      <c r="I24" s="10">
        <v>1313.10738055</v>
      </c>
      <c r="J24" s="10">
        <v>26906.754009645996</v>
      </c>
      <c r="K24" s="10">
        <v>1661.3205352799998</v>
      </c>
      <c r="L24" s="10">
        <v>5545.9180212199999</v>
      </c>
      <c r="M24" s="10">
        <v>82128.150362299988</v>
      </c>
      <c r="N24" s="10">
        <v>1096.005480778</v>
      </c>
      <c r="O24" s="10">
        <v>5135.8697496200002</v>
      </c>
      <c r="P24" s="10">
        <v>85002.036927702022</v>
      </c>
      <c r="Q24" s="10">
        <v>1430.6563584599999</v>
      </c>
      <c r="R24" s="10">
        <v>6953.6477999900007</v>
      </c>
      <c r="S24" s="10">
        <v>87647.41128775003</v>
      </c>
    </row>
    <row r="25" spans="1:20">
      <c r="A25" s="9" t="s">
        <v>13</v>
      </c>
      <c r="B25" s="10">
        <v>983.03446010999994</v>
      </c>
      <c r="C25" s="10">
        <v>1533.35506394</v>
      </c>
      <c r="D25" s="10">
        <v>63071.957025039999</v>
      </c>
      <c r="E25" s="10">
        <v>7287.5181290999999</v>
      </c>
      <c r="F25" s="10">
        <v>12828.90905031</v>
      </c>
      <c r="G25" s="10">
        <v>433805.80183350999</v>
      </c>
      <c r="H25" s="10">
        <v>389.53357736999999</v>
      </c>
      <c r="I25" s="10">
        <v>943.81134360999988</v>
      </c>
      <c r="J25" s="10">
        <v>45966.728869179991</v>
      </c>
      <c r="K25" s="10">
        <v>2870.4227316999995</v>
      </c>
      <c r="L25" s="10">
        <v>3764.4591723999997</v>
      </c>
      <c r="M25" s="10">
        <v>151459.97183059997</v>
      </c>
      <c r="N25" s="10">
        <v>2326.4171228999999</v>
      </c>
      <c r="O25" s="10">
        <v>4180.8807026000004</v>
      </c>
      <c r="P25" s="10">
        <v>167625.84253629998</v>
      </c>
      <c r="Q25" s="10">
        <v>2639.8706828999998</v>
      </c>
      <c r="R25" s="10">
        <v>5270.2413231</v>
      </c>
      <c r="S25" s="10">
        <v>175415.46159889997</v>
      </c>
    </row>
    <row r="26" spans="1:20">
      <c r="A26" s="9" t="s">
        <v>15</v>
      </c>
      <c r="B26" s="10">
        <v>461.62057011500002</v>
      </c>
      <c r="C26" s="10">
        <v>125.24264736999999</v>
      </c>
      <c r="D26" s="10">
        <v>3774.0364425149996</v>
      </c>
      <c r="E26" s="10">
        <v>4735.5258124299999</v>
      </c>
      <c r="F26" s="10">
        <v>1196.0529757199999</v>
      </c>
      <c r="G26" s="10">
        <v>47940.420551849988</v>
      </c>
      <c r="H26" s="10">
        <v>101.085801961</v>
      </c>
      <c r="I26" s="10">
        <v>62.804648130000004</v>
      </c>
      <c r="J26" s="10">
        <v>3641.0662699090003</v>
      </c>
      <c r="K26" s="10">
        <v>811.35770519999983</v>
      </c>
      <c r="L26" s="10">
        <v>476.44285195999998</v>
      </c>
      <c r="M26" s="10">
        <v>15308.386742840001</v>
      </c>
      <c r="N26" s="10">
        <v>1034.5378120399998</v>
      </c>
      <c r="O26" s="10">
        <v>402.46327354999994</v>
      </c>
      <c r="P26" s="10">
        <v>14394.021824410003</v>
      </c>
      <c r="Q26" s="10">
        <v>1351.1997714400002</v>
      </c>
      <c r="R26" s="10">
        <v>570.07839370000011</v>
      </c>
      <c r="S26" s="10">
        <v>21155.719634859997</v>
      </c>
      <c r="T26" s="39">
        <f>SUM(B24:S26)</f>
        <v>1790065.4943643101</v>
      </c>
    </row>
    <row r="27" spans="1:20">
      <c r="E27" s="39">
        <f t="shared" ref="E27:F27" si="8">SUM(E24:E26)</f>
        <v>17335.650718751996</v>
      </c>
      <c r="F27" s="39">
        <f t="shared" si="8"/>
        <v>30937.263980369993</v>
      </c>
      <c r="G27" s="39">
        <f>SUM(G24:G26)</f>
        <v>716087.82885109796</v>
      </c>
    </row>
    <row r="28" spans="1:20">
      <c r="G28">
        <f>G27/SUM(E27:G27)</f>
        <v>0.93684537686366631</v>
      </c>
    </row>
    <row r="29" spans="1:20">
      <c r="B29" s="128" t="s">
        <v>28</v>
      </c>
      <c r="C29" s="122" t="s">
        <v>29</v>
      </c>
      <c r="D29" s="122" t="s">
        <v>30</v>
      </c>
      <c r="G29" s="122" t="s">
        <v>28</v>
      </c>
      <c r="H29" s="122" t="s">
        <v>29</v>
      </c>
      <c r="I29" s="122" t="s">
        <v>30</v>
      </c>
    </row>
    <row r="30" spans="1:20">
      <c r="A30" s="124" t="s">
        <v>11</v>
      </c>
      <c r="B30" s="123">
        <f>B24+E24+H24+K24+N24+Q24</f>
        <v>10458.068249453998</v>
      </c>
      <c r="C30" s="125">
        <f t="shared" ref="C30:D30" si="9">C24+F24+I24+L24+O24+R24</f>
        <v>37409.073675139996</v>
      </c>
      <c r="D30" s="123">
        <f t="shared" si="9"/>
        <v>542292.07165614609</v>
      </c>
      <c r="E30" s="121"/>
      <c r="F30" s="130" t="s">
        <v>11</v>
      </c>
      <c r="G30" s="127">
        <f>B30/$T$26</f>
        <v>5.8422824652948676E-3</v>
      </c>
      <c r="H30" s="127">
        <f t="shared" ref="H30:I30" si="10">C30/$T$26</f>
        <v>2.089815919747939E-2</v>
      </c>
      <c r="I30" s="127">
        <f t="shared" si="10"/>
        <v>0.30294538013466676</v>
      </c>
      <c r="J30" s="120">
        <f>SUM(G30:I30)</f>
        <v>0.32968582179744099</v>
      </c>
      <c r="K30" s="121"/>
      <c r="L30" s="121"/>
      <c r="M30" s="121"/>
      <c r="N30" s="121"/>
      <c r="O30" s="121"/>
      <c r="P30" s="121"/>
      <c r="Q30" s="121"/>
      <c r="R30" s="121"/>
      <c r="S30" s="121"/>
    </row>
    <row r="31" spans="1:20">
      <c r="A31" s="124" t="s">
        <v>13</v>
      </c>
      <c r="B31" s="123">
        <f t="shared" ref="B31:B32" si="11">B25+E25+H25+K25+N25+Q25</f>
        <v>16496.796704079999</v>
      </c>
      <c r="C31" s="125">
        <f t="shared" ref="C31:C32" si="12">C25+F25+I25+L25+O25+R25</f>
        <v>28521.656655959996</v>
      </c>
      <c r="D31" s="123">
        <f t="shared" ref="D31:D32" si="13">D25+G25+J25+M25+P25+S25</f>
        <v>1037345.7636935299</v>
      </c>
      <c r="E31" s="121"/>
      <c r="F31" s="126" t="s">
        <v>13</v>
      </c>
      <c r="G31" s="129">
        <f t="shared" ref="G31:G32" si="14">B31/$T$26</f>
        <v>9.2157503488096443E-3</v>
      </c>
      <c r="H31" s="129">
        <f t="shared" ref="H31:H32" si="15">C31/$T$26</f>
        <v>1.593330341585554E-2</v>
      </c>
      <c r="I31" s="129">
        <f t="shared" ref="I31:I32" si="16">D31/$T$26</f>
        <v>0.57950156961263211</v>
      </c>
      <c r="J31" s="120">
        <f t="shared" ref="J31:J32" si="17">SUM(G31:I31)</f>
        <v>0.60465062337729725</v>
      </c>
      <c r="K31" s="121"/>
      <c r="L31" s="121"/>
      <c r="M31" s="121"/>
      <c r="N31" s="121"/>
      <c r="O31" s="121"/>
      <c r="P31" s="121"/>
      <c r="Q31" s="121"/>
      <c r="R31" s="121"/>
      <c r="S31" s="121"/>
    </row>
    <row r="32" spans="1:20">
      <c r="A32" s="124" t="s">
        <v>15</v>
      </c>
      <c r="B32" s="123">
        <f t="shared" si="11"/>
        <v>8495.3274731860001</v>
      </c>
      <c r="C32" s="125">
        <f t="shared" si="12"/>
        <v>2833.0847904299999</v>
      </c>
      <c r="D32" s="123">
        <f t="shared" si="13"/>
        <v>106213.65146638398</v>
      </c>
      <c r="E32" s="121"/>
      <c r="F32" s="126" t="s">
        <v>15</v>
      </c>
      <c r="G32" s="127">
        <f t="shared" si="14"/>
        <v>4.7458193568514486E-3</v>
      </c>
      <c r="H32" s="127">
        <f t="shared" si="15"/>
        <v>1.5826710248029712E-3</v>
      </c>
      <c r="I32" s="127">
        <f t="shared" si="16"/>
        <v>5.9335064443607234E-2</v>
      </c>
      <c r="J32" s="120">
        <f t="shared" si="17"/>
        <v>6.566355482526165E-2</v>
      </c>
      <c r="K32" s="121"/>
      <c r="L32" s="121"/>
      <c r="M32" s="121"/>
      <c r="N32" s="121"/>
      <c r="O32" s="121"/>
      <c r="P32" s="121"/>
      <c r="Q32" s="121"/>
      <c r="R32" s="121"/>
      <c r="S32" s="121"/>
    </row>
    <row r="33" spans="2:9">
      <c r="B33" s="39">
        <f>SUM(B30:B32)</f>
        <v>35450.192426719994</v>
      </c>
      <c r="C33" s="39">
        <f t="shared" ref="C33" si="18">SUM(C30:C32)</f>
        <v>68763.815121530002</v>
      </c>
      <c r="D33" s="39">
        <f>SUM(D30:D32)</f>
        <v>1685851.48681606</v>
      </c>
      <c r="G33" s="120">
        <f>SUM(G30:G32)</f>
        <v>1.9803852170955961E-2</v>
      </c>
      <c r="H33" s="120">
        <f>SUM(H30:H32)</f>
        <v>3.8414133638137907E-2</v>
      </c>
      <c r="I33" s="120">
        <f>SUM(I30:I32)</f>
        <v>0.94178201419090612</v>
      </c>
    </row>
  </sheetData>
  <mergeCells count="6">
    <mergeCell ref="Q22:S22"/>
    <mergeCell ref="B22:D22"/>
    <mergeCell ref="E22:G22"/>
    <mergeCell ref="H22:J22"/>
    <mergeCell ref="K22:M22"/>
    <mergeCell ref="N22:P22"/>
  </mergeCells>
  <pageMargins left="0.7" right="0.7" top="0.75" bottom="0.75" header="0.3" footer="0.3"/>
  <pageSetup paperSize="9" orientation="portrait" r:id="rId1"/>
  <ignoredErrors>
    <ignoredError sqref="E17:H17 C19:D19 G18:H18 G19:H1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I39"/>
  <sheetViews>
    <sheetView topLeftCell="A28" zoomScale="90" zoomScaleNormal="90" workbookViewId="0">
      <selection activeCell="D7" sqref="D7"/>
    </sheetView>
  </sheetViews>
  <sheetFormatPr defaultColWidth="8.85546875" defaultRowHeight="15" customHeight="1"/>
  <cols>
    <col min="3" max="3" width="22.5703125" customWidth="1"/>
    <col min="4" max="4" width="9.28515625" customWidth="1"/>
    <col min="5" max="5" width="8.28515625" customWidth="1"/>
    <col min="6" max="6" width="7" bestFit="1" customWidth="1"/>
    <col min="7" max="7" width="7.5703125" bestFit="1" customWidth="1"/>
    <col min="8" max="8" width="7.42578125" customWidth="1"/>
    <col min="9" max="9" width="7.5703125" bestFit="1" customWidth="1"/>
    <col min="10" max="10" width="7" bestFit="1" customWidth="1"/>
    <col min="11" max="11" width="7.5703125" bestFit="1" customWidth="1"/>
    <col min="12" max="12" width="8" bestFit="1" customWidth="1"/>
    <col min="13" max="13" width="7.5703125" bestFit="1" customWidth="1"/>
    <col min="14" max="15" width="8" bestFit="1" customWidth="1"/>
    <col min="16" max="16" width="7" bestFit="1" customWidth="1"/>
    <col min="17" max="17" width="8" bestFit="1" customWidth="1"/>
    <col min="18" max="18" width="7" bestFit="1" customWidth="1"/>
    <col min="19" max="19" width="8" bestFit="1" customWidth="1"/>
    <col min="20" max="20" width="14.5703125" bestFit="1" customWidth="1"/>
    <col min="21" max="21" width="10.85546875" bestFit="1" customWidth="1"/>
    <col min="22" max="22" width="11.7109375" bestFit="1" customWidth="1"/>
    <col min="23" max="27" width="14.42578125" customWidth="1"/>
    <col min="28" max="28" width="17.140625" customWidth="1"/>
    <col min="29" max="59" width="14.42578125" customWidth="1"/>
    <col min="61" max="61" width="16.28515625" customWidth="1"/>
  </cols>
  <sheetData>
    <row r="1" spans="1:61" ht="23.45">
      <c r="A1" s="30" t="s">
        <v>252</v>
      </c>
    </row>
    <row r="2" spans="1:61" ht="14.45">
      <c r="A2" s="29" t="s">
        <v>154</v>
      </c>
    </row>
    <row r="5" spans="1:61" s="36" customFormat="1" ht="48.75" customHeight="1">
      <c r="D5" s="320" t="s">
        <v>155</v>
      </c>
      <c r="E5" s="320"/>
      <c r="F5" s="319" t="s">
        <v>156</v>
      </c>
      <c r="G5" s="319"/>
      <c r="H5" s="319" t="s">
        <v>77</v>
      </c>
      <c r="I5" s="319"/>
      <c r="J5" s="320" t="s">
        <v>157</v>
      </c>
      <c r="K5" s="320"/>
      <c r="L5" s="320" t="s">
        <v>158</v>
      </c>
      <c r="M5" s="320"/>
      <c r="N5" s="320" t="s">
        <v>159</v>
      </c>
      <c r="O5" s="320"/>
      <c r="P5" s="320" t="s">
        <v>160</v>
      </c>
      <c r="Q5" s="320"/>
      <c r="R5" s="320" t="s">
        <v>161</v>
      </c>
      <c r="S5" s="320"/>
      <c r="T5" s="320" t="s">
        <v>162</v>
      </c>
      <c r="U5" s="320"/>
      <c r="V5" s="320"/>
      <c r="W5" s="31" t="s">
        <v>163</v>
      </c>
      <c r="X5" s="31" t="s">
        <v>164</v>
      </c>
      <c r="Y5" s="32" t="s">
        <v>165</v>
      </c>
      <c r="Z5" s="31" t="s">
        <v>166</v>
      </c>
      <c r="AA5" s="31" t="s">
        <v>167</v>
      </c>
      <c r="AB5" s="31" t="s">
        <v>168</v>
      </c>
      <c r="AC5" s="31" t="s">
        <v>134</v>
      </c>
      <c r="AD5" s="31" t="s">
        <v>169</v>
      </c>
      <c r="AE5" s="31" t="s">
        <v>170</v>
      </c>
      <c r="AF5" s="31" t="s">
        <v>171</v>
      </c>
      <c r="AG5" s="31" t="s">
        <v>172</v>
      </c>
      <c r="AH5" s="31" t="s">
        <v>173</v>
      </c>
      <c r="AI5" s="31" t="s">
        <v>174</v>
      </c>
      <c r="AJ5" s="31" t="s">
        <v>175</v>
      </c>
      <c r="AK5" s="31" t="s">
        <v>176</v>
      </c>
      <c r="AL5" s="31" t="s">
        <v>177</v>
      </c>
      <c r="AM5" s="31" t="s">
        <v>178</v>
      </c>
      <c r="AN5" s="31" t="s">
        <v>179</v>
      </c>
      <c r="AO5" s="31" t="s">
        <v>180</v>
      </c>
      <c r="AP5" s="31" t="s">
        <v>181</v>
      </c>
      <c r="AQ5" s="31" t="s">
        <v>182</v>
      </c>
      <c r="AR5" s="31" t="s">
        <v>183</v>
      </c>
      <c r="AS5" s="31" t="s">
        <v>184</v>
      </c>
      <c r="AT5" s="31" t="s">
        <v>185</v>
      </c>
      <c r="AU5" s="31" t="s">
        <v>186</v>
      </c>
      <c r="AV5" s="31" t="s">
        <v>187</v>
      </c>
      <c r="AW5" s="31" t="s">
        <v>188</v>
      </c>
      <c r="AX5" s="31" t="s">
        <v>189</v>
      </c>
      <c r="AY5" s="31" t="s">
        <v>190</v>
      </c>
      <c r="AZ5" s="31" t="s">
        <v>191</v>
      </c>
      <c r="BA5" s="31" t="s">
        <v>192</v>
      </c>
      <c r="BB5" s="31" t="s">
        <v>193</v>
      </c>
      <c r="BC5" s="31" t="s">
        <v>194</v>
      </c>
      <c r="BD5" s="31" t="s">
        <v>195</v>
      </c>
      <c r="BE5" s="31" t="s">
        <v>196</v>
      </c>
      <c r="BF5" s="31" t="s">
        <v>197</v>
      </c>
      <c r="BG5" s="31" t="s">
        <v>198</v>
      </c>
    </row>
    <row r="6" spans="1:61" s="36" customFormat="1" ht="73.5" customHeight="1">
      <c r="A6" s="34" t="s">
        <v>199</v>
      </c>
      <c r="B6" s="34" t="s">
        <v>34</v>
      </c>
      <c r="C6" s="90" t="s">
        <v>35</v>
      </c>
      <c r="D6" s="34" t="s">
        <v>86</v>
      </c>
      <c r="E6" s="34" t="s">
        <v>87</v>
      </c>
      <c r="F6" s="34" t="s">
        <v>244</v>
      </c>
      <c r="G6" s="34" t="s">
        <v>87</v>
      </c>
      <c r="H6" s="34" t="s">
        <v>244</v>
      </c>
      <c r="I6" s="34" t="s">
        <v>87</v>
      </c>
      <c r="J6" s="34" t="s">
        <v>244</v>
      </c>
      <c r="K6" s="34" t="s">
        <v>87</v>
      </c>
      <c r="L6" s="34" t="s">
        <v>244</v>
      </c>
      <c r="M6" s="34" t="s">
        <v>87</v>
      </c>
      <c r="N6" s="34" t="s">
        <v>244</v>
      </c>
      <c r="O6" s="34" t="s">
        <v>87</v>
      </c>
      <c r="P6" s="34" t="s">
        <v>244</v>
      </c>
      <c r="Q6" s="34" t="s">
        <v>87</v>
      </c>
      <c r="R6" s="34" t="s">
        <v>244</v>
      </c>
      <c r="S6" s="34" t="s">
        <v>87</v>
      </c>
      <c r="T6" s="34" t="s">
        <v>200</v>
      </c>
      <c r="U6" s="34" t="s">
        <v>201</v>
      </c>
      <c r="V6" s="34" t="s">
        <v>202</v>
      </c>
      <c r="W6" s="35" t="s">
        <v>203</v>
      </c>
      <c r="X6" s="35" t="s">
        <v>204</v>
      </c>
      <c r="Y6" s="35" t="s">
        <v>245</v>
      </c>
      <c r="Z6" s="35" t="s">
        <v>206</v>
      </c>
      <c r="AA6" s="35" t="s">
        <v>207</v>
      </c>
      <c r="AB6" s="35" t="s">
        <v>246</v>
      </c>
      <c r="AC6" s="35" t="s">
        <v>209</v>
      </c>
      <c r="AD6" s="35" t="s">
        <v>210</v>
      </c>
      <c r="AE6" s="35" t="s">
        <v>247</v>
      </c>
      <c r="AF6" s="35" t="s">
        <v>248</v>
      </c>
      <c r="AG6" s="35" t="s">
        <v>237</v>
      </c>
      <c r="AH6" s="35" t="s">
        <v>249</v>
      </c>
      <c r="AI6" s="35" t="s">
        <v>109</v>
      </c>
      <c r="AJ6" s="35" t="s">
        <v>212</v>
      </c>
      <c r="AK6" s="35" t="s">
        <v>111</v>
      </c>
      <c r="AL6" s="35" t="s">
        <v>31</v>
      </c>
      <c r="AM6" s="35" t="s">
        <v>213</v>
      </c>
      <c r="AN6" s="35" t="s">
        <v>214</v>
      </c>
      <c r="AO6" s="35" t="s">
        <v>215</v>
      </c>
      <c r="AP6" s="35" t="s">
        <v>216</v>
      </c>
      <c r="AQ6" s="35" t="s">
        <v>217</v>
      </c>
      <c r="AR6" s="35" t="s">
        <v>218</v>
      </c>
      <c r="AS6" s="35" t="s">
        <v>219</v>
      </c>
      <c r="AT6" s="35" t="s">
        <v>220</v>
      </c>
      <c r="AU6" s="35" t="s">
        <v>221</v>
      </c>
      <c r="AV6" s="35" t="s">
        <v>222</v>
      </c>
      <c r="AW6" s="35" t="s">
        <v>223</v>
      </c>
      <c r="AX6" s="35" t="s">
        <v>224</v>
      </c>
      <c r="AY6" s="35" t="s">
        <v>225</v>
      </c>
      <c r="AZ6" s="35" t="s">
        <v>226</v>
      </c>
      <c r="BA6" s="35" t="s">
        <v>227</v>
      </c>
      <c r="BB6" s="35" t="s">
        <v>228</v>
      </c>
      <c r="BC6" s="35" t="s">
        <v>229</v>
      </c>
      <c r="BD6" s="35" t="s">
        <v>230</v>
      </c>
      <c r="BE6" s="35" t="s">
        <v>231</v>
      </c>
      <c r="BF6" s="35" t="s">
        <v>232</v>
      </c>
      <c r="BG6" s="35" t="s">
        <v>233</v>
      </c>
    </row>
    <row r="7" spans="1:61" ht="18" customHeight="1">
      <c r="A7" s="9">
        <v>2020</v>
      </c>
      <c r="B7" s="9" t="s">
        <v>39</v>
      </c>
      <c r="C7" s="9" t="s">
        <v>40</v>
      </c>
      <c r="D7" s="10">
        <v>463.44049999999999</v>
      </c>
      <c r="E7" s="10">
        <v>2916.0639999999999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321.53379999999999</v>
      </c>
      <c r="L7" s="10">
        <v>468.44049999999999</v>
      </c>
      <c r="M7" s="10">
        <v>217.63740000000001</v>
      </c>
      <c r="N7" s="10">
        <v>462.44049999999999</v>
      </c>
      <c r="O7" s="10">
        <v>693.03369999999995</v>
      </c>
      <c r="P7" s="10">
        <v>0</v>
      </c>
      <c r="Q7" s="10">
        <v>491.21519999999998</v>
      </c>
      <c r="R7" s="10">
        <v>1</v>
      </c>
      <c r="S7" s="10">
        <v>1731.8150000000001</v>
      </c>
      <c r="T7" s="11">
        <v>0.41</v>
      </c>
      <c r="U7" s="11">
        <v>0</v>
      </c>
      <c r="V7" s="11">
        <v>99.59</v>
      </c>
      <c r="W7" s="9">
        <v>400</v>
      </c>
      <c r="X7" s="12">
        <v>450</v>
      </c>
      <c r="Y7" s="11">
        <v>35</v>
      </c>
      <c r="Z7" s="9">
        <v>400</v>
      </c>
      <c r="AA7" s="12">
        <v>450</v>
      </c>
      <c r="AB7" s="9">
        <v>2.5</v>
      </c>
      <c r="AC7" s="11">
        <v>0.1</v>
      </c>
      <c r="AD7" s="9">
        <v>0.83</v>
      </c>
      <c r="AE7" s="24">
        <v>0.05</v>
      </c>
      <c r="AF7" s="24">
        <v>0.05</v>
      </c>
      <c r="AG7" s="24">
        <v>0</v>
      </c>
      <c r="AH7" s="19">
        <v>0</v>
      </c>
      <c r="AI7" s="21">
        <v>3.5000000000000003E-2</v>
      </c>
      <c r="AJ7" s="21">
        <v>0.21129999999999999</v>
      </c>
      <c r="AK7" s="21">
        <v>3.7999999999999999E-2</v>
      </c>
      <c r="AL7" s="12">
        <v>4.1638770000000003</v>
      </c>
      <c r="AM7" s="9">
        <v>0.56999999999999995</v>
      </c>
      <c r="AN7" s="9">
        <v>0.56999999999999995</v>
      </c>
      <c r="AO7" s="9">
        <v>0.56999999999999995</v>
      </c>
      <c r="AP7" s="9">
        <v>0.56999999999999995</v>
      </c>
      <c r="AQ7" s="9">
        <v>0.56999999999999995</v>
      </c>
      <c r="AR7" s="9">
        <v>0.56999999999999995</v>
      </c>
      <c r="AS7" s="9"/>
      <c r="AT7" s="9">
        <v>0.4</v>
      </c>
      <c r="AU7" s="9">
        <v>400</v>
      </c>
      <c r="AV7" s="9">
        <v>0.45479452100000001</v>
      </c>
      <c r="AW7" s="9">
        <v>450</v>
      </c>
      <c r="AX7" s="9">
        <v>0.4</v>
      </c>
      <c r="AY7" s="9">
        <v>218</v>
      </c>
      <c r="AZ7" s="9">
        <v>0.45479452100000001</v>
      </c>
      <c r="BA7" s="9">
        <v>243</v>
      </c>
      <c r="BB7" s="9">
        <v>0.4</v>
      </c>
      <c r="BC7" s="9">
        <v>218</v>
      </c>
      <c r="BD7" s="9">
        <v>0.45479452100000001</v>
      </c>
      <c r="BE7" s="9">
        <v>243</v>
      </c>
      <c r="BF7" s="9">
        <v>0.95</v>
      </c>
      <c r="BG7" s="93">
        <v>0.62750665549318396</v>
      </c>
      <c r="BI7" s="141">
        <f>AL7*S7*300</f>
        <v>2163319.3940265002</v>
      </c>
    </row>
    <row r="8" spans="1:61" ht="18" customHeight="1">
      <c r="A8" s="9">
        <v>2020</v>
      </c>
      <c r="B8" s="9" t="s">
        <v>41</v>
      </c>
      <c r="C8" s="9" t="s">
        <v>42</v>
      </c>
      <c r="D8" s="10">
        <v>1</v>
      </c>
      <c r="E8" s="10">
        <v>1676.471</v>
      </c>
      <c r="F8" s="10">
        <v>0</v>
      </c>
      <c r="G8" s="10">
        <v>108.0372</v>
      </c>
      <c r="H8" s="10">
        <v>0</v>
      </c>
      <c r="I8" s="10">
        <v>108.0372</v>
      </c>
      <c r="J8" s="10">
        <v>0</v>
      </c>
      <c r="K8" s="10">
        <v>0</v>
      </c>
      <c r="L8" s="10">
        <v>1</v>
      </c>
      <c r="M8" s="10">
        <v>218.18709999999999</v>
      </c>
      <c r="N8" s="10">
        <v>1</v>
      </c>
      <c r="O8" s="10">
        <v>670.26689999999996</v>
      </c>
      <c r="P8" s="10">
        <v>0</v>
      </c>
      <c r="Q8" s="10">
        <v>108.0372</v>
      </c>
      <c r="R8" s="10">
        <v>0</v>
      </c>
      <c r="S8" s="10">
        <v>898.16719999999998</v>
      </c>
      <c r="T8" s="11">
        <v>0</v>
      </c>
      <c r="U8" s="11">
        <v>0</v>
      </c>
      <c r="V8" s="11">
        <v>100</v>
      </c>
      <c r="W8" s="9">
        <v>400</v>
      </c>
      <c r="X8" s="12">
        <v>450</v>
      </c>
      <c r="Y8" s="11">
        <v>35</v>
      </c>
      <c r="Z8" s="9">
        <v>400</v>
      </c>
      <c r="AA8" s="12">
        <v>450</v>
      </c>
      <c r="AB8" s="9">
        <v>2.5</v>
      </c>
      <c r="AC8" s="11">
        <v>0.1</v>
      </c>
      <c r="AD8" s="9">
        <v>0.83</v>
      </c>
      <c r="AE8" s="24">
        <v>0.05</v>
      </c>
      <c r="AF8" s="24">
        <v>0.05</v>
      </c>
      <c r="AG8" s="24">
        <v>2.9994829105600002E-2</v>
      </c>
      <c r="AH8" s="19">
        <v>0</v>
      </c>
      <c r="AI8" s="21">
        <v>3.5000000000000003E-2</v>
      </c>
      <c r="AJ8" s="21">
        <v>0.21129999999999999</v>
      </c>
      <c r="AK8" s="21">
        <v>3.7999999999999999E-2</v>
      </c>
      <c r="AL8" s="12">
        <v>3.2324850000000001</v>
      </c>
      <c r="AM8" s="9">
        <v>0.56999999999999995</v>
      </c>
      <c r="AN8" s="9">
        <v>0.56999999999999995</v>
      </c>
      <c r="AO8" s="9">
        <v>0.56999999999999995</v>
      </c>
      <c r="AP8" s="9">
        <v>0.56999999999999995</v>
      </c>
      <c r="AQ8" s="9">
        <v>0.56999999999999995</v>
      </c>
      <c r="AR8" s="9">
        <v>0.56999999999999995</v>
      </c>
      <c r="AS8" s="9"/>
      <c r="AT8" s="9">
        <v>0.4</v>
      </c>
      <c r="AU8" s="9">
        <v>400</v>
      </c>
      <c r="AV8" s="9">
        <v>0.45479452100000001</v>
      </c>
      <c r="AW8" s="9">
        <v>450</v>
      </c>
      <c r="AX8" s="9">
        <v>0.4</v>
      </c>
      <c r="AY8" s="9">
        <v>218</v>
      </c>
      <c r="AZ8" s="9">
        <v>0.45479452100000001</v>
      </c>
      <c r="BA8" s="9">
        <v>243</v>
      </c>
      <c r="BB8" s="9">
        <v>0.4</v>
      </c>
      <c r="BC8" s="9">
        <v>218</v>
      </c>
      <c r="BD8" s="9">
        <v>0.45479452100000001</v>
      </c>
      <c r="BE8" s="9">
        <v>243</v>
      </c>
      <c r="BF8" s="9">
        <v>0.95</v>
      </c>
      <c r="BG8" s="93">
        <v>0.68151976137695103</v>
      </c>
      <c r="BI8" s="141">
        <f t="shared" ref="BI8:BI36" si="0">AL8*S8*300</f>
        <v>870993.60044760001</v>
      </c>
    </row>
    <row r="9" spans="1:61" ht="18" customHeight="1">
      <c r="A9" s="9">
        <v>2020</v>
      </c>
      <c r="B9" s="9" t="s">
        <v>41</v>
      </c>
      <c r="C9" s="9" t="s">
        <v>43</v>
      </c>
      <c r="D9" s="10">
        <v>221.0831</v>
      </c>
      <c r="E9" s="10">
        <v>930.96939999999995</v>
      </c>
      <c r="F9" s="10">
        <v>2</v>
      </c>
      <c r="G9" s="10">
        <v>0</v>
      </c>
      <c r="H9" s="10">
        <v>2</v>
      </c>
      <c r="I9" s="10">
        <v>0</v>
      </c>
      <c r="J9" s="10">
        <v>0</v>
      </c>
      <c r="K9" s="10">
        <v>0</v>
      </c>
      <c r="L9" s="10">
        <v>7</v>
      </c>
      <c r="M9" s="10">
        <v>230.93870000000001</v>
      </c>
      <c r="N9" s="10">
        <v>2</v>
      </c>
      <c r="O9" s="10">
        <v>453.62119999999999</v>
      </c>
      <c r="P9" s="10">
        <v>3</v>
      </c>
      <c r="Q9" s="10">
        <v>237.40950000000001</v>
      </c>
      <c r="R9" s="10">
        <v>216.0831</v>
      </c>
      <c r="S9" s="10">
        <v>239.93870000000001</v>
      </c>
      <c r="T9" s="11">
        <v>0</v>
      </c>
      <c r="U9" s="11">
        <v>0</v>
      </c>
      <c r="V9" s="11">
        <v>100</v>
      </c>
      <c r="W9" s="9">
        <v>400</v>
      </c>
      <c r="X9" s="12">
        <v>450</v>
      </c>
      <c r="Y9" s="11">
        <v>35</v>
      </c>
      <c r="Z9" s="9">
        <v>400</v>
      </c>
      <c r="AA9" s="12">
        <v>450</v>
      </c>
      <c r="AB9" s="9">
        <v>2.5</v>
      </c>
      <c r="AC9" s="11">
        <v>0.1</v>
      </c>
      <c r="AD9" s="9">
        <v>0.83</v>
      </c>
      <c r="AE9" s="24">
        <v>0.05</v>
      </c>
      <c r="AF9" s="24">
        <v>0.05</v>
      </c>
      <c r="AG9" s="24">
        <v>0.48346807340699999</v>
      </c>
      <c r="AH9" s="19">
        <v>0</v>
      </c>
      <c r="AI9" s="21">
        <v>3.5000000000000003E-2</v>
      </c>
      <c r="AJ9" s="21">
        <v>0.21129999999999999</v>
      </c>
      <c r="AK9" s="21">
        <v>3.7999999999999999E-2</v>
      </c>
      <c r="AL9" s="12">
        <v>4.0439410000000002</v>
      </c>
      <c r="AM9" s="9">
        <v>0.56999999999999995</v>
      </c>
      <c r="AN9" s="9">
        <v>0.56999999999999995</v>
      </c>
      <c r="AO9" s="9">
        <v>0.56999999999999995</v>
      </c>
      <c r="AP9" s="9">
        <v>0.56999999999999995</v>
      </c>
      <c r="AQ9" s="9">
        <v>0.56999999999999995</v>
      </c>
      <c r="AR9" s="9">
        <v>0.56999999999999995</v>
      </c>
      <c r="AS9" s="9"/>
      <c r="AT9" s="9">
        <v>0.4</v>
      </c>
      <c r="AU9" s="9">
        <v>400</v>
      </c>
      <c r="AV9" s="9">
        <v>0.45479452100000001</v>
      </c>
      <c r="AW9" s="9">
        <v>450</v>
      </c>
      <c r="AX9" s="9">
        <v>0.4</v>
      </c>
      <c r="AY9" s="9">
        <v>218</v>
      </c>
      <c r="AZ9" s="9">
        <v>0.45479452100000001</v>
      </c>
      <c r="BA9" s="9">
        <v>243</v>
      </c>
      <c r="BB9" s="9">
        <v>0.4</v>
      </c>
      <c r="BC9" s="9">
        <v>218</v>
      </c>
      <c r="BD9" s="9">
        <v>0.45479452100000001</v>
      </c>
      <c r="BE9" s="9">
        <v>243</v>
      </c>
      <c r="BF9" s="9">
        <v>0.95</v>
      </c>
      <c r="BG9" s="93">
        <v>0.85714285714285698</v>
      </c>
      <c r="BI9" s="141">
        <f t="shared" si="0"/>
        <v>291089.38392501004</v>
      </c>
    </row>
    <row r="10" spans="1:61" ht="18" customHeight="1">
      <c r="A10" s="9">
        <v>2020</v>
      </c>
      <c r="B10" s="9" t="s">
        <v>44</v>
      </c>
      <c r="C10" s="9" t="s">
        <v>45</v>
      </c>
      <c r="D10" s="10">
        <v>341.88589999999999</v>
      </c>
      <c r="E10" s="10">
        <v>2495.88</v>
      </c>
      <c r="F10" s="10">
        <v>0</v>
      </c>
      <c r="G10" s="10">
        <v>0</v>
      </c>
      <c r="H10" s="10">
        <v>0</v>
      </c>
      <c r="I10" s="10">
        <v>0</v>
      </c>
      <c r="J10" s="10">
        <v>137.8203</v>
      </c>
      <c r="K10" s="10">
        <v>11</v>
      </c>
      <c r="L10" s="10">
        <v>401.02480000000003</v>
      </c>
      <c r="M10" s="10">
        <v>369.4889</v>
      </c>
      <c r="N10" s="10">
        <v>267.20440000000002</v>
      </c>
      <c r="O10" s="10">
        <v>459.50749999999999</v>
      </c>
      <c r="P10" s="10">
        <v>68.6815</v>
      </c>
      <c r="Q10" s="10">
        <v>576.83209999999997</v>
      </c>
      <c r="R10" s="10">
        <v>6</v>
      </c>
      <c r="S10" s="10">
        <v>1459.54</v>
      </c>
      <c r="T10" s="11">
        <v>1.06</v>
      </c>
      <c r="U10" s="11">
        <v>0</v>
      </c>
      <c r="V10" s="11">
        <v>98.94</v>
      </c>
      <c r="W10" s="9">
        <v>400</v>
      </c>
      <c r="X10" s="12">
        <v>450</v>
      </c>
      <c r="Y10" s="11">
        <v>35</v>
      </c>
      <c r="Z10" s="9">
        <v>400</v>
      </c>
      <c r="AA10" s="12">
        <v>450</v>
      </c>
      <c r="AB10" s="9">
        <v>2.5</v>
      </c>
      <c r="AC10" s="11">
        <v>0.1</v>
      </c>
      <c r="AD10" s="9">
        <v>0.83</v>
      </c>
      <c r="AE10" s="24">
        <v>0.05</v>
      </c>
      <c r="AF10" s="24">
        <v>0.05</v>
      </c>
      <c r="AG10" s="24">
        <v>2.5000000000000001E-2</v>
      </c>
      <c r="AH10" s="19">
        <v>0</v>
      </c>
      <c r="AI10" s="21">
        <v>3.5000000000000003E-2</v>
      </c>
      <c r="AJ10" s="21">
        <v>0.21129999999999999</v>
      </c>
      <c r="AK10" s="21">
        <v>3.7999999999999999E-2</v>
      </c>
      <c r="AL10" s="12">
        <v>5.8177539999999999</v>
      </c>
      <c r="AM10" s="9">
        <v>0.56999999999999995</v>
      </c>
      <c r="AN10" s="9">
        <v>0.56999999999999995</v>
      </c>
      <c r="AO10" s="9">
        <v>0.56999999999999995</v>
      </c>
      <c r="AP10" s="9">
        <v>0.56999999999999995</v>
      </c>
      <c r="AQ10" s="9">
        <v>0.56999999999999995</v>
      </c>
      <c r="AR10" s="9">
        <v>0.56999999999999995</v>
      </c>
      <c r="AS10" s="9"/>
      <c r="AT10" s="9">
        <v>0.4</v>
      </c>
      <c r="AU10" s="9">
        <v>400</v>
      </c>
      <c r="AV10" s="9">
        <v>0.45479452100000001</v>
      </c>
      <c r="AW10" s="9">
        <v>450</v>
      </c>
      <c r="AX10" s="9">
        <v>0.4</v>
      </c>
      <c r="AY10" s="9">
        <v>218</v>
      </c>
      <c r="AZ10" s="9">
        <v>0.45479452100000001</v>
      </c>
      <c r="BA10" s="9">
        <v>243</v>
      </c>
      <c r="BB10" s="9">
        <v>0.4</v>
      </c>
      <c r="BC10" s="9">
        <v>218</v>
      </c>
      <c r="BD10" s="9">
        <v>0.45479452100000001</v>
      </c>
      <c r="BE10" s="9">
        <v>243</v>
      </c>
      <c r="BF10" s="9">
        <v>0.95</v>
      </c>
      <c r="BG10" s="93">
        <v>0.73844343877432606</v>
      </c>
      <c r="BI10" s="141">
        <f t="shared" si="0"/>
        <v>2547373.4019479998</v>
      </c>
    </row>
    <row r="11" spans="1:61" ht="18" customHeight="1">
      <c r="A11" s="9">
        <v>2020</v>
      </c>
      <c r="B11" s="9" t="s">
        <v>39</v>
      </c>
      <c r="C11" s="9" t="s">
        <v>46</v>
      </c>
      <c r="D11" s="10">
        <v>331.00130000000001</v>
      </c>
      <c r="E11" s="10">
        <v>4116.34</v>
      </c>
      <c r="F11" s="10">
        <v>10</v>
      </c>
      <c r="G11" s="10">
        <v>2</v>
      </c>
      <c r="H11" s="10">
        <v>10</v>
      </c>
      <c r="I11" s="10">
        <v>2</v>
      </c>
      <c r="J11" s="10">
        <v>1</v>
      </c>
      <c r="K11" s="10">
        <v>613.37660000000005</v>
      </c>
      <c r="L11" s="10">
        <v>630.07230000000004</v>
      </c>
      <c r="M11" s="10">
        <v>687.64949999999999</v>
      </c>
      <c r="N11" s="10">
        <v>35</v>
      </c>
      <c r="O11" s="10">
        <v>928.41279999999995</v>
      </c>
      <c r="P11" s="10">
        <v>290.00130000000001</v>
      </c>
      <c r="Q11" s="10">
        <v>956.11630000000002</v>
      </c>
      <c r="R11" s="10">
        <v>6</v>
      </c>
      <c r="S11" s="10">
        <v>2231.8110000000001</v>
      </c>
      <c r="T11" s="11">
        <v>0.36</v>
      </c>
      <c r="U11" s="11">
        <v>0</v>
      </c>
      <c r="V11" s="11">
        <v>99.64</v>
      </c>
      <c r="W11" s="9">
        <v>400</v>
      </c>
      <c r="X11" s="12">
        <v>450</v>
      </c>
      <c r="Y11" s="11">
        <v>35</v>
      </c>
      <c r="Z11" s="9">
        <v>400</v>
      </c>
      <c r="AA11" s="12">
        <v>450</v>
      </c>
      <c r="AB11" s="9">
        <v>2.5</v>
      </c>
      <c r="AC11" s="11">
        <v>0.1</v>
      </c>
      <c r="AD11" s="9">
        <v>0.83</v>
      </c>
      <c r="AE11" s="24">
        <v>0.05</v>
      </c>
      <c r="AF11" s="24">
        <v>0.05</v>
      </c>
      <c r="AG11" s="24">
        <v>1.9698339626999999E-4</v>
      </c>
      <c r="AH11" s="19">
        <v>0</v>
      </c>
      <c r="AI11" s="21">
        <v>3.5000000000000003E-2</v>
      </c>
      <c r="AJ11" s="21">
        <v>0.21129999999999999</v>
      </c>
      <c r="AK11" s="21">
        <v>3.7999999999999999E-2</v>
      </c>
      <c r="AL11" s="12">
        <v>7.6976190000000004</v>
      </c>
      <c r="AM11" s="9">
        <v>0.56999999999999995</v>
      </c>
      <c r="AN11" s="9">
        <v>0.56999999999999995</v>
      </c>
      <c r="AO11" s="9">
        <v>0.56999999999999995</v>
      </c>
      <c r="AP11" s="9">
        <v>0.56999999999999995</v>
      </c>
      <c r="AQ11" s="9">
        <v>0.56999999999999995</v>
      </c>
      <c r="AR11" s="9">
        <v>0.56999999999999995</v>
      </c>
      <c r="AS11" s="9"/>
      <c r="AT11" s="9">
        <v>0.4</v>
      </c>
      <c r="AU11" s="9">
        <v>400</v>
      </c>
      <c r="AV11" s="9">
        <v>0.45479452100000001</v>
      </c>
      <c r="AW11" s="9">
        <v>450</v>
      </c>
      <c r="AX11" s="9">
        <v>0.4</v>
      </c>
      <c r="AY11" s="9">
        <v>218</v>
      </c>
      <c r="AZ11" s="9">
        <v>0.45479452100000001</v>
      </c>
      <c r="BA11" s="9">
        <v>243</v>
      </c>
      <c r="BB11" s="9">
        <v>0.4</v>
      </c>
      <c r="BC11" s="9">
        <v>218</v>
      </c>
      <c r="BD11" s="9">
        <v>0.45479452100000001</v>
      </c>
      <c r="BE11" s="9">
        <v>243</v>
      </c>
      <c r="BF11" s="9">
        <v>0.95</v>
      </c>
      <c r="BG11" s="93">
        <v>0.70452258269395696</v>
      </c>
      <c r="BI11" s="141">
        <f t="shared" si="0"/>
        <v>5153889.227402701</v>
      </c>
    </row>
    <row r="12" spans="1:61" ht="18" customHeight="1">
      <c r="A12" s="9">
        <v>2020</v>
      </c>
      <c r="B12" s="9" t="s">
        <v>41</v>
      </c>
      <c r="C12" s="9" t="s">
        <v>47</v>
      </c>
      <c r="D12" s="10">
        <v>1112.7829999999999</v>
      </c>
      <c r="E12" s="10">
        <v>6589.3090000000002</v>
      </c>
      <c r="F12" s="10">
        <v>3</v>
      </c>
      <c r="G12" s="10">
        <v>1</v>
      </c>
      <c r="H12" s="10">
        <v>3</v>
      </c>
      <c r="I12" s="10">
        <v>1</v>
      </c>
      <c r="J12" s="10">
        <v>8</v>
      </c>
      <c r="K12" s="10">
        <v>273.81049999999999</v>
      </c>
      <c r="L12" s="10">
        <v>1104.3800000000001</v>
      </c>
      <c r="M12" s="10">
        <v>1723.4059999999999</v>
      </c>
      <c r="N12" s="10">
        <v>1106.7829999999999</v>
      </c>
      <c r="O12" s="10">
        <v>2532.6120000000001</v>
      </c>
      <c r="P12" s="10">
        <v>1</v>
      </c>
      <c r="Q12" s="10">
        <v>1149.345</v>
      </c>
      <c r="R12" s="10">
        <v>5</v>
      </c>
      <c r="S12" s="10">
        <v>2907.3519999999999</v>
      </c>
      <c r="T12" s="11">
        <v>5.05</v>
      </c>
      <c r="U12" s="11">
        <v>0</v>
      </c>
      <c r="V12" s="11">
        <v>94.95</v>
      </c>
      <c r="W12" s="9">
        <v>400</v>
      </c>
      <c r="X12" s="12">
        <v>450</v>
      </c>
      <c r="Y12" s="11">
        <v>35</v>
      </c>
      <c r="Z12" s="9">
        <v>400</v>
      </c>
      <c r="AA12" s="12">
        <v>450</v>
      </c>
      <c r="AB12" s="9">
        <v>2.5</v>
      </c>
      <c r="AC12" s="11">
        <v>0.1</v>
      </c>
      <c r="AD12" s="9">
        <v>0.83</v>
      </c>
      <c r="AE12" s="24">
        <v>0.05</v>
      </c>
      <c r="AF12" s="24">
        <v>0.05</v>
      </c>
      <c r="AG12" s="24">
        <v>0.226099668979</v>
      </c>
      <c r="AH12" s="19">
        <v>0</v>
      </c>
      <c r="AI12" s="21">
        <v>3.5000000000000003E-2</v>
      </c>
      <c r="AJ12" s="21">
        <v>0.21129999999999999</v>
      </c>
      <c r="AK12" s="21">
        <v>3.7999999999999999E-2</v>
      </c>
      <c r="AL12" s="12">
        <v>5.0096990000000003</v>
      </c>
      <c r="AM12" s="9">
        <v>0.56999999999999995</v>
      </c>
      <c r="AN12" s="9">
        <v>0.56999999999999995</v>
      </c>
      <c r="AO12" s="9">
        <v>0.56999999999999995</v>
      </c>
      <c r="AP12" s="9">
        <v>0.56999999999999995</v>
      </c>
      <c r="AQ12" s="9">
        <v>0.56999999999999995</v>
      </c>
      <c r="AR12" s="9">
        <v>0.56999999999999995</v>
      </c>
      <c r="AS12" s="9"/>
      <c r="AT12" s="9">
        <v>0.4</v>
      </c>
      <c r="AU12" s="9">
        <v>400</v>
      </c>
      <c r="AV12" s="9">
        <v>0.45479452100000001</v>
      </c>
      <c r="AW12" s="9">
        <v>450</v>
      </c>
      <c r="AX12" s="9">
        <v>0.4</v>
      </c>
      <c r="AY12" s="9">
        <v>218</v>
      </c>
      <c r="AZ12" s="9">
        <v>0.45479452100000001</v>
      </c>
      <c r="BA12" s="9">
        <v>243</v>
      </c>
      <c r="BB12" s="9">
        <v>0.4</v>
      </c>
      <c r="BC12" s="9">
        <v>218</v>
      </c>
      <c r="BD12" s="9">
        <v>0.45479452100000001</v>
      </c>
      <c r="BE12" s="9">
        <v>243</v>
      </c>
      <c r="BF12" s="9">
        <v>0.95</v>
      </c>
      <c r="BG12" s="93">
        <v>0.68057553579406405</v>
      </c>
      <c r="BI12" s="141">
        <f t="shared" si="0"/>
        <v>4369487.5221143998</v>
      </c>
    </row>
    <row r="13" spans="1:61" s="139" customFormat="1" ht="18" customHeight="1">
      <c r="A13" s="89">
        <v>2020</v>
      </c>
      <c r="B13" s="89" t="s">
        <v>48</v>
      </c>
      <c r="C13" s="89" t="s">
        <v>49</v>
      </c>
      <c r="D13" s="132">
        <v>33</v>
      </c>
      <c r="E13" s="132">
        <v>784.82129999999995</v>
      </c>
      <c r="F13" s="132">
        <v>2</v>
      </c>
      <c r="G13" s="132">
        <v>276.75409999999999</v>
      </c>
      <c r="H13" s="132">
        <v>2</v>
      </c>
      <c r="I13" s="132">
        <v>276.75409999999999</v>
      </c>
      <c r="J13" s="132">
        <v>0</v>
      </c>
      <c r="K13" s="132">
        <v>0</v>
      </c>
      <c r="L13" s="132">
        <v>27</v>
      </c>
      <c r="M13" s="132">
        <v>264.61270000000002</v>
      </c>
      <c r="N13" s="132">
        <v>18</v>
      </c>
      <c r="O13" s="132">
        <v>29</v>
      </c>
      <c r="P13" s="132">
        <v>4</v>
      </c>
      <c r="Q13" s="132">
        <v>10</v>
      </c>
      <c r="R13" s="132">
        <v>11</v>
      </c>
      <c r="S13" s="132">
        <v>745.82129999999995</v>
      </c>
      <c r="T13" s="133">
        <v>0.1</v>
      </c>
      <c r="U13" s="133">
        <v>0</v>
      </c>
      <c r="V13" s="133">
        <v>99.9</v>
      </c>
      <c r="W13" s="89">
        <v>400</v>
      </c>
      <c r="X13" s="134">
        <v>450</v>
      </c>
      <c r="Y13" s="133">
        <v>35</v>
      </c>
      <c r="Z13" s="89">
        <v>400</v>
      </c>
      <c r="AA13" s="134">
        <v>450</v>
      </c>
      <c r="AB13" s="89">
        <v>2.5</v>
      </c>
      <c r="AC13" s="133">
        <v>0.1</v>
      </c>
      <c r="AD13" s="89">
        <v>0.83</v>
      </c>
      <c r="AE13" s="135">
        <v>0.05</v>
      </c>
      <c r="AF13" s="135">
        <v>0.05</v>
      </c>
      <c r="AG13" s="135">
        <v>3.4178494894499999E-2</v>
      </c>
      <c r="AH13" s="136">
        <v>0</v>
      </c>
      <c r="AI13" s="137">
        <v>3.5000000000000003E-2</v>
      </c>
      <c r="AJ13" s="137">
        <v>0.21129999999999999</v>
      </c>
      <c r="AK13" s="137">
        <v>3.7999999999999999E-2</v>
      </c>
      <c r="AL13" s="134">
        <v>18.38552</v>
      </c>
      <c r="AM13" s="89">
        <v>0.56999999999999995</v>
      </c>
      <c r="AN13" s="89">
        <v>0.56999999999999995</v>
      </c>
      <c r="AO13" s="89">
        <v>0.56999999999999995</v>
      </c>
      <c r="AP13" s="89">
        <v>0.56999999999999995</v>
      </c>
      <c r="AQ13" s="89">
        <v>0.56999999999999995</v>
      </c>
      <c r="AR13" s="89">
        <v>0.56999999999999995</v>
      </c>
      <c r="AS13" s="89"/>
      <c r="AT13" s="89">
        <v>0.4</v>
      </c>
      <c r="AU13" s="89">
        <v>400</v>
      </c>
      <c r="AV13" s="89">
        <v>0.45479452100000001</v>
      </c>
      <c r="AW13" s="89">
        <v>450</v>
      </c>
      <c r="AX13" s="89">
        <v>0.4</v>
      </c>
      <c r="AY13" s="89">
        <v>218</v>
      </c>
      <c r="AZ13" s="89">
        <v>0.45479452100000001</v>
      </c>
      <c r="BA13" s="89">
        <v>243</v>
      </c>
      <c r="BB13" s="89">
        <v>0.4</v>
      </c>
      <c r="BC13" s="89">
        <v>218</v>
      </c>
      <c r="BD13" s="89">
        <v>0.45479452100000001</v>
      </c>
      <c r="BE13" s="89">
        <v>243</v>
      </c>
      <c r="BF13" s="89">
        <v>0.95</v>
      </c>
      <c r="BG13" s="138">
        <v>0.74195865534384497</v>
      </c>
      <c r="BI13" s="141">
        <f t="shared" si="0"/>
        <v>4113693.7282727994</v>
      </c>
    </row>
    <row r="14" spans="1:61" ht="18" customHeight="1">
      <c r="A14" s="9">
        <v>2020</v>
      </c>
      <c r="B14" s="9" t="s">
        <v>48</v>
      </c>
      <c r="C14" s="9" t="s">
        <v>50</v>
      </c>
      <c r="D14" s="10">
        <v>444.87639999999999</v>
      </c>
      <c r="E14" s="10">
        <v>1513.4010000000001</v>
      </c>
      <c r="F14" s="10">
        <v>0</v>
      </c>
      <c r="G14" s="10">
        <v>134.23259999999999</v>
      </c>
      <c r="H14" s="10">
        <v>0</v>
      </c>
      <c r="I14" s="10">
        <v>134.23259999999999</v>
      </c>
      <c r="J14" s="10">
        <v>0</v>
      </c>
      <c r="K14" s="10">
        <v>329.21640000000002</v>
      </c>
      <c r="L14" s="10">
        <v>468.44900000000001</v>
      </c>
      <c r="M14" s="10">
        <v>206.34889999999999</v>
      </c>
      <c r="N14" s="10">
        <v>373.76010000000002</v>
      </c>
      <c r="O14" s="10">
        <v>207.34889999999999</v>
      </c>
      <c r="P14" s="10">
        <v>67.116309999999999</v>
      </c>
      <c r="Q14" s="10">
        <v>241.5275</v>
      </c>
      <c r="R14" s="10">
        <v>4</v>
      </c>
      <c r="S14" s="10">
        <v>1064.5250000000001</v>
      </c>
      <c r="T14" s="11">
        <v>16.809999999999999</v>
      </c>
      <c r="U14" s="11">
        <v>0</v>
      </c>
      <c r="V14" s="11">
        <v>83.19</v>
      </c>
      <c r="W14" s="9">
        <v>400</v>
      </c>
      <c r="X14" s="12">
        <v>450</v>
      </c>
      <c r="Y14" s="11">
        <v>35</v>
      </c>
      <c r="Z14" s="9">
        <v>400</v>
      </c>
      <c r="AA14" s="12">
        <v>450</v>
      </c>
      <c r="AB14" s="9">
        <v>2.5</v>
      </c>
      <c r="AC14" s="11">
        <v>0.1</v>
      </c>
      <c r="AD14" s="9">
        <v>0.83</v>
      </c>
      <c r="AE14" s="24">
        <v>0.05</v>
      </c>
      <c r="AF14" s="24">
        <v>0.05</v>
      </c>
      <c r="AG14" s="24">
        <v>0</v>
      </c>
      <c r="AH14" s="19">
        <v>0</v>
      </c>
      <c r="AI14" s="21">
        <v>3.5000000000000003E-2</v>
      </c>
      <c r="AJ14" s="21">
        <v>0.21129999999999999</v>
      </c>
      <c r="AK14" s="21">
        <v>3.7999999999999999E-2</v>
      </c>
      <c r="AL14" s="12">
        <v>4.3570489999999999</v>
      </c>
      <c r="AM14" s="9">
        <v>0.56999999999999995</v>
      </c>
      <c r="AN14" s="9">
        <v>0.56999999999999995</v>
      </c>
      <c r="AO14" s="9">
        <v>0.56999999999999995</v>
      </c>
      <c r="AP14" s="9">
        <v>0.56999999999999995</v>
      </c>
      <c r="AQ14" s="9">
        <v>0.56999999999999995</v>
      </c>
      <c r="AR14" s="9">
        <v>0.56999999999999995</v>
      </c>
      <c r="AS14" s="9"/>
      <c r="AT14" s="9">
        <v>0.4</v>
      </c>
      <c r="AU14" s="9">
        <v>400</v>
      </c>
      <c r="AV14" s="9">
        <v>0.45479452100000001</v>
      </c>
      <c r="AW14" s="9">
        <v>450</v>
      </c>
      <c r="AX14" s="9">
        <v>0.4</v>
      </c>
      <c r="AY14" s="9">
        <v>218</v>
      </c>
      <c r="AZ14" s="9">
        <v>0.45479452100000001</v>
      </c>
      <c r="BA14" s="9">
        <v>243</v>
      </c>
      <c r="BB14" s="9">
        <v>0.4</v>
      </c>
      <c r="BC14" s="9">
        <v>218</v>
      </c>
      <c r="BD14" s="9">
        <v>0.45479452100000001</v>
      </c>
      <c r="BE14" s="9">
        <v>243</v>
      </c>
      <c r="BF14" s="9">
        <v>0.95</v>
      </c>
      <c r="BG14" s="93">
        <v>0.77868322111813004</v>
      </c>
      <c r="BI14" s="141">
        <f t="shared" si="0"/>
        <v>1391456.2760175001</v>
      </c>
    </row>
    <row r="15" spans="1:61" ht="18" customHeight="1">
      <c r="A15" s="9">
        <v>2020</v>
      </c>
      <c r="B15" s="9" t="s">
        <v>48</v>
      </c>
      <c r="C15" s="9" t="s">
        <v>51</v>
      </c>
      <c r="D15" s="10">
        <v>721.53330000000005</v>
      </c>
      <c r="E15" s="10">
        <v>2537.2849999999999</v>
      </c>
      <c r="F15" s="10">
        <v>523.78970000000004</v>
      </c>
      <c r="G15" s="10">
        <v>0</v>
      </c>
      <c r="H15" s="10">
        <v>523.78970000000004</v>
      </c>
      <c r="I15" s="10">
        <v>0</v>
      </c>
      <c r="J15" s="10">
        <v>0</v>
      </c>
      <c r="K15" s="10">
        <v>1</v>
      </c>
      <c r="L15" s="10">
        <v>692.36130000000003</v>
      </c>
      <c r="M15" s="10">
        <v>217.78460000000001</v>
      </c>
      <c r="N15" s="10">
        <v>720.53330000000005</v>
      </c>
      <c r="O15" s="10">
        <v>1009.487</v>
      </c>
      <c r="P15" s="10">
        <v>1</v>
      </c>
      <c r="Q15" s="10">
        <v>398.86720000000003</v>
      </c>
      <c r="R15" s="10">
        <v>0</v>
      </c>
      <c r="S15" s="10">
        <v>1128.931</v>
      </c>
      <c r="T15" s="11">
        <v>0</v>
      </c>
      <c r="U15" s="11">
        <v>0</v>
      </c>
      <c r="V15" s="11">
        <v>100</v>
      </c>
      <c r="W15" s="9">
        <v>400</v>
      </c>
      <c r="X15" s="12">
        <v>450</v>
      </c>
      <c r="Y15" s="11">
        <v>35</v>
      </c>
      <c r="Z15" s="9">
        <v>400</v>
      </c>
      <c r="AA15" s="12">
        <v>450</v>
      </c>
      <c r="AB15" s="9">
        <v>2.5</v>
      </c>
      <c r="AC15" s="11">
        <v>0.1</v>
      </c>
      <c r="AD15" s="9">
        <v>0.83</v>
      </c>
      <c r="AE15" s="24">
        <v>0.05</v>
      </c>
      <c r="AF15" s="24">
        <v>0.05</v>
      </c>
      <c r="AG15" s="24">
        <v>4.9656229689799998E-2</v>
      </c>
      <c r="AH15" s="19">
        <v>5.7742888241499996E-4</v>
      </c>
      <c r="AI15" s="21">
        <v>3.5000000000000003E-2</v>
      </c>
      <c r="AJ15" s="21">
        <v>0.21129999999999999</v>
      </c>
      <c r="AK15" s="21">
        <v>3.7999999999999999E-2</v>
      </c>
      <c r="AL15" s="12">
        <v>3.681772</v>
      </c>
      <c r="AM15" s="9">
        <v>0.56999999999999995</v>
      </c>
      <c r="AN15" s="9">
        <v>0.56999999999999995</v>
      </c>
      <c r="AO15" s="9">
        <v>0.56999999999999995</v>
      </c>
      <c r="AP15" s="9">
        <v>0.56999999999999995</v>
      </c>
      <c r="AQ15" s="9">
        <v>0.56999999999999995</v>
      </c>
      <c r="AR15" s="9">
        <v>0.56999999999999995</v>
      </c>
      <c r="AS15" s="9"/>
      <c r="AT15" s="9">
        <v>0.4</v>
      </c>
      <c r="AU15" s="9">
        <v>400</v>
      </c>
      <c r="AV15" s="9">
        <v>0.45479452100000001</v>
      </c>
      <c r="AW15" s="9">
        <v>450</v>
      </c>
      <c r="AX15" s="9">
        <v>0.4</v>
      </c>
      <c r="AY15" s="9">
        <v>218</v>
      </c>
      <c r="AZ15" s="9">
        <v>0.45479452100000001</v>
      </c>
      <c r="BA15" s="9">
        <v>243</v>
      </c>
      <c r="BB15" s="9">
        <v>0.4</v>
      </c>
      <c r="BC15" s="9">
        <v>218</v>
      </c>
      <c r="BD15" s="9">
        <v>0.45479452100000001</v>
      </c>
      <c r="BE15" s="9">
        <v>243</v>
      </c>
      <c r="BF15" s="9">
        <v>0.95</v>
      </c>
      <c r="BG15" s="93">
        <v>0.64319471496648895</v>
      </c>
      <c r="BI15" s="141">
        <f t="shared" si="0"/>
        <v>1246939.9637195999</v>
      </c>
    </row>
    <row r="16" spans="1:61" ht="18" customHeight="1">
      <c r="A16" s="9">
        <v>2020</v>
      </c>
      <c r="B16" s="9" t="s">
        <v>52</v>
      </c>
      <c r="C16" s="9" t="s">
        <v>53</v>
      </c>
      <c r="D16" s="10">
        <v>1858.9459999999999</v>
      </c>
      <c r="E16" s="10">
        <v>6962.777</v>
      </c>
      <c r="F16" s="10">
        <v>0</v>
      </c>
      <c r="G16" s="10">
        <v>212.52019999999999</v>
      </c>
      <c r="H16" s="10">
        <v>0</v>
      </c>
      <c r="I16" s="10">
        <v>212.52019999999999</v>
      </c>
      <c r="J16" s="10">
        <v>0</v>
      </c>
      <c r="K16" s="10">
        <v>0</v>
      </c>
      <c r="L16" s="10">
        <v>1146.835</v>
      </c>
      <c r="M16" s="10">
        <v>1198.0229999999999</v>
      </c>
      <c r="N16" s="10">
        <v>1601.6780000000001</v>
      </c>
      <c r="O16" s="10">
        <v>1134.1420000000001</v>
      </c>
      <c r="P16" s="10">
        <v>257.2688</v>
      </c>
      <c r="Q16" s="10">
        <v>1313.146</v>
      </c>
      <c r="R16" s="10">
        <v>0</v>
      </c>
      <c r="S16" s="10">
        <v>4515.4889999999996</v>
      </c>
      <c r="T16" s="11">
        <v>0</v>
      </c>
      <c r="U16" s="11">
        <v>0</v>
      </c>
      <c r="V16" s="11">
        <v>100</v>
      </c>
      <c r="W16" s="9">
        <v>400</v>
      </c>
      <c r="X16" s="12">
        <v>450</v>
      </c>
      <c r="Y16" s="11">
        <v>35</v>
      </c>
      <c r="Z16" s="9">
        <v>400</v>
      </c>
      <c r="AA16" s="12">
        <v>450</v>
      </c>
      <c r="AB16" s="9">
        <v>2.5</v>
      </c>
      <c r="AC16" s="11">
        <v>0.1</v>
      </c>
      <c r="AD16" s="9">
        <v>0.83</v>
      </c>
      <c r="AE16" s="24">
        <v>0.05</v>
      </c>
      <c r="AF16" s="24">
        <v>0.05</v>
      </c>
      <c r="AG16" s="24">
        <v>2.53987052466E-3</v>
      </c>
      <c r="AH16" s="19">
        <v>1.38037046935E-3</v>
      </c>
      <c r="AI16" s="21">
        <v>3.5000000000000003E-2</v>
      </c>
      <c r="AJ16" s="21">
        <v>0.21129999999999999</v>
      </c>
      <c r="AK16" s="21">
        <v>3.7999999999999999E-2</v>
      </c>
      <c r="AL16" s="12">
        <v>3.2117429999999998</v>
      </c>
      <c r="AM16" s="9">
        <v>0.56999999999999995</v>
      </c>
      <c r="AN16" s="9">
        <v>0.56999999999999995</v>
      </c>
      <c r="AO16" s="9">
        <v>0.56999999999999995</v>
      </c>
      <c r="AP16" s="9">
        <v>0.56999999999999995</v>
      </c>
      <c r="AQ16" s="9">
        <v>0.56999999999999995</v>
      </c>
      <c r="AR16" s="9">
        <v>0.56999999999999995</v>
      </c>
      <c r="AS16" s="9"/>
      <c r="AT16" s="9">
        <v>0.4</v>
      </c>
      <c r="AU16" s="9">
        <v>400</v>
      </c>
      <c r="AV16" s="9">
        <v>0.45479452100000001</v>
      </c>
      <c r="AW16" s="9">
        <v>450</v>
      </c>
      <c r="AX16" s="9">
        <v>0.4</v>
      </c>
      <c r="AY16" s="9">
        <v>218</v>
      </c>
      <c r="AZ16" s="9">
        <v>0.45479452100000001</v>
      </c>
      <c r="BA16" s="9">
        <v>243</v>
      </c>
      <c r="BB16" s="9">
        <v>0.4</v>
      </c>
      <c r="BC16" s="9">
        <v>218</v>
      </c>
      <c r="BD16" s="9">
        <v>0.45479452100000001</v>
      </c>
      <c r="BE16" s="9">
        <v>243</v>
      </c>
      <c r="BF16" s="9">
        <v>0.95</v>
      </c>
      <c r="BG16" s="93">
        <v>0.62362259923044305</v>
      </c>
      <c r="BI16" s="141">
        <f t="shared" si="0"/>
        <v>4350777.0561980996</v>
      </c>
    </row>
    <row r="17" spans="1:61" ht="18" customHeight="1">
      <c r="A17" s="9">
        <v>2020</v>
      </c>
      <c r="B17" s="9" t="s">
        <v>39</v>
      </c>
      <c r="C17" s="9" t="s">
        <v>54</v>
      </c>
      <c r="D17" s="10">
        <v>982.25840000000005</v>
      </c>
      <c r="E17" s="10">
        <v>2999.1889999999999</v>
      </c>
      <c r="F17" s="10">
        <v>2</v>
      </c>
      <c r="G17" s="10">
        <v>1</v>
      </c>
      <c r="H17" s="10">
        <v>2</v>
      </c>
      <c r="I17" s="10">
        <v>1</v>
      </c>
      <c r="J17" s="10">
        <v>21</v>
      </c>
      <c r="K17" s="10">
        <v>11</v>
      </c>
      <c r="L17" s="10">
        <v>32</v>
      </c>
      <c r="M17" s="10">
        <v>1051.9159999999999</v>
      </c>
      <c r="N17" s="10">
        <v>512.85709999999995</v>
      </c>
      <c r="O17" s="10">
        <v>804.7056</v>
      </c>
      <c r="P17" s="10">
        <v>462.40129999999999</v>
      </c>
      <c r="Q17" s="10">
        <v>340.6284</v>
      </c>
      <c r="R17" s="10">
        <v>7</v>
      </c>
      <c r="S17" s="10">
        <v>1853.855</v>
      </c>
      <c r="T17" s="11">
        <v>10</v>
      </c>
      <c r="U17" s="11">
        <v>0</v>
      </c>
      <c r="V17" s="11">
        <v>90</v>
      </c>
      <c r="W17" s="9">
        <v>400</v>
      </c>
      <c r="X17" s="12">
        <v>450</v>
      </c>
      <c r="Y17" s="11">
        <v>35</v>
      </c>
      <c r="Z17" s="9">
        <v>400</v>
      </c>
      <c r="AA17" s="12">
        <v>450</v>
      </c>
      <c r="AB17" s="9">
        <v>2.5</v>
      </c>
      <c r="AC17" s="11">
        <v>0.1</v>
      </c>
      <c r="AD17" s="9">
        <v>0.83</v>
      </c>
      <c r="AE17" s="24">
        <v>0.05</v>
      </c>
      <c r="AF17" s="24">
        <v>0.05</v>
      </c>
      <c r="AG17" s="24">
        <v>4.9320196796700001E-2</v>
      </c>
      <c r="AH17" s="19">
        <v>1.5819217977E-3</v>
      </c>
      <c r="AI17" s="21">
        <v>3.5000000000000003E-2</v>
      </c>
      <c r="AJ17" s="21">
        <v>0.21129999999999999</v>
      </c>
      <c r="AK17" s="21">
        <v>3.7999999999999999E-2</v>
      </c>
      <c r="AL17" s="12">
        <v>2.7323330000000001</v>
      </c>
      <c r="AM17" s="9">
        <v>0.56999999999999995</v>
      </c>
      <c r="AN17" s="9">
        <v>0.56999999999999995</v>
      </c>
      <c r="AO17" s="9">
        <v>0.56999999999999995</v>
      </c>
      <c r="AP17" s="9">
        <v>0.56999999999999995</v>
      </c>
      <c r="AQ17" s="9">
        <v>0.56999999999999995</v>
      </c>
      <c r="AR17" s="9">
        <v>0.56999999999999995</v>
      </c>
      <c r="AS17" s="9"/>
      <c r="AT17" s="9">
        <v>0.4</v>
      </c>
      <c r="AU17" s="9">
        <v>400</v>
      </c>
      <c r="AV17" s="9">
        <v>0.45479452100000001</v>
      </c>
      <c r="AW17" s="9">
        <v>450</v>
      </c>
      <c r="AX17" s="9">
        <v>0.4</v>
      </c>
      <c r="AY17" s="9">
        <v>218</v>
      </c>
      <c r="AZ17" s="9">
        <v>0.45479452100000001</v>
      </c>
      <c r="BA17" s="9">
        <v>243</v>
      </c>
      <c r="BB17" s="9">
        <v>0.4</v>
      </c>
      <c r="BC17" s="9">
        <v>218</v>
      </c>
      <c r="BD17" s="9">
        <v>0.45479452100000001</v>
      </c>
      <c r="BE17" s="9">
        <v>243</v>
      </c>
      <c r="BF17" s="9">
        <v>0.95</v>
      </c>
      <c r="BG17" s="93">
        <v>0.71562117480087695</v>
      </c>
      <c r="BI17" s="141">
        <f t="shared" si="0"/>
        <v>1519604.7581145</v>
      </c>
    </row>
    <row r="18" spans="1:61" s="139" customFormat="1" ht="18" customHeight="1">
      <c r="A18" s="89">
        <v>2020</v>
      </c>
      <c r="B18" s="89" t="s">
        <v>44</v>
      </c>
      <c r="C18" s="89" t="s">
        <v>55</v>
      </c>
      <c r="D18" s="132">
        <v>224.44739999999999</v>
      </c>
      <c r="E18" s="132">
        <v>1633.81</v>
      </c>
      <c r="F18" s="132">
        <v>55.777430000000003</v>
      </c>
      <c r="G18" s="132">
        <v>175.7276</v>
      </c>
      <c r="H18" s="132">
        <v>55.777430000000003</v>
      </c>
      <c r="I18" s="132">
        <v>175.7276</v>
      </c>
      <c r="J18" s="132">
        <v>45.99492</v>
      </c>
      <c r="K18" s="132">
        <v>0</v>
      </c>
      <c r="L18" s="132">
        <v>176.90440000000001</v>
      </c>
      <c r="M18" s="132">
        <v>456.94659999999999</v>
      </c>
      <c r="N18" s="132">
        <v>144.22620000000001</v>
      </c>
      <c r="O18" s="132">
        <v>618.84370000000001</v>
      </c>
      <c r="P18" s="132">
        <v>36.397660000000002</v>
      </c>
      <c r="Q18" s="132">
        <v>389.34589999999997</v>
      </c>
      <c r="R18" s="132">
        <v>43.823500000000003</v>
      </c>
      <c r="S18" s="132">
        <v>625.62030000000004</v>
      </c>
      <c r="T18" s="133">
        <v>18.45</v>
      </c>
      <c r="U18" s="133">
        <v>0</v>
      </c>
      <c r="V18" s="133">
        <v>81.55</v>
      </c>
      <c r="W18" s="89">
        <v>400</v>
      </c>
      <c r="X18" s="134">
        <v>450</v>
      </c>
      <c r="Y18" s="133">
        <v>35</v>
      </c>
      <c r="Z18" s="89">
        <v>400</v>
      </c>
      <c r="AA18" s="134">
        <v>450</v>
      </c>
      <c r="AB18" s="89">
        <v>2.5</v>
      </c>
      <c r="AC18" s="133">
        <v>0.1</v>
      </c>
      <c r="AD18" s="89">
        <v>0.83</v>
      </c>
      <c r="AE18" s="135">
        <v>0.05</v>
      </c>
      <c r="AF18" s="135">
        <v>0.05</v>
      </c>
      <c r="AG18" s="135">
        <v>2.34920803554E-2</v>
      </c>
      <c r="AH18" s="136">
        <v>1.7197779973E-3</v>
      </c>
      <c r="AI18" s="137">
        <v>3.5000000000000003E-2</v>
      </c>
      <c r="AJ18" s="137">
        <v>0.21129999999999999</v>
      </c>
      <c r="AK18" s="137">
        <v>3.7999999999999999E-2</v>
      </c>
      <c r="AL18" s="134">
        <v>7.8454269999999999</v>
      </c>
      <c r="AM18" s="89">
        <v>0.56999999999999995</v>
      </c>
      <c r="AN18" s="89">
        <v>0.56999999999999995</v>
      </c>
      <c r="AO18" s="89">
        <v>0.56999999999999995</v>
      </c>
      <c r="AP18" s="89">
        <v>0.56999999999999995</v>
      </c>
      <c r="AQ18" s="89">
        <v>0.56999999999999995</v>
      </c>
      <c r="AR18" s="89">
        <v>0.56999999999999995</v>
      </c>
      <c r="AS18" s="89"/>
      <c r="AT18" s="89">
        <v>0.4</v>
      </c>
      <c r="AU18" s="89">
        <v>400</v>
      </c>
      <c r="AV18" s="89">
        <v>0.45479452100000001</v>
      </c>
      <c r="AW18" s="89">
        <v>450</v>
      </c>
      <c r="AX18" s="89">
        <v>0.4</v>
      </c>
      <c r="AY18" s="89">
        <v>218</v>
      </c>
      <c r="AZ18" s="89">
        <v>0.45479452100000001</v>
      </c>
      <c r="BA18" s="89">
        <v>243</v>
      </c>
      <c r="BB18" s="89">
        <v>0.4</v>
      </c>
      <c r="BC18" s="89">
        <v>218</v>
      </c>
      <c r="BD18" s="89">
        <v>0.45479452100000001</v>
      </c>
      <c r="BE18" s="89">
        <v>243</v>
      </c>
      <c r="BF18" s="89">
        <v>0.95</v>
      </c>
      <c r="BG18" s="138">
        <v>0.63801922771798503</v>
      </c>
      <c r="BI18" s="141">
        <f t="shared" si="0"/>
        <v>1472477.51801043</v>
      </c>
    </row>
    <row r="19" spans="1:61" s="139" customFormat="1" ht="18" customHeight="1">
      <c r="A19" s="89">
        <v>2020</v>
      </c>
      <c r="B19" s="89" t="s">
        <v>39</v>
      </c>
      <c r="C19" s="89" t="s">
        <v>56</v>
      </c>
      <c r="D19" s="132">
        <v>637.58010000000002</v>
      </c>
      <c r="E19" s="132">
        <v>1371.0229999999999</v>
      </c>
      <c r="F19" s="132">
        <v>197.9385</v>
      </c>
      <c r="G19" s="132">
        <v>0</v>
      </c>
      <c r="H19" s="132">
        <v>197.9385</v>
      </c>
      <c r="I19" s="132">
        <v>0</v>
      </c>
      <c r="J19" s="132">
        <v>0</v>
      </c>
      <c r="K19" s="132">
        <v>7</v>
      </c>
      <c r="L19" s="132">
        <v>240.703</v>
      </c>
      <c r="M19" s="132">
        <v>247.703</v>
      </c>
      <c r="N19" s="132">
        <v>437.64159999999998</v>
      </c>
      <c r="O19" s="132">
        <v>444.64159999999998</v>
      </c>
      <c r="P19" s="132">
        <v>198.9385</v>
      </c>
      <c r="Q19" s="132">
        <v>201.9385</v>
      </c>
      <c r="R19" s="132">
        <v>1</v>
      </c>
      <c r="S19" s="132">
        <v>724.44320000000005</v>
      </c>
      <c r="T19" s="133">
        <v>0.16</v>
      </c>
      <c r="U19" s="133">
        <v>0</v>
      </c>
      <c r="V19" s="133">
        <v>99.84</v>
      </c>
      <c r="W19" s="89">
        <v>400</v>
      </c>
      <c r="X19" s="134">
        <v>450</v>
      </c>
      <c r="Y19" s="133">
        <v>35</v>
      </c>
      <c r="Z19" s="89">
        <v>400</v>
      </c>
      <c r="AA19" s="134">
        <v>450</v>
      </c>
      <c r="AB19" s="89">
        <v>2.5</v>
      </c>
      <c r="AC19" s="133">
        <v>0.1</v>
      </c>
      <c r="AD19" s="89">
        <v>0.83</v>
      </c>
      <c r="AE19" s="135">
        <v>0.05</v>
      </c>
      <c r="AF19" s="135">
        <v>0.05</v>
      </c>
      <c r="AG19" s="135">
        <v>2.65157215027E-3</v>
      </c>
      <c r="AH19" s="136">
        <v>2.0862695403900001E-3</v>
      </c>
      <c r="AI19" s="137">
        <v>3.5000000000000003E-2</v>
      </c>
      <c r="AJ19" s="137">
        <v>0.21129999999999999</v>
      </c>
      <c r="AK19" s="137">
        <v>3.7999999999999999E-2</v>
      </c>
      <c r="AL19" s="134">
        <v>7.0656650000000001</v>
      </c>
      <c r="AM19" s="89">
        <v>0.56999999999999995</v>
      </c>
      <c r="AN19" s="89">
        <v>0.56999999999999995</v>
      </c>
      <c r="AO19" s="89">
        <v>0.56999999999999995</v>
      </c>
      <c r="AP19" s="89">
        <v>0.56999999999999995</v>
      </c>
      <c r="AQ19" s="89">
        <v>0.56999999999999995</v>
      </c>
      <c r="AR19" s="89">
        <v>0.56999999999999995</v>
      </c>
      <c r="AS19" s="89"/>
      <c r="AT19" s="89">
        <v>0.4</v>
      </c>
      <c r="AU19" s="89">
        <v>400</v>
      </c>
      <c r="AV19" s="89">
        <v>0.45479452100000001</v>
      </c>
      <c r="AW19" s="89">
        <v>450</v>
      </c>
      <c r="AX19" s="89">
        <v>0.4</v>
      </c>
      <c r="AY19" s="89">
        <v>218</v>
      </c>
      <c r="AZ19" s="89">
        <v>0.45479452100000001</v>
      </c>
      <c r="BA19" s="89">
        <v>243</v>
      </c>
      <c r="BB19" s="89">
        <v>0.4</v>
      </c>
      <c r="BC19" s="89">
        <v>218</v>
      </c>
      <c r="BD19" s="89">
        <v>0.45479452100000001</v>
      </c>
      <c r="BE19" s="89">
        <v>243</v>
      </c>
      <c r="BF19" s="89">
        <v>0.95</v>
      </c>
      <c r="BG19" s="138">
        <v>0.87955817135973102</v>
      </c>
      <c r="BI19" s="141">
        <f t="shared" si="0"/>
        <v>1535601.8888184</v>
      </c>
    </row>
    <row r="20" spans="1:61" ht="18" customHeight="1">
      <c r="A20" s="9">
        <v>2020</v>
      </c>
      <c r="B20" s="9" t="s">
        <v>48</v>
      </c>
      <c r="C20" s="9" t="s">
        <v>57</v>
      </c>
      <c r="D20" s="10">
        <v>235.11930000000001</v>
      </c>
      <c r="E20" s="10">
        <v>679.12070000000006</v>
      </c>
      <c r="F20" s="10">
        <v>0</v>
      </c>
      <c r="G20" s="10">
        <v>0</v>
      </c>
      <c r="H20" s="10">
        <v>0</v>
      </c>
      <c r="I20" s="10">
        <v>0</v>
      </c>
      <c r="J20" s="10">
        <v>2</v>
      </c>
      <c r="K20" s="10">
        <v>7</v>
      </c>
      <c r="L20" s="10">
        <v>250.69739999999999</v>
      </c>
      <c r="M20" s="10">
        <v>31</v>
      </c>
      <c r="N20" s="10">
        <v>231.11930000000001</v>
      </c>
      <c r="O20" s="10">
        <v>28</v>
      </c>
      <c r="P20" s="10">
        <v>2</v>
      </c>
      <c r="Q20" s="10">
        <v>574.12070000000006</v>
      </c>
      <c r="R20" s="10">
        <v>2</v>
      </c>
      <c r="S20" s="10">
        <v>77</v>
      </c>
      <c r="T20" s="11">
        <v>0</v>
      </c>
      <c r="U20" s="11">
        <v>0.13</v>
      </c>
      <c r="V20" s="11">
        <v>99.87</v>
      </c>
      <c r="W20" s="9">
        <v>400</v>
      </c>
      <c r="X20" s="12">
        <v>450</v>
      </c>
      <c r="Y20" s="11">
        <v>35</v>
      </c>
      <c r="Z20" s="9">
        <v>400</v>
      </c>
      <c r="AA20" s="12">
        <v>450</v>
      </c>
      <c r="AB20" s="9">
        <v>2.5</v>
      </c>
      <c r="AC20" s="11">
        <v>0.1</v>
      </c>
      <c r="AD20" s="9">
        <v>0.83</v>
      </c>
      <c r="AE20" s="24">
        <v>0.05</v>
      </c>
      <c r="AF20" s="24">
        <v>0.05</v>
      </c>
      <c r="AG20" s="24">
        <v>3.1915666011699997E-2</v>
      </c>
      <c r="AH20" s="19">
        <v>2.2110869426999998E-3</v>
      </c>
      <c r="AI20" s="21">
        <v>3.5000000000000003E-2</v>
      </c>
      <c r="AJ20" s="21">
        <v>0.21129999999999999</v>
      </c>
      <c r="AK20" s="21">
        <v>3.7999999999999999E-2</v>
      </c>
      <c r="AL20" s="12">
        <v>4.5891739999999999</v>
      </c>
      <c r="AM20" s="9">
        <v>0.56999999999999995</v>
      </c>
      <c r="AN20" s="9">
        <v>0.56999999999999995</v>
      </c>
      <c r="AO20" s="9">
        <v>0.56999999999999995</v>
      </c>
      <c r="AP20" s="9">
        <v>0.56999999999999995</v>
      </c>
      <c r="AQ20" s="9">
        <v>0.56999999999999995</v>
      </c>
      <c r="AR20" s="9">
        <v>0.56999999999999995</v>
      </c>
      <c r="AS20" s="9"/>
      <c r="AT20" s="9">
        <v>0.4</v>
      </c>
      <c r="AU20" s="9">
        <v>400</v>
      </c>
      <c r="AV20" s="9">
        <v>0.45479452100000001</v>
      </c>
      <c r="AW20" s="9">
        <v>450</v>
      </c>
      <c r="AX20" s="9">
        <v>0.4</v>
      </c>
      <c r="AY20" s="9">
        <v>218</v>
      </c>
      <c r="AZ20" s="9">
        <v>0.45479452100000001</v>
      </c>
      <c r="BA20" s="9">
        <v>243</v>
      </c>
      <c r="BB20" s="9">
        <v>0.4</v>
      </c>
      <c r="BC20" s="9">
        <v>218</v>
      </c>
      <c r="BD20" s="9">
        <v>0.45479452100000001</v>
      </c>
      <c r="BE20" s="9">
        <v>243</v>
      </c>
      <c r="BF20" s="9">
        <v>0.95</v>
      </c>
      <c r="BG20" s="93">
        <v>0.64060181945175299</v>
      </c>
      <c r="BI20" s="141">
        <f t="shared" si="0"/>
        <v>106009.9194</v>
      </c>
    </row>
    <row r="21" spans="1:61" ht="18" customHeight="1">
      <c r="A21" s="9">
        <v>2020</v>
      </c>
      <c r="B21" s="9" t="s">
        <v>41</v>
      </c>
      <c r="C21" s="9" t="s">
        <v>58</v>
      </c>
      <c r="D21" s="10">
        <v>1090.71</v>
      </c>
      <c r="E21" s="10">
        <v>6962.1379999999999</v>
      </c>
      <c r="F21" s="10">
        <v>280.36380000000003</v>
      </c>
      <c r="G21" s="10">
        <v>559.46079999999995</v>
      </c>
      <c r="H21" s="10">
        <v>280.36380000000003</v>
      </c>
      <c r="I21" s="10">
        <v>559.46079999999995</v>
      </c>
      <c r="J21" s="10">
        <v>1</v>
      </c>
      <c r="K21" s="10">
        <v>510.18680000000001</v>
      </c>
      <c r="L21" s="10">
        <v>799.08399999999995</v>
      </c>
      <c r="M21" s="10">
        <v>2302.9470000000001</v>
      </c>
      <c r="N21" s="10">
        <v>831.39829999999995</v>
      </c>
      <c r="O21" s="10">
        <v>2253.9740000000002</v>
      </c>
      <c r="P21" s="10">
        <v>259.3116</v>
      </c>
      <c r="Q21" s="10">
        <v>1591.04</v>
      </c>
      <c r="R21" s="10">
        <v>0</v>
      </c>
      <c r="S21" s="10">
        <v>3117.1239999999998</v>
      </c>
      <c r="T21" s="11">
        <v>0.02</v>
      </c>
      <c r="U21" s="11">
        <v>9.0500000000000007</v>
      </c>
      <c r="V21" s="11">
        <v>90.93</v>
      </c>
      <c r="W21" s="9">
        <v>400</v>
      </c>
      <c r="X21" s="12">
        <v>450</v>
      </c>
      <c r="Y21" s="11">
        <v>35</v>
      </c>
      <c r="Z21" s="9">
        <v>400</v>
      </c>
      <c r="AA21" s="12">
        <v>450</v>
      </c>
      <c r="AB21" s="9">
        <v>2.5</v>
      </c>
      <c r="AC21" s="11">
        <v>0.1</v>
      </c>
      <c r="AD21" s="9">
        <v>0.83</v>
      </c>
      <c r="AE21" s="24">
        <v>0.05</v>
      </c>
      <c r="AF21" s="24">
        <v>0.05</v>
      </c>
      <c r="AG21" s="24">
        <v>6.6208506108799997E-2</v>
      </c>
      <c r="AH21" s="19">
        <v>2.6883996897600002E-3</v>
      </c>
      <c r="AI21" s="21">
        <v>3.5000000000000003E-2</v>
      </c>
      <c r="AJ21" s="21">
        <v>0.21129999999999999</v>
      </c>
      <c r="AK21" s="21">
        <v>3.7999999999999999E-2</v>
      </c>
      <c r="AL21" s="12">
        <v>3.0618660000000002</v>
      </c>
      <c r="AM21" s="9">
        <v>0.56999999999999995</v>
      </c>
      <c r="AN21" s="9">
        <v>0.56999999999999995</v>
      </c>
      <c r="AO21" s="9">
        <v>0.56999999999999995</v>
      </c>
      <c r="AP21" s="9">
        <v>0.56999999999999995</v>
      </c>
      <c r="AQ21" s="9">
        <v>0.56999999999999995</v>
      </c>
      <c r="AR21" s="9">
        <v>0.56999999999999995</v>
      </c>
      <c r="AS21" s="9"/>
      <c r="AT21" s="9">
        <v>0.4</v>
      </c>
      <c r="AU21" s="9">
        <v>400</v>
      </c>
      <c r="AV21" s="9">
        <v>0.45479452100000001</v>
      </c>
      <c r="AW21" s="9">
        <v>450</v>
      </c>
      <c r="AX21" s="9">
        <v>0.4</v>
      </c>
      <c r="AY21" s="9">
        <v>218</v>
      </c>
      <c r="AZ21" s="9">
        <v>0.45479452100000001</v>
      </c>
      <c r="BA21" s="9">
        <v>243</v>
      </c>
      <c r="BB21" s="9">
        <v>0.4</v>
      </c>
      <c r="BC21" s="9">
        <v>218</v>
      </c>
      <c r="BD21" s="9">
        <v>0.45479452100000001</v>
      </c>
      <c r="BE21" s="9">
        <v>243</v>
      </c>
      <c r="BF21" s="9">
        <v>0.95</v>
      </c>
      <c r="BG21" s="93">
        <v>0.56873065674913204</v>
      </c>
      <c r="BI21" s="141">
        <f t="shared" si="0"/>
        <v>2863264.7980151996</v>
      </c>
    </row>
    <row r="22" spans="1:61" ht="18" customHeight="1">
      <c r="A22" s="9">
        <v>2020</v>
      </c>
      <c r="B22" s="9" t="s">
        <v>39</v>
      </c>
      <c r="C22" s="9" t="s">
        <v>59</v>
      </c>
      <c r="D22" s="10">
        <v>1475.058</v>
      </c>
      <c r="E22" s="10">
        <v>1784.597</v>
      </c>
      <c r="F22" s="10">
        <v>1</v>
      </c>
      <c r="G22" s="10">
        <v>234.06020000000001</v>
      </c>
      <c r="H22" s="10">
        <v>1</v>
      </c>
      <c r="I22" s="10">
        <v>234.06020000000001</v>
      </c>
      <c r="J22" s="10">
        <v>4</v>
      </c>
      <c r="K22" s="10">
        <v>239.06020000000001</v>
      </c>
      <c r="L22" s="10">
        <v>508.14010000000002</v>
      </c>
      <c r="M22" s="10">
        <v>266.06020000000001</v>
      </c>
      <c r="N22" s="10">
        <v>1207.33</v>
      </c>
      <c r="O22" s="10">
        <v>25</v>
      </c>
      <c r="P22" s="10">
        <v>265.72739999999999</v>
      </c>
      <c r="Q22" s="10">
        <v>495.31150000000002</v>
      </c>
      <c r="R22" s="10">
        <v>2</v>
      </c>
      <c r="S22" s="10">
        <v>1264.2850000000001</v>
      </c>
      <c r="T22" s="11">
        <v>12.27</v>
      </c>
      <c r="U22" s="11">
        <v>0</v>
      </c>
      <c r="V22" s="11">
        <v>87.73</v>
      </c>
      <c r="W22" s="9">
        <v>400</v>
      </c>
      <c r="X22" s="12">
        <v>450</v>
      </c>
      <c r="Y22" s="11">
        <v>35</v>
      </c>
      <c r="Z22" s="9">
        <v>400</v>
      </c>
      <c r="AA22" s="12">
        <v>450</v>
      </c>
      <c r="AB22" s="9">
        <v>2.5</v>
      </c>
      <c r="AC22" s="11">
        <v>0.1</v>
      </c>
      <c r="AD22" s="9">
        <v>0.83</v>
      </c>
      <c r="AE22" s="24">
        <v>0.05</v>
      </c>
      <c r="AF22" s="24">
        <v>0.05</v>
      </c>
      <c r="AG22" s="24">
        <v>0.11706111453</v>
      </c>
      <c r="AH22" s="19">
        <v>3.5517557907400001E-3</v>
      </c>
      <c r="AI22" s="21">
        <v>3.5000000000000003E-2</v>
      </c>
      <c r="AJ22" s="21">
        <v>0.21129999999999999</v>
      </c>
      <c r="AK22" s="21">
        <v>3.7999999999999999E-2</v>
      </c>
      <c r="AL22" s="12">
        <v>9.7341700000000007</v>
      </c>
      <c r="AM22" s="9">
        <v>0.56999999999999995</v>
      </c>
      <c r="AN22" s="9">
        <v>0.56999999999999995</v>
      </c>
      <c r="AO22" s="9">
        <v>0.56999999999999995</v>
      </c>
      <c r="AP22" s="9">
        <v>0.56999999999999995</v>
      </c>
      <c r="AQ22" s="9">
        <v>0.56999999999999995</v>
      </c>
      <c r="AR22" s="9">
        <v>0.56999999999999995</v>
      </c>
      <c r="AS22" s="9"/>
      <c r="AT22" s="9">
        <v>0.4</v>
      </c>
      <c r="AU22" s="9">
        <v>400</v>
      </c>
      <c r="AV22" s="9">
        <v>0.45479452100000001</v>
      </c>
      <c r="AW22" s="9">
        <v>450</v>
      </c>
      <c r="AX22" s="9">
        <v>0.4</v>
      </c>
      <c r="AY22" s="9">
        <v>218</v>
      </c>
      <c r="AZ22" s="9">
        <v>0.45479452100000001</v>
      </c>
      <c r="BA22" s="9">
        <v>243</v>
      </c>
      <c r="BB22" s="9">
        <v>0.4</v>
      </c>
      <c r="BC22" s="9">
        <v>218</v>
      </c>
      <c r="BD22" s="9">
        <v>0.45479452100000001</v>
      </c>
      <c r="BE22" s="9">
        <v>243</v>
      </c>
      <c r="BF22" s="9">
        <v>0.95</v>
      </c>
      <c r="BG22" s="93">
        <v>0.77298076479091904</v>
      </c>
      <c r="BI22" s="141">
        <f t="shared" si="0"/>
        <v>3692029.5355350003</v>
      </c>
    </row>
    <row r="23" spans="1:61" ht="18" customHeight="1">
      <c r="A23" s="9">
        <v>2020</v>
      </c>
      <c r="B23" s="9" t="s">
        <v>52</v>
      </c>
      <c r="C23" s="9" t="s">
        <v>60</v>
      </c>
      <c r="D23" s="10">
        <v>846.87260000000003</v>
      </c>
      <c r="E23" s="10">
        <v>1964.1410000000001</v>
      </c>
      <c r="F23" s="10">
        <v>13</v>
      </c>
      <c r="G23" s="10">
        <v>15</v>
      </c>
      <c r="H23" s="10">
        <v>13</v>
      </c>
      <c r="I23" s="10">
        <v>15</v>
      </c>
      <c r="J23" s="10">
        <v>2</v>
      </c>
      <c r="K23" s="10">
        <v>236.08330000000001</v>
      </c>
      <c r="L23" s="10">
        <v>348.2672</v>
      </c>
      <c r="M23" s="10">
        <v>486.31319999999999</v>
      </c>
      <c r="N23" s="10">
        <v>834.87260000000003</v>
      </c>
      <c r="O23" s="10">
        <v>683.40930000000003</v>
      </c>
      <c r="P23" s="10">
        <v>2</v>
      </c>
      <c r="Q23" s="10">
        <v>85</v>
      </c>
      <c r="R23" s="10">
        <v>10</v>
      </c>
      <c r="S23" s="10">
        <v>1195.732</v>
      </c>
      <c r="T23" s="11">
        <v>0.68</v>
      </c>
      <c r="U23" s="11">
        <v>0</v>
      </c>
      <c r="V23" s="11">
        <v>99.32</v>
      </c>
      <c r="W23" s="9">
        <v>400</v>
      </c>
      <c r="X23" s="12">
        <v>450</v>
      </c>
      <c r="Y23" s="11">
        <v>35</v>
      </c>
      <c r="Z23" s="9">
        <v>400</v>
      </c>
      <c r="AA23" s="12">
        <v>450</v>
      </c>
      <c r="AB23" s="9">
        <v>2.5</v>
      </c>
      <c r="AC23" s="11">
        <v>0.1</v>
      </c>
      <c r="AD23" s="9">
        <v>0.83</v>
      </c>
      <c r="AE23" s="24">
        <v>0.05</v>
      </c>
      <c r="AF23" s="24">
        <v>0.05</v>
      </c>
      <c r="AG23" s="24">
        <v>7.7973358313899996E-2</v>
      </c>
      <c r="AH23" s="19">
        <v>3.75754444471E-3</v>
      </c>
      <c r="AI23" s="21">
        <v>3.5000000000000003E-2</v>
      </c>
      <c r="AJ23" s="21">
        <v>0.21129999999999999</v>
      </c>
      <c r="AK23" s="21">
        <v>3.7999999999999999E-2</v>
      </c>
      <c r="AL23" s="12">
        <v>4.2279989999999996</v>
      </c>
      <c r="AM23" s="9">
        <v>0.56999999999999995</v>
      </c>
      <c r="AN23" s="9">
        <v>0.56999999999999995</v>
      </c>
      <c r="AO23" s="9">
        <v>0.56999999999999995</v>
      </c>
      <c r="AP23" s="9">
        <v>0.56999999999999995</v>
      </c>
      <c r="AQ23" s="9">
        <v>0.56999999999999995</v>
      </c>
      <c r="AR23" s="9">
        <v>0.56999999999999995</v>
      </c>
      <c r="AS23" s="9"/>
      <c r="AT23" s="9">
        <v>0.4</v>
      </c>
      <c r="AU23" s="9">
        <v>400</v>
      </c>
      <c r="AV23" s="9">
        <v>0.45479452100000001</v>
      </c>
      <c r="AW23" s="9">
        <v>450</v>
      </c>
      <c r="AX23" s="9">
        <v>0.4</v>
      </c>
      <c r="AY23" s="9">
        <v>218</v>
      </c>
      <c r="AZ23" s="9">
        <v>0.45479452100000001</v>
      </c>
      <c r="BA23" s="9">
        <v>243</v>
      </c>
      <c r="BB23" s="9">
        <v>0.4</v>
      </c>
      <c r="BC23" s="9">
        <v>218</v>
      </c>
      <c r="BD23" s="9">
        <v>0.45479452100000001</v>
      </c>
      <c r="BE23" s="9">
        <v>243</v>
      </c>
      <c r="BF23" s="9">
        <v>0.95</v>
      </c>
      <c r="BG23" s="93">
        <v>0.69592163654830796</v>
      </c>
      <c r="BI23" s="141">
        <f t="shared" si="0"/>
        <v>1516666.1100803998</v>
      </c>
    </row>
    <row r="24" spans="1:61" ht="18" customHeight="1">
      <c r="A24" s="9">
        <v>2020</v>
      </c>
      <c r="B24" s="9" t="s">
        <v>52</v>
      </c>
      <c r="C24" s="9" t="s">
        <v>61</v>
      </c>
      <c r="D24" s="10">
        <v>1280.55</v>
      </c>
      <c r="E24" s="10">
        <v>6012.991</v>
      </c>
      <c r="F24" s="10">
        <v>212.47989999999999</v>
      </c>
      <c r="G24" s="10">
        <v>207.7869</v>
      </c>
      <c r="H24" s="10">
        <v>212.47989999999999</v>
      </c>
      <c r="I24" s="10">
        <v>207.7869</v>
      </c>
      <c r="J24" s="10">
        <v>115.3805</v>
      </c>
      <c r="K24" s="10">
        <v>3</v>
      </c>
      <c r="L24" s="10">
        <v>1099.97</v>
      </c>
      <c r="M24" s="10">
        <v>1389.7840000000001</v>
      </c>
      <c r="N24" s="10">
        <v>1269.55</v>
      </c>
      <c r="O24" s="10">
        <v>1910.415</v>
      </c>
      <c r="P24" s="10">
        <v>3</v>
      </c>
      <c r="Q24" s="10">
        <v>484.44670000000002</v>
      </c>
      <c r="R24" s="10">
        <v>8</v>
      </c>
      <c r="S24" s="10">
        <v>3618.13</v>
      </c>
      <c r="T24" s="11">
        <v>13.25</v>
      </c>
      <c r="U24" s="11">
        <v>7.18</v>
      </c>
      <c r="V24" s="11">
        <v>79.569999999999993</v>
      </c>
      <c r="W24" s="9">
        <v>400</v>
      </c>
      <c r="X24" s="12">
        <v>450</v>
      </c>
      <c r="Y24" s="11">
        <v>35</v>
      </c>
      <c r="Z24" s="9">
        <v>400</v>
      </c>
      <c r="AA24" s="12">
        <v>450</v>
      </c>
      <c r="AB24" s="9">
        <v>2.5</v>
      </c>
      <c r="AC24" s="11">
        <v>0.1</v>
      </c>
      <c r="AD24" s="9">
        <v>0.83</v>
      </c>
      <c r="AE24" s="24">
        <v>0.05</v>
      </c>
      <c r="AF24" s="24">
        <v>0.05</v>
      </c>
      <c r="AG24" s="24">
        <v>1.2250250641699999E-2</v>
      </c>
      <c r="AH24" s="19">
        <v>3.7759155921E-3</v>
      </c>
      <c r="AI24" s="21">
        <v>3.5000000000000003E-2</v>
      </c>
      <c r="AJ24" s="21">
        <v>0.21129999999999999</v>
      </c>
      <c r="AK24" s="21">
        <v>3.7999999999999999E-2</v>
      </c>
      <c r="AL24" s="12">
        <v>4.6631669999999996</v>
      </c>
      <c r="AM24" s="9">
        <v>0.56999999999999995</v>
      </c>
      <c r="AN24" s="9">
        <v>0.56999999999999995</v>
      </c>
      <c r="AO24" s="9">
        <v>0.56999999999999995</v>
      </c>
      <c r="AP24" s="9">
        <v>0.56999999999999995</v>
      </c>
      <c r="AQ24" s="9">
        <v>0.56999999999999995</v>
      </c>
      <c r="AR24" s="9">
        <v>0.56999999999999995</v>
      </c>
      <c r="AS24" s="9"/>
      <c r="AT24" s="9">
        <v>0.4</v>
      </c>
      <c r="AU24" s="9">
        <v>400</v>
      </c>
      <c r="AV24" s="9">
        <v>0.45479452100000001</v>
      </c>
      <c r="AW24" s="9">
        <v>450</v>
      </c>
      <c r="AX24" s="9">
        <v>0.4</v>
      </c>
      <c r="AY24" s="9">
        <v>218</v>
      </c>
      <c r="AZ24" s="9">
        <v>0.45479452100000001</v>
      </c>
      <c r="BA24" s="9">
        <v>243</v>
      </c>
      <c r="BB24" s="9">
        <v>0.4</v>
      </c>
      <c r="BC24" s="9">
        <v>218</v>
      </c>
      <c r="BD24" s="9">
        <v>0.45479452100000001</v>
      </c>
      <c r="BE24" s="9">
        <v>243</v>
      </c>
      <c r="BF24" s="9">
        <v>0.95</v>
      </c>
      <c r="BG24" s="93">
        <v>0.43478667649383901</v>
      </c>
      <c r="BI24" s="141">
        <f t="shared" si="0"/>
        <v>5061583.3253129991</v>
      </c>
    </row>
    <row r="25" spans="1:61" ht="18" customHeight="1">
      <c r="A25" s="9">
        <v>2020</v>
      </c>
      <c r="B25" s="9" t="s">
        <v>39</v>
      </c>
      <c r="C25" s="9" t="s">
        <v>62</v>
      </c>
      <c r="D25" s="10">
        <v>813.19110000000001</v>
      </c>
      <c r="E25" s="10">
        <v>2236.1390000000001</v>
      </c>
      <c r="F25" s="10">
        <v>589.37670000000003</v>
      </c>
      <c r="G25" s="10">
        <v>1</v>
      </c>
      <c r="H25" s="10">
        <v>589.37670000000003</v>
      </c>
      <c r="I25" s="10">
        <v>1</v>
      </c>
      <c r="J25" s="10">
        <v>5</v>
      </c>
      <c r="K25" s="10">
        <v>14</v>
      </c>
      <c r="L25" s="10">
        <v>30</v>
      </c>
      <c r="M25" s="10">
        <v>60</v>
      </c>
      <c r="N25" s="10">
        <v>798.19110000000001</v>
      </c>
      <c r="O25" s="10">
        <v>84</v>
      </c>
      <c r="P25" s="10">
        <v>5</v>
      </c>
      <c r="Q25" s="10">
        <v>319.1884</v>
      </c>
      <c r="R25" s="10">
        <v>10</v>
      </c>
      <c r="S25" s="10">
        <v>1832.95</v>
      </c>
      <c r="T25" s="11">
        <v>21.73</v>
      </c>
      <c r="U25" s="11">
        <v>0</v>
      </c>
      <c r="V25" s="11">
        <v>78.27</v>
      </c>
      <c r="W25" s="9">
        <v>400</v>
      </c>
      <c r="X25" s="12">
        <v>450</v>
      </c>
      <c r="Y25" s="11">
        <v>35</v>
      </c>
      <c r="Z25" s="9">
        <v>400</v>
      </c>
      <c r="AA25" s="12">
        <v>450</v>
      </c>
      <c r="AB25" s="9">
        <v>2.5</v>
      </c>
      <c r="AC25" s="11">
        <v>0.1</v>
      </c>
      <c r="AD25" s="9">
        <v>0.83</v>
      </c>
      <c r="AE25" s="24">
        <v>0.05</v>
      </c>
      <c r="AF25" s="24">
        <v>0.05</v>
      </c>
      <c r="AG25" s="24">
        <v>1.8468384693600001E-2</v>
      </c>
      <c r="AH25" s="19">
        <v>3.9555976255300001E-3</v>
      </c>
      <c r="AI25" s="21">
        <v>3.5000000000000003E-2</v>
      </c>
      <c r="AJ25" s="21">
        <v>0.21129999999999999</v>
      </c>
      <c r="AK25" s="21">
        <v>3.7999999999999999E-2</v>
      </c>
      <c r="AL25" s="12">
        <v>4.189038</v>
      </c>
      <c r="AM25" s="9">
        <v>0.56999999999999995</v>
      </c>
      <c r="AN25" s="9">
        <v>0.56999999999999995</v>
      </c>
      <c r="AO25" s="9">
        <v>0.56999999999999995</v>
      </c>
      <c r="AP25" s="9">
        <v>0.56999999999999995</v>
      </c>
      <c r="AQ25" s="9">
        <v>0.56999999999999995</v>
      </c>
      <c r="AR25" s="9">
        <v>0.56999999999999995</v>
      </c>
      <c r="AS25" s="9"/>
      <c r="AT25" s="9">
        <v>0.4</v>
      </c>
      <c r="AU25" s="9">
        <v>400</v>
      </c>
      <c r="AV25" s="9">
        <v>0.45479452100000001</v>
      </c>
      <c r="AW25" s="9">
        <v>450</v>
      </c>
      <c r="AX25" s="9">
        <v>0.4</v>
      </c>
      <c r="AY25" s="9">
        <v>218</v>
      </c>
      <c r="AZ25" s="9">
        <v>0.45479452100000001</v>
      </c>
      <c r="BA25" s="9">
        <v>243</v>
      </c>
      <c r="BB25" s="9">
        <v>0.4</v>
      </c>
      <c r="BC25" s="9">
        <v>218</v>
      </c>
      <c r="BD25" s="9">
        <v>0.45479452100000001</v>
      </c>
      <c r="BE25" s="9">
        <v>243</v>
      </c>
      <c r="BF25" s="9">
        <v>0.95</v>
      </c>
      <c r="BG25" s="93">
        <v>0.69137988727524402</v>
      </c>
      <c r="BI25" s="141">
        <f t="shared" si="0"/>
        <v>2303489.1606300003</v>
      </c>
    </row>
    <row r="26" spans="1:61" ht="18" customHeight="1">
      <c r="A26" s="9">
        <v>2020</v>
      </c>
      <c r="B26" s="9" t="s">
        <v>48</v>
      </c>
      <c r="C26" s="9" t="s">
        <v>63</v>
      </c>
      <c r="D26" s="10">
        <v>3</v>
      </c>
      <c r="E26" s="10">
        <v>11</v>
      </c>
      <c r="F26" s="10">
        <v>1</v>
      </c>
      <c r="G26" s="10">
        <v>4</v>
      </c>
      <c r="H26" s="10">
        <v>1</v>
      </c>
      <c r="I26" s="10">
        <v>4</v>
      </c>
      <c r="J26" s="10">
        <v>0</v>
      </c>
      <c r="K26" s="10">
        <v>1</v>
      </c>
      <c r="L26" s="10">
        <v>3</v>
      </c>
      <c r="M26" s="10">
        <v>5</v>
      </c>
      <c r="N26" s="10">
        <v>3</v>
      </c>
      <c r="O26" s="10">
        <v>4</v>
      </c>
      <c r="P26" s="10">
        <v>0</v>
      </c>
      <c r="Q26" s="10">
        <v>1</v>
      </c>
      <c r="R26" s="10">
        <v>0</v>
      </c>
      <c r="S26" s="10">
        <v>6</v>
      </c>
      <c r="T26" s="11">
        <v>0</v>
      </c>
      <c r="U26" s="11">
        <v>0</v>
      </c>
      <c r="V26" s="11">
        <v>100</v>
      </c>
      <c r="W26" s="9">
        <v>400</v>
      </c>
      <c r="X26" s="12">
        <v>450</v>
      </c>
      <c r="Y26" s="11">
        <v>35</v>
      </c>
      <c r="Z26" s="9">
        <v>400</v>
      </c>
      <c r="AA26" s="12">
        <v>450</v>
      </c>
      <c r="AB26" s="9">
        <v>2.5</v>
      </c>
      <c r="AC26" s="11">
        <v>0.1</v>
      </c>
      <c r="AD26" s="9">
        <v>0.83</v>
      </c>
      <c r="AE26" s="24">
        <v>0.05</v>
      </c>
      <c r="AF26" s="24">
        <v>0.05</v>
      </c>
      <c r="AG26" s="24">
        <v>0.14584470093900001</v>
      </c>
      <c r="AH26" s="19">
        <v>4.1108842511999996E-3</v>
      </c>
      <c r="AI26" s="21">
        <v>3.5000000000000003E-2</v>
      </c>
      <c r="AJ26" s="21">
        <v>0.21129999999999999</v>
      </c>
      <c r="AK26" s="21">
        <v>3.7999999999999999E-2</v>
      </c>
      <c r="AL26" s="12">
        <v>5.5</v>
      </c>
      <c r="AM26" s="9">
        <v>0.56999999999999995</v>
      </c>
      <c r="AN26" s="9">
        <v>0.56999999999999995</v>
      </c>
      <c r="AO26" s="9">
        <v>0.56999999999999995</v>
      </c>
      <c r="AP26" s="9">
        <v>0.56999999999999995</v>
      </c>
      <c r="AQ26" s="9">
        <v>0.56999999999999995</v>
      </c>
      <c r="AR26" s="9">
        <v>0.56999999999999995</v>
      </c>
      <c r="AS26" s="9"/>
      <c r="AT26" s="9">
        <v>0.4</v>
      </c>
      <c r="AU26" s="9">
        <v>400</v>
      </c>
      <c r="AV26" s="9">
        <v>0.45479452100000001</v>
      </c>
      <c r="AW26" s="9">
        <v>450</v>
      </c>
      <c r="AX26" s="9">
        <v>0.4</v>
      </c>
      <c r="AY26" s="9">
        <v>218</v>
      </c>
      <c r="AZ26" s="9">
        <v>0.45479452100000001</v>
      </c>
      <c r="BA26" s="9">
        <v>243</v>
      </c>
      <c r="BB26" s="9">
        <v>0.4</v>
      </c>
      <c r="BC26" s="9">
        <v>218</v>
      </c>
      <c r="BD26" s="9">
        <v>0.45479452100000001</v>
      </c>
      <c r="BE26" s="9">
        <v>243</v>
      </c>
      <c r="BF26" s="9">
        <v>0.95</v>
      </c>
      <c r="BG26" s="93">
        <v>0.84579277447162504</v>
      </c>
      <c r="BI26" s="141">
        <f t="shared" si="0"/>
        <v>9900</v>
      </c>
    </row>
    <row r="27" spans="1:61" ht="18" customHeight="1">
      <c r="A27" s="9">
        <v>2020</v>
      </c>
      <c r="B27" s="9" t="s">
        <v>52</v>
      </c>
      <c r="C27" s="9" t="s">
        <v>64</v>
      </c>
      <c r="D27" s="10">
        <v>3015.212</v>
      </c>
      <c r="E27" s="10">
        <v>4156.1260000000002</v>
      </c>
      <c r="F27" s="10">
        <v>1</v>
      </c>
      <c r="G27" s="10">
        <v>274.34339999999997</v>
      </c>
      <c r="H27" s="10">
        <v>1</v>
      </c>
      <c r="I27" s="10">
        <v>274.34339999999997</v>
      </c>
      <c r="J27" s="10">
        <v>0</v>
      </c>
      <c r="K27" s="10">
        <v>1</v>
      </c>
      <c r="L27" s="10">
        <v>983.30359999999996</v>
      </c>
      <c r="M27" s="10">
        <v>457.10430000000002</v>
      </c>
      <c r="N27" s="10">
        <v>1428.5260000000001</v>
      </c>
      <c r="O27" s="10">
        <v>1399.4349999999999</v>
      </c>
      <c r="P27" s="10">
        <v>1338.8130000000001</v>
      </c>
      <c r="Q27" s="10">
        <v>1349.2059999999999</v>
      </c>
      <c r="R27" s="10">
        <v>247.8716</v>
      </c>
      <c r="S27" s="10">
        <v>1407.4849999999999</v>
      </c>
      <c r="T27" s="11">
        <v>0</v>
      </c>
      <c r="U27" s="11">
        <v>0</v>
      </c>
      <c r="V27" s="11">
        <v>100</v>
      </c>
      <c r="W27" s="9">
        <v>400</v>
      </c>
      <c r="X27" s="12">
        <v>450</v>
      </c>
      <c r="Y27" s="11">
        <v>35</v>
      </c>
      <c r="Z27" s="9">
        <v>400</v>
      </c>
      <c r="AA27" s="12">
        <v>450</v>
      </c>
      <c r="AB27" s="9">
        <v>2.5</v>
      </c>
      <c r="AC27" s="11">
        <v>0.1</v>
      </c>
      <c r="AD27" s="9">
        <v>0.83</v>
      </c>
      <c r="AE27" s="24">
        <v>0.05</v>
      </c>
      <c r="AF27" s="24">
        <v>0.05</v>
      </c>
      <c r="AG27" s="24">
        <v>4.3600689000200003E-3</v>
      </c>
      <c r="AH27" s="19">
        <v>5.4556861889299996E-3</v>
      </c>
      <c r="AI27" s="21">
        <v>3.5000000000000003E-2</v>
      </c>
      <c r="AJ27" s="21">
        <v>0.21129999999999999</v>
      </c>
      <c r="AK27" s="21">
        <v>3.7999999999999999E-2</v>
      </c>
      <c r="AL27" s="12">
        <v>4.7559880000000003</v>
      </c>
      <c r="AM27" s="9">
        <v>0.56999999999999995</v>
      </c>
      <c r="AN27" s="9">
        <v>0.56999999999999995</v>
      </c>
      <c r="AO27" s="9">
        <v>0.56999999999999995</v>
      </c>
      <c r="AP27" s="9">
        <v>0.56999999999999995</v>
      </c>
      <c r="AQ27" s="9">
        <v>0.56999999999999995</v>
      </c>
      <c r="AR27" s="9">
        <v>0.56999999999999995</v>
      </c>
      <c r="AS27" s="9"/>
      <c r="AT27" s="9">
        <v>0.4</v>
      </c>
      <c r="AU27" s="9">
        <v>400</v>
      </c>
      <c r="AV27" s="9">
        <v>0.45479452100000001</v>
      </c>
      <c r="AW27" s="9">
        <v>450</v>
      </c>
      <c r="AX27" s="9">
        <v>0.4</v>
      </c>
      <c r="AY27" s="9">
        <v>218</v>
      </c>
      <c r="AZ27" s="9">
        <v>0.45479452100000001</v>
      </c>
      <c r="BA27" s="9">
        <v>243</v>
      </c>
      <c r="BB27" s="9">
        <v>0.4</v>
      </c>
      <c r="BC27" s="9">
        <v>218</v>
      </c>
      <c r="BD27" s="9">
        <v>0.45479452100000001</v>
      </c>
      <c r="BE27" s="9">
        <v>243</v>
      </c>
      <c r="BF27" s="9">
        <v>0.95</v>
      </c>
      <c r="BG27" s="93">
        <v>0.61101392574718405</v>
      </c>
      <c r="BI27" s="141">
        <f t="shared" si="0"/>
        <v>2008194.5310540001</v>
      </c>
    </row>
    <row r="28" spans="1:61" ht="18" customHeight="1">
      <c r="A28" s="9">
        <v>2020</v>
      </c>
      <c r="B28" s="9" t="s">
        <v>48</v>
      </c>
      <c r="C28" s="9" t="s">
        <v>65</v>
      </c>
      <c r="D28" s="10">
        <v>294.72930000000002</v>
      </c>
      <c r="E28" s="10">
        <v>2821.9920000000002</v>
      </c>
      <c r="F28" s="10">
        <v>0</v>
      </c>
      <c r="G28" s="10">
        <v>1</v>
      </c>
      <c r="H28" s="10">
        <v>0</v>
      </c>
      <c r="I28" s="10">
        <v>1</v>
      </c>
      <c r="J28" s="10">
        <v>176.6474</v>
      </c>
      <c r="K28" s="10">
        <v>237.08500000000001</v>
      </c>
      <c r="L28" s="10">
        <v>696.98710000000005</v>
      </c>
      <c r="M28" s="10">
        <v>678.36829999999998</v>
      </c>
      <c r="N28" s="10">
        <v>294.72930000000002</v>
      </c>
      <c r="O28" s="10">
        <v>694.2269</v>
      </c>
      <c r="P28" s="10">
        <v>0</v>
      </c>
      <c r="Q28" s="10">
        <v>628.70630000000006</v>
      </c>
      <c r="R28" s="10">
        <v>0</v>
      </c>
      <c r="S28" s="10">
        <v>1499.058</v>
      </c>
      <c r="T28" s="11">
        <v>0.08</v>
      </c>
      <c r="U28" s="11">
        <v>0</v>
      </c>
      <c r="V28" s="11">
        <v>99.92</v>
      </c>
      <c r="W28" s="9">
        <v>400</v>
      </c>
      <c r="X28" s="12">
        <v>450</v>
      </c>
      <c r="Y28" s="11">
        <v>35</v>
      </c>
      <c r="Z28" s="9">
        <v>400</v>
      </c>
      <c r="AA28" s="12">
        <v>450</v>
      </c>
      <c r="AB28" s="9">
        <v>2.5</v>
      </c>
      <c r="AC28" s="11">
        <v>0.1</v>
      </c>
      <c r="AD28" s="9">
        <v>0.83</v>
      </c>
      <c r="AE28" s="24">
        <v>0.05</v>
      </c>
      <c r="AF28" s="24">
        <v>0.05</v>
      </c>
      <c r="AG28" s="24">
        <v>1.93157093115E-2</v>
      </c>
      <c r="AH28" s="19">
        <v>5.7161802197300002E-3</v>
      </c>
      <c r="AI28" s="21">
        <v>3.5000000000000003E-2</v>
      </c>
      <c r="AJ28" s="21">
        <v>0.21129999999999999</v>
      </c>
      <c r="AK28" s="21">
        <v>3.7999999999999999E-2</v>
      </c>
      <c r="AL28" s="12">
        <v>3.0581140000000002</v>
      </c>
      <c r="AM28" s="9">
        <v>0.56999999999999995</v>
      </c>
      <c r="AN28" s="9">
        <v>0.56999999999999995</v>
      </c>
      <c r="AO28" s="9">
        <v>0.56999999999999995</v>
      </c>
      <c r="AP28" s="9">
        <v>0.56999999999999995</v>
      </c>
      <c r="AQ28" s="9">
        <v>0.56999999999999995</v>
      </c>
      <c r="AR28" s="9">
        <v>0.56999999999999995</v>
      </c>
      <c r="AS28" s="9"/>
      <c r="AT28" s="9">
        <v>0.4</v>
      </c>
      <c r="AU28" s="9">
        <v>400</v>
      </c>
      <c r="AV28" s="9">
        <v>0.45479452100000001</v>
      </c>
      <c r="AW28" s="9">
        <v>450</v>
      </c>
      <c r="AX28" s="9">
        <v>0.4</v>
      </c>
      <c r="AY28" s="9">
        <v>218</v>
      </c>
      <c r="AZ28" s="9">
        <v>0.45479452100000001</v>
      </c>
      <c r="BA28" s="9">
        <v>243</v>
      </c>
      <c r="BB28" s="9">
        <v>0.4</v>
      </c>
      <c r="BC28" s="9">
        <v>218</v>
      </c>
      <c r="BD28" s="9">
        <v>0.45479452100000001</v>
      </c>
      <c r="BE28" s="9">
        <v>243</v>
      </c>
      <c r="BF28" s="9">
        <v>0.95</v>
      </c>
      <c r="BG28" s="93">
        <v>0.80896901767222196</v>
      </c>
      <c r="BI28" s="141">
        <f t="shared" si="0"/>
        <v>1375287.0769835999</v>
      </c>
    </row>
    <row r="29" spans="1:61" ht="18" customHeight="1">
      <c r="A29" s="9">
        <v>2020</v>
      </c>
      <c r="B29" s="9" t="s">
        <v>44</v>
      </c>
      <c r="C29" s="9" t="s">
        <v>66</v>
      </c>
      <c r="D29" s="10">
        <v>88.07226</v>
      </c>
      <c r="E29" s="10">
        <v>940.6336</v>
      </c>
      <c r="F29" s="10">
        <v>17.217110000000002</v>
      </c>
      <c r="G29" s="10">
        <v>59.755740000000003</v>
      </c>
      <c r="H29" s="10">
        <v>17.217110000000002</v>
      </c>
      <c r="I29" s="10">
        <v>59.755740000000003</v>
      </c>
      <c r="J29" s="10">
        <v>3</v>
      </c>
      <c r="K29" s="10">
        <v>14</v>
      </c>
      <c r="L29" s="10">
        <v>77.409229999999994</v>
      </c>
      <c r="M29" s="10">
        <v>230.95079999999999</v>
      </c>
      <c r="N29" s="10">
        <v>19.217110000000002</v>
      </c>
      <c r="O29" s="10">
        <v>428.03969999999998</v>
      </c>
      <c r="P29" s="10">
        <v>67.855149999999995</v>
      </c>
      <c r="Q29" s="10">
        <v>259.7876</v>
      </c>
      <c r="R29" s="10">
        <v>1</v>
      </c>
      <c r="S29" s="10">
        <v>252.80629999999999</v>
      </c>
      <c r="T29" s="11">
        <v>0</v>
      </c>
      <c r="U29" s="11">
        <v>0</v>
      </c>
      <c r="V29" s="11">
        <v>100</v>
      </c>
      <c r="W29" s="9">
        <v>400</v>
      </c>
      <c r="X29" s="12">
        <v>450</v>
      </c>
      <c r="Y29" s="11">
        <v>35</v>
      </c>
      <c r="Z29" s="9">
        <v>400</v>
      </c>
      <c r="AA29" s="12">
        <v>450</v>
      </c>
      <c r="AB29" s="9">
        <v>2.5</v>
      </c>
      <c r="AC29" s="11">
        <v>0.1</v>
      </c>
      <c r="AD29" s="9">
        <v>0.83</v>
      </c>
      <c r="AE29" s="24">
        <v>0.05</v>
      </c>
      <c r="AF29" s="24">
        <v>0.05</v>
      </c>
      <c r="AG29" s="24">
        <v>0.24808221410600001</v>
      </c>
      <c r="AH29" s="19">
        <v>8.05513784249E-3</v>
      </c>
      <c r="AI29" s="21">
        <v>3.5000000000000003E-2</v>
      </c>
      <c r="AJ29" s="21">
        <v>0.21129999999999999</v>
      </c>
      <c r="AK29" s="21">
        <v>3.7999999999999999E-2</v>
      </c>
      <c r="AL29" s="12">
        <v>4.1964699999999997</v>
      </c>
      <c r="AM29" s="9">
        <v>0.56999999999999995</v>
      </c>
      <c r="AN29" s="9">
        <v>0.56999999999999995</v>
      </c>
      <c r="AO29" s="9">
        <v>0.56999999999999995</v>
      </c>
      <c r="AP29" s="9">
        <v>0.56999999999999995</v>
      </c>
      <c r="AQ29" s="9">
        <v>0.56999999999999995</v>
      </c>
      <c r="AR29" s="9">
        <v>0.56999999999999995</v>
      </c>
      <c r="AS29" s="9"/>
      <c r="AT29" s="9">
        <v>0.4</v>
      </c>
      <c r="AU29" s="9">
        <v>400</v>
      </c>
      <c r="AV29" s="9">
        <v>0.45479452100000001</v>
      </c>
      <c r="AW29" s="9">
        <v>450</v>
      </c>
      <c r="AX29" s="9">
        <v>0.4</v>
      </c>
      <c r="AY29" s="9">
        <v>218</v>
      </c>
      <c r="AZ29" s="9">
        <v>0.45479452100000001</v>
      </c>
      <c r="BA29" s="9">
        <v>243</v>
      </c>
      <c r="BB29" s="9">
        <v>0.4</v>
      </c>
      <c r="BC29" s="9">
        <v>218</v>
      </c>
      <c r="BD29" s="9">
        <v>0.45479452100000001</v>
      </c>
      <c r="BE29" s="9">
        <v>243</v>
      </c>
      <c r="BF29" s="9">
        <v>0.95</v>
      </c>
      <c r="BG29" s="93">
        <v>0.92496511264515702</v>
      </c>
      <c r="BI29" s="141">
        <f t="shared" si="0"/>
        <v>318268.21612829994</v>
      </c>
    </row>
    <row r="30" spans="1:61" ht="18" customHeight="1">
      <c r="A30" s="9">
        <v>2020</v>
      </c>
      <c r="B30" s="9" t="s">
        <v>48</v>
      </c>
      <c r="C30" s="9" t="s">
        <v>67</v>
      </c>
      <c r="D30" s="10">
        <v>518.43849999999998</v>
      </c>
      <c r="E30" s="10">
        <v>1500.539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8</v>
      </c>
      <c r="L30" s="10">
        <v>183.44710000000001</v>
      </c>
      <c r="M30" s="10">
        <v>183.44710000000001</v>
      </c>
      <c r="N30" s="10">
        <v>516.43849999999998</v>
      </c>
      <c r="O30" s="10">
        <v>0</v>
      </c>
      <c r="P30" s="10">
        <v>0</v>
      </c>
      <c r="Q30" s="10">
        <v>541.89030000000002</v>
      </c>
      <c r="R30" s="10">
        <v>2</v>
      </c>
      <c r="S30" s="10">
        <v>958.64890000000003</v>
      </c>
      <c r="T30" s="11">
        <v>0</v>
      </c>
      <c r="U30" s="11">
        <v>0</v>
      </c>
      <c r="V30" s="11">
        <v>100</v>
      </c>
      <c r="W30" s="9">
        <v>400</v>
      </c>
      <c r="X30" s="12">
        <v>450</v>
      </c>
      <c r="Y30" s="11">
        <v>35</v>
      </c>
      <c r="Z30" s="9">
        <v>400</v>
      </c>
      <c r="AA30" s="12">
        <v>450</v>
      </c>
      <c r="AB30" s="9">
        <v>2.5</v>
      </c>
      <c r="AC30" s="11">
        <v>0.1</v>
      </c>
      <c r="AD30" s="9">
        <v>0.83</v>
      </c>
      <c r="AE30" s="24">
        <v>0.05</v>
      </c>
      <c r="AF30" s="24">
        <v>0.05</v>
      </c>
      <c r="AG30" s="24">
        <v>5.4071175233300003E-2</v>
      </c>
      <c r="AH30" s="19">
        <v>8.3630780141399994E-3</v>
      </c>
      <c r="AI30" s="21">
        <v>3.5000000000000003E-2</v>
      </c>
      <c r="AJ30" s="21">
        <v>0.21129999999999999</v>
      </c>
      <c r="AK30" s="21">
        <v>3.7999999999999999E-2</v>
      </c>
      <c r="AL30" s="12">
        <v>2.6537130000000002</v>
      </c>
      <c r="AM30" s="9">
        <v>0.56999999999999995</v>
      </c>
      <c r="AN30" s="9">
        <v>0.56999999999999995</v>
      </c>
      <c r="AO30" s="9">
        <v>0.56999999999999995</v>
      </c>
      <c r="AP30" s="9">
        <v>0.56999999999999995</v>
      </c>
      <c r="AQ30" s="9">
        <v>0.56999999999999995</v>
      </c>
      <c r="AR30" s="9">
        <v>0.56999999999999995</v>
      </c>
      <c r="AS30" s="9"/>
      <c r="AT30" s="9">
        <v>0.4</v>
      </c>
      <c r="AU30" s="9">
        <v>400</v>
      </c>
      <c r="AV30" s="9">
        <v>0.45479452100000001</v>
      </c>
      <c r="AW30" s="9">
        <v>450</v>
      </c>
      <c r="AX30" s="9">
        <v>0.4</v>
      </c>
      <c r="AY30" s="9">
        <v>218</v>
      </c>
      <c r="AZ30" s="9">
        <v>0.45479452100000001</v>
      </c>
      <c r="BA30" s="9">
        <v>243</v>
      </c>
      <c r="BB30" s="9">
        <v>0.4</v>
      </c>
      <c r="BC30" s="9">
        <v>218</v>
      </c>
      <c r="BD30" s="9">
        <v>0.45479452100000001</v>
      </c>
      <c r="BE30" s="9">
        <v>243</v>
      </c>
      <c r="BF30" s="9">
        <v>0.95</v>
      </c>
      <c r="BG30" s="93">
        <v>0.967567061263096</v>
      </c>
      <c r="BI30" s="141">
        <f t="shared" si="0"/>
        <v>763193.71450971009</v>
      </c>
    </row>
    <row r="31" spans="1:61" ht="18" customHeight="1">
      <c r="A31" s="9">
        <v>2020</v>
      </c>
      <c r="B31" s="9" t="s">
        <v>52</v>
      </c>
      <c r="C31" s="9" t="s">
        <v>68</v>
      </c>
      <c r="D31" s="10">
        <v>708.31129999999996</v>
      </c>
      <c r="E31" s="10">
        <v>5859.8010000000004</v>
      </c>
      <c r="F31" s="10">
        <v>172.2081</v>
      </c>
      <c r="G31" s="10">
        <v>25</v>
      </c>
      <c r="H31" s="10">
        <v>172.2081</v>
      </c>
      <c r="I31" s="10">
        <v>25</v>
      </c>
      <c r="J31" s="10">
        <v>12</v>
      </c>
      <c r="K31" s="10">
        <v>12</v>
      </c>
      <c r="L31" s="10">
        <v>915.71109999999999</v>
      </c>
      <c r="M31" s="10">
        <v>1316.011</v>
      </c>
      <c r="N31" s="10">
        <v>514.05650000000003</v>
      </c>
      <c r="O31" s="10">
        <v>1062.241</v>
      </c>
      <c r="P31" s="10">
        <v>4</v>
      </c>
      <c r="Q31" s="10">
        <v>609.11739999999998</v>
      </c>
      <c r="R31" s="10">
        <v>190.25479999999999</v>
      </c>
      <c r="S31" s="10">
        <v>4188.442</v>
      </c>
      <c r="T31" s="11">
        <v>67.72</v>
      </c>
      <c r="U31" s="11">
        <v>0</v>
      </c>
      <c r="V31" s="11">
        <v>32.28</v>
      </c>
      <c r="W31" s="9">
        <v>400</v>
      </c>
      <c r="X31" s="12">
        <v>450</v>
      </c>
      <c r="Y31" s="11">
        <v>35</v>
      </c>
      <c r="Z31" s="9">
        <v>400</v>
      </c>
      <c r="AA31" s="12">
        <v>450</v>
      </c>
      <c r="AB31" s="9">
        <v>2.5</v>
      </c>
      <c r="AC31" s="11">
        <v>0.1</v>
      </c>
      <c r="AD31" s="9">
        <v>0.83</v>
      </c>
      <c r="AE31" s="24">
        <v>0.05</v>
      </c>
      <c r="AF31" s="24">
        <v>0.05</v>
      </c>
      <c r="AG31" s="24">
        <v>0</v>
      </c>
      <c r="AH31" s="19">
        <v>1.4748841310900001E-2</v>
      </c>
      <c r="AI31" s="21">
        <v>3.5000000000000003E-2</v>
      </c>
      <c r="AJ31" s="21">
        <v>0.21129999999999999</v>
      </c>
      <c r="AK31" s="21">
        <v>3.7999999999999999E-2</v>
      </c>
      <c r="AL31" s="12">
        <v>7.4111830000000003</v>
      </c>
      <c r="AM31" s="9">
        <v>0.56999999999999995</v>
      </c>
      <c r="AN31" s="9">
        <v>0.56999999999999995</v>
      </c>
      <c r="AO31" s="9">
        <v>0.56999999999999995</v>
      </c>
      <c r="AP31" s="9">
        <v>0.56999999999999995</v>
      </c>
      <c r="AQ31" s="9">
        <v>0.56999999999999995</v>
      </c>
      <c r="AR31" s="9">
        <v>0.56999999999999995</v>
      </c>
      <c r="AS31" s="9"/>
      <c r="AT31" s="9">
        <v>0.4</v>
      </c>
      <c r="AU31" s="9">
        <v>400</v>
      </c>
      <c r="AV31" s="9">
        <v>0.45479452100000001</v>
      </c>
      <c r="AW31" s="9">
        <v>450</v>
      </c>
      <c r="AX31" s="9">
        <v>0.4</v>
      </c>
      <c r="AY31" s="9">
        <v>218</v>
      </c>
      <c r="AZ31" s="9">
        <v>0.45479452100000001</v>
      </c>
      <c r="BA31" s="9">
        <v>243</v>
      </c>
      <c r="BB31" s="9">
        <v>0.4</v>
      </c>
      <c r="BC31" s="9">
        <v>218</v>
      </c>
      <c r="BD31" s="9">
        <v>0.45479452100000001</v>
      </c>
      <c r="BE31" s="9">
        <v>243</v>
      </c>
      <c r="BF31" s="9">
        <v>0.95</v>
      </c>
      <c r="BG31" s="93">
        <v>0.11753559305941599</v>
      </c>
      <c r="BI31" s="141">
        <f t="shared" si="0"/>
        <v>9312393.0440657996</v>
      </c>
    </row>
    <row r="32" spans="1:61" s="139" customFormat="1" ht="18" customHeight="1">
      <c r="A32" s="89">
        <v>2020</v>
      </c>
      <c r="B32" s="89" t="s">
        <v>48</v>
      </c>
      <c r="C32" s="89" t="s">
        <v>69</v>
      </c>
      <c r="D32" s="132">
        <v>7</v>
      </c>
      <c r="E32" s="132">
        <v>782.25260000000003</v>
      </c>
      <c r="F32" s="132">
        <v>1</v>
      </c>
      <c r="G32" s="132">
        <v>2</v>
      </c>
      <c r="H32" s="132">
        <v>1</v>
      </c>
      <c r="I32" s="132">
        <v>2</v>
      </c>
      <c r="J32" s="132">
        <v>243.80109999999999</v>
      </c>
      <c r="K32" s="132">
        <v>2</v>
      </c>
      <c r="L32" s="132">
        <v>252.80109999999999</v>
      </c>
      <c r="M32" s="132">
        <v>13</v>
      </c>
      <c r="N32" s="132">
        <v>6</v>
      </c>
      <c r="O32" s="132">
        <v>13</v>
      </c>
      <c r="P32" s="132">
        <v>1</v>
      </c>
      <c r="Q32" s="132">
        <v>244.31020000000001</v>
      </c>
      <c r="R32" s="132">
        <v>0</v>
      </c>
      <c r="S32" s="132">
        <v>524.94230000000005</v>
      </c>
      <c r="T32" s="133">
        <v>0.21</v>
      </c>
      <c r="U32" s="133">
        <v>0</v>
      </c>
      <c r="V32" s="133">
        <v>99.79</v>
      </c>
      <c r="W32" s="89">
        <v>400</v>
      </c>
      <c r="X32" s="134">
        <v>450</v>
      </c>
      <c r="Y32" s="133">
        <v>35</v>
      </c>
      <c r="Z32" s="89">
        <v>400</v>
      </c>
      <c r="AA32" s="134">
        <v>450</v>
      </c>
      <c r="AB32" s="89">
        <v>2.5</v>
      </c>
      <c r="AC32" s="133">
        <v>0.1</v>
      </c>
      <c r="AD32" s="89">
        <v>0.83</v>
      </c>
      <c r="AE32" s="135">
        <v>0.05</v>
      </c>
      <c r="AF32" s="135">
        <v>0.05</v>
      </c>
      <c r="AG32" s="135">
        <v>9.3184296867399995E-3</v>
      </c>
      <c r="AH32" s="136">
        <v>2.5974025974E-2</v>
      </c>
      <c r="AI32" s="137">
        <v>3.5000000000000003E-2</v>
      </c>
      <c r="AJ32" s="137">
        <v>0.21129999999999999</v>
      </c>
      <c r="AK32" s="137">
        <v>3.7999999999999999E-2</v>
      </c>
      <c r="AL32" s="134">
        <v>10.383330000000001</v>
      </c>
      <c r="AM32" s="89">
        <v>0.56999999999999995</v>
      </c>
      <c r="AN32" s="89">
        <v>0.56999999999999995</v>
      </c>
      <c r="AO32" s="89">
        <v>0.56999999999999995</v>
      </c>
      <c r="AP32" s="89">
        <v>0.56999999999999995</v>
      </c>
      <c r="AQ32" s="89">
        <v>0.56999999999999995</v>
      </c>
      <c r="AR32" s="89">
        <v>0.56999999999999995</v>
      </c>
      <c r="AS32" s="89"/>
      <c r="AT32" s="89">
        <v>0.4</v>
      </c>
      <c r="AU32" s="89">
        <v>400</v>
      </c>
      <c r="AV32" s="89">
        <v>0.45479452100000001</v>
      </c>
      <c r="AW32" s="89">
        <v>450</v>
      </c>
      <c r="AX32" s="89">
        <v>0.4</v>
      </c>
      <c r="AY32" s="89">
        <v>218</v>
      </c>
      <c r="AZ32" s="89">
        <v>0.45479452100000001</v>
      </c>
      <c r="BA32" s="89">
        <v>243</v>
      </c>
      <c r="BB32" s="89">
        <v>0.4</v>
      </c>
      <c r="BC32" s="89">
        <v>218</v>
      </c>
      <c r="BD32" s="89">
        <v>0.45479452100000001</v>
      </c>
      <c r="BE32" s="89">
        <v>243</v>
      </c>
      <c r="BF32" s="89">
        <v>0.95</v>
      </c>
      <c r="BG32" s="138">
        <v>0.83906207887304696</v>
      </c>
      <c r="BI32" s="141">
        <f t="shared" si="0"/>
        <v>1635194.7395577002</v>
      </c>
    </row>
    <row r="33" spans="1:61" s="139" customFormat="1" ht="18" customHeight="1">
      <c r="A33" s="89">
        <v>2020</v>
      </c>
      <c r="B33" s="89" t="s">
        <v>41</v>
      </c>
      <c r="C33" s="89" t="s">
        <v>70</v>
      </c>
      <c r="D33" s="132">
        <v>46</v>
      </c>
      <c r="E33" s="132">
        <v>1753.62</v>
      </c>
      <c r="F33" s="132">
        <v>6</v>
      </c>
      <c r="G33" s="132">
        <v>249.6746</v>
      </c>
      <c r="H33" s="132">
        <v>6</v>
      </c>
      <c r="I33" s="132">
        <v>249.6746</v>
      </c>
      <c r="J33" s="132">
        <v>2</v>
      </c>
      <c r="K33" s="132">
        <v>12</v>
      </c>
      <c r="L33" s="132">
        <v>261.42290000000003</v>
      </c>
      <c r="M33" s="132">
        <v>580.28710000000001</v>
      </c>
      <c r="N33" s="132">
        <v>40</v>
      </c>
      <c r="O33" s="132">
        <v>328.04899999999998</v>
      </c>
      <c r="P33" s="132">
        <v>1</v>
      </c>
      <c r="Q33" s="132">
        <v>550.86130000000003</v>
      </c>
      <c r="R33" s="132">
        <v>5</v>
      </c>
      <c r="S33" s="132">
        <v>874.71</v>
      </c>
      <c r="T33" s="133">
        <v>0.23</v>
      </c>
      <c r="U33" s="133">
        <v>0</v>
      </c>
      <c r="V33" s="133">
        <v>99.77</v>
      </c>
      <c r="W33" s="89">
        <v>400</v>
      </c>
      <c r="X33" s="134">
        <v>450</v>
      </c>
      <c r="Y33" s="133">
        <v>35</v>
      </c>
      <c r="Z33" s="89">
        <v>400</v>
      </c>
      <c r="AA33" s="134">
        <v>450</v>
      </c>
      <c r="AB33" s="89">
        <v>2.5</v>
      </c>
      <c r="AC33" s="133">
        <v>0.1</v>
      </c>
      <c r="AD33" s="89">
        <v>0.83</v>
      </c>
      <c r="AE33" s="135">
        <v>0.05</v>
      </c>
      <c r="AF33" s="135">
        <v>0.05</v>
      </c>
      <c r="AG33" s="135">
        <v>6.6484499719500004E-3</v>
      </c>
      <c r="AH33" s="136">
        <v>4.5423763776599999E-2</v>
      </c>
      <c r="AI33" s="137">
        <v>3.5000000000000003E-2</v>
      </c>
      <c r="AJ33" s="137">
        <v>0.21129999999999999</v>
      </c>
      <c r="AK33" s="137">
        <v>3.7999999999999999E-2</v>
      </c>
      <c r="AL33" s="134">
        <v>8.3861410000000003</v>
      </c>
      <c r="AM33" s="89">
        <v>0.56999999999999995</v>
      </c>
      <c r="AN33" s="89">
        <v>0.56999999999999995</v>
      </c>
      <c r="AO33" s="89">
        <v>0.56999999999999995</v>
      </c>
      <c r="AP33" s="89">
        <v>0.56999999999999995</v>
      </c>
      <c r="AQ33" s="89">
        <v>0.56999999999999995</v>
      </c>
      <c r="AR33" s="89">
        <v>0.56999999999999995</v>
      </c>
      <c r="AS33" s="89"/>
      <c r="AT33" s="89">
        <v>0.4</v>
      </c>
      <c r="AU33" s="89">
        <v>400</v>
      </c>
      <c r="AV33" s="89">
        <v>0.45479452100000001</v>
      </c>
      <c r="AW33" s="89">
        <v>450</v>
      </c>
      <c r="AX33" s="89">
        <v>0.4</v>
      </c>
      <c r="AY33" s="89">
        <v>218</v>
      </c>
      <c r="AZ33" s="89">
        <v>0.45479452100000001</v>
      </c>
      <c r="BA33" s="89">
        <v>243</v>
      </c>
      <c r="BB33" s="89">
        <v>0.4</v>
      </c>
      <c r="BC33" s="89">
        <v>218</v>
      </c>
      <c r="BD33" s="89">
        <v>0.45479452100000001</v>
      </c>
      <c r="BE33" s="89">
        <v>243</v>
      </c>
      <c r="BF33" s="89">
        <v>0.95</v>
      </c>
      <c r="BG33" s="138">
        <v>0.57124499683780094</v>
      </c>
      <c r="BI33" s="141">
        <f t="shared" si="0"/>
        <v>2200632.4182330002</v>
      </c>
    </row>
    <row r="34" spans="1:61" ht="18" customHeight="1">
      <c r="A34" s="9">
        <v>2020</v>
      </c>
      <c r="B34" s="9" t="s">
        <v>52</v>
      </c>
      <c r="C34" s="9" t="s">
        <v>71</v>
      </c>
      <c r="D34" s="10">
        <v>746.45360000000005</v>
      </c>
      <c r="E34" s="10">
        <v>2503.4470000000001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183.6842</v>
      </c>
      <c r="L34" s="10">
        <v>303.87580000000003</v>
      </c>
      <c r="M34" s="10">
        <v>502.69139999999999</v>
      </c>
      <c r="N34" s="10">
        <v>525.16470000000004</v>
      </c>
      <c r="O34" s="10">
        <v>1276.0820000000001</v>
      </c>
      <c r="P34" s="10">
        <v>221.28890000000001</v>
      </c>
      <c r="Q34" s="10">
        <v>241.44649999999999</v>
      </c>
      <c r="R34" s="10">
        <v>0</v>
      </c>
      <c r="S34" s="10">
        <v>985.91819999999996</v>
      </c>
      <c r="T34" s="11">
        <v>0</v>
      </c>
      <c r="U34" s="11">
        <v>0</v>
      </c>
      <c r="V34" s="11">
        <v>100</v>
      </c>
      <c r="W34" s="9">
        <v>400</v>
      </c>
      <c r="X34" s="12">
        <v>450</v>
      </c>
      <c r="Y34" s="11">
        <v>35</v>
      </c>
      <c r="Z34" s="9">
        <v>400</v>
      </c>
      <c r="AA34" s="12">
        <v>450</v>
      </c>
      <c r="AB34" s="9">
        <v>2.5</v>
      </c>
      <c r="AC34" s="11">
        <v>0.1</v>
      </c>
      <c r="AD34" s="9">
        <v>0.83</v>
      </c>
      <c r="AE34" s="24">
        <v>0.05</v>
      </c>
      <c r="AF34" s="24">
        <v>0.05</v>
      </c>
      <c r="AG34" s="24">
        <v>6.0203219301300001E-2</v>
      </c>
      <c r="AH34" s="19">
        <v>7.00480786829E-2</v>
      </c>
      <c r="AI34" s="21">
        <v>3.5000000000000003E-2</v>
      </c>
      <c r="AJ34" s="21">
        <v>0.21129999999999999</v>
      </c>
      <c r="AK34" s="21">
        <v>3.7999999999999999E-2</v>
      </c>
      <c r="AL34" s="12">
        <v>4.1856109999999997</v>
      </c>
      <c r="AM34" s="9">
        <v>0.56999999999999995</v>
      </c>
      <c r="AN34" s="9">
        <v>0.56999999999999995</v>
      </c>
      <c r="AO34" s="9">
        <v>0.56999999999999995</v>
      </c>
      <c r="AP34" s="9">
        <v>0.56999999999999995</v>
      </c>
      <c r="AQ34" s="9">
        <v>0.56999999999999995</v>
      </c>
      <c r="AR34" s="9">
        <v>0.56999999999999995</v>
      </c>
      <c r="AS34" s="9"/>
      <c r="AT34" s="9">
        <v>0.4</v>
      </c>
      <c r="AU34" s="9">
        <v>400</v>
      </c>
      <c r="AV34" s="9">
        <v>0.45479452100000001</v>
      </c>
      <c r="AW34" s="9">
        <v>450</v>
      </c>
      <c r="AX34" s="9">
        <v>0.4</v>
      </c>
      <c r="AY34" s="9">
        <v>218</v>
      </c>
      <c r="AZ34" s="9">
        <v>0.45479452100000001</v>
      </c>
      <c r="BA34" s="9">
        <v>243</v>
      </c>
      <c r="BB34" s="9">
        <v>0.4</v>
      </c>
      <c r="BC34" s="9">
        <v>218</v>
      </c>
      <c r="BD34" s="9">
        <v>0.45479452100000001</v>
      </c>
      <c r="BE34" s="9">
        <v>243</v>
      </c>
      <c r="BF34" s="9">
        <v>0.95</v>
      </c>
      <c r="BG34" s="93">
        <v>0.32405325480025199</v>
      </c>
      <c r="BI34" s="141">
        <f t="shared" si="0"/>
        <v>1238001.0189060599</v>
      </c>
    </row>
    <row r="35" spans="1:61" ht="18" customHeight="1">
      <c r="A35" s="9">
        <v>2020</v>
      </c>
      <c r="B35" s="9" t="s">
        <v>52</v>
      </c>
      <c r="C35" s="9" t="s">
        <v>72</v>
      </c>
      <c r="D35" s="10">
        <v>1571.6890000000001</v>
      </c>
      <c r="E35" s="10">
        <v>5524.2839999999997</v>
      </c>
      <c r="F35" s="10">
        <v>12</v>
      </c>
      <c r="G35" s="10">
        <v>351.05829999999997</v>
      </c>
      <c r="H35" s="10">
        <v>12</v>
      </c>
      <c r="I35" s="10">
        <v>351.05829999999997</v>
      </c>
      <c r="J35" s="10">
        <v>408.66750000000002</v>
      </c>
      <c r="K35" s="10">
        <v>194.1087</v>
      </c>
      <c r="L35" s="10">
        <v>941.26260000000002</v>
      </c>
      <c r="M35" s="10">
        <v>979.9624</v>
      </c>
      <c r="N35" s="10">
        <v>1340.5340000000001</v>
      </c>
      <c r="O35" s="10">
        <v>1299.9770000000001</v>
      </c>
      <c r="P35" s="10">
        <v>222.15530000000001</v>
      </c>
      <c r="Q35" s="10">
        <v>1690.3489999999999</v>
      </c>
      <c r="R35" s="10">
        <v>9</v>
      </c>
      <c r="S35" s="10">
        <v>2533.9580000000001</v>
      </c>
      <c r="T35" s="11">
        <v>0.39</v>
      </c>
      <c r="U35" s="11">
        <v>17.61</v>
      </c>
      <c r="V35" s="11">
        <v>82</v>
      </c>
      <c r="W35" s="9">
        <v>400</v>
      </c>
      <c r="X35" s="12">
        <v>450</v>
      </c>
      <c r="Y35" s="11">
        <v>35</v>
      </c>
      <c r="Z35" s="9">
        <v>400</v>
      </c>
      <c r="AA35" s="12">
        <v>450</v>
      </c>
      <c r="AB35" s="9">
        <v>2.5</v>
      </c>
      <c r="AC35" s="11">
        <v>0.1</v>
      </c>
      <c r="AD35" s="9">
        <v>0.83</v>
      </c>
      <c r="AE35" s="24">
        <v>0.05</v>
      </c>
      <c r="AF35" s="24">
        <v>0.05</v>
      </c>
      <c r="AG35" s="24">
        <v>1.06251570398E-4</v>
      </c>
      <c r="AH35" s="19">
        <v>0.17610958553700001</v>
      </c>
      <c r="AI35" s="21">
        <v>3.5000000000000003E-2</v>
      </c>
      <c r="AJ35" s="21">
        <v>0.21129999999999999</v>
      </c>
      <c r="AK35" s="21">
        <v>3.7999999999999999E-2</v>
      </c>
      <c r="AL35" s="12">
        <v>4.3877689999999996</v>
      </c>
      <c r="AM35" s="9">
        <v>0.56999999999999995</v>
      </c>
      <c r="AN35" s="9">
        <v>0.56999999999999995</v>
      </c>
      <c r="AO35" s="9">
        <v>0.56999999999999995</v>
      </c>
      <c r="AP35" s="9">
        <v>0.56999999999999995</v>
      </c>
      <c r="AQ35" s="9">
        <v>0.56999999999999995</v>
      </c>
      <c r="AR35" s="9">
        <v>0.56999999999999995</v>
      </c>
      <c r="AS35" s="9"/>
      <c r="AT35" s="9">
        <v>0.4</v>
      </c>
      <c r="AU35" s="9">
        <v>400</v>
      </c>
      <c r="AV35" s="9">
        <v>0.45479452100000001</v>
      </c>
      <c r="AW35" s="9">
        <v>450</v>
      </c>
      <c r="AX35" s="9">
        <v>0.4</v>
      </c>
      <c r="AY35" s="9">
        <v>218</v>
      </c>
      <c r="AZ35" s="9">
        <v>0.45479452100000001</v>
      </c>
      <c r="BA35" s="9">
        <v>243</v>
      </c>
      <c r="BB35" s="9">
        <v>0.4</v>
      </c>
      <c r="BC35" s="9">
        <v>218</v>
      </c>
      <c r="BD35" s="9">
        <v>0.45479452100000001</v>
      </c>
      <c r="BE35" s="9">
        <v>243</v>
      </c>
      <c r="BF35" s="9">
        <v>0.95</v>
      </c>
      <c r="BG35" s="93">
        <v>0.344526014267308</v>
      </c>
      <c r="BI35" s="141">
        <f t="shared" si="0"/>
        <v>3335526.7079105997</v>
      </c>
    </row>
    <row r="36" spans="1:61" ht="18" customHeight="1">
      <c r="A36" s="9">
        <v>2020</v>
      </c>
      <c r="B36" s="9" t="s">
        <v>39</v>
      </c>
      <c r="C36" s="9" t="s">
        <v>73</v>
      </c>
      <c r="D36" s="10">
        <v>328.7713</v>
      </c>
      <c r="E36" s="10">
        <v>4476.2659999999996</v>
      </c>
      <c r="F36" s="10">
        <v>10</v>
      </c>
      <c r="G36" s="10">
        <v>459.35579999999999</v>
      </c>
      <c r="H36" s="10">
        <v>10</v>
      </c>
      <c r="I36" s="10">
        <v>459.35579999999999</v>
      </c>
      <c r="J36" s="10">
        <v>251.40369999999999</v>
      </c>
      <c r="K36" s="10">
        <v>451.84500000000003</v>
      </c>
      <c r="L36" s="10">
        <v>308.7713</v>
      </c>
      <c r="M36" s="10">
        <v>1395.5740000000001</v>
      </c>
      <c r="N36" s="10">
        <v>287.7713</v>
      </c>
      <c r="O36" s="10">
        <v>1601.5260000000001</v>
      </c>
      <c r="P36" s="10">
        <v>22</v>
      </c>
      <c r="Q36" s="10">
        <v>515.99659999999994</v>
      </c>
      <c r="R36" s="10">
        <v>19</v>
      </c>
      <c r="S36" s="10">
        <v>2358.7429999999999</v>
      </c>
      <c r="T36" s="11">
        <v>0.5</v>
      </c>
      <c r="U36" s="11">
        <v>0</v>
      </c>
      <c r="V36" s="11">
        <v>99.5</v>
      </c>
      <c r="W36" s="9">
        <v>400</v>
      </c>
      <c r="X36" s="12">
        <v>450</v>
      </c>
      <c r="Y36" s="11">
        <v>35</v>
      </c>
      <c r="Z36" s="9">
        <v>400</v>
      </c>
      <c r="AA36" s="12">
        <v>450</v>
      </c>
      <c r="AB36" s="9">
        <v>2.5</v>
      </c>
      <c r="AC36" s="11">
        <v>0.1</v>
      </c>
      <c r="AD36" s="9">
        <v>0.83</v>
      </c>
      <c r="AE36" s="24">
        <v>0.05</v>
      </c>
      <c r="AF36" s="24">
        <v>0.05</v>
      </c>
      <c r="AG36" s="24">
        <v>0</v>
      </c>
      <c r="AH36" s="19">
        <v>0.90057627219000003</v>
      </c>
      <c r="AI36" s="21">
        <v>3.5000000000000003E-2</v>
      </c>
      <c r="AJ36" s="21">
        <v>0.21129999999999999</v>
      </c>
      <c r="AK36" s="21">
        <v>3.7999999999999999E-2</v>
      </c>
      <c r="AL36" s="12">
        <v>6.2129399999999997</v>
      </c>
      <c r="AM36" s="9">
        <v>0.56999999999999995</v>
      </c>
      <c r="AN36" s="9">
        <v>0.56999999999999995</v>
      </c>
      <c r="AO36" s="9">
        <v>0.56999999999999995</v>
      </c>
      <c r="AP36" s="9">
        <v>0.56999999999999995</v>
      </c>
      <c r="AQ36" s="9">
        <v>0.56999999999999995</v>
      </c>
      <c r="AR36" s="9">
        <v>0.56999999999999995</v>
      </c>
      <c r="AS36" s="9"/>
      <c r="AT36" s="9">
        <v>0.4</v>
      </c>
      <c r="AU36" s="9">
        <v>400</v>
      </c>
      <c r="AV36" s="9">
        <v>0.45479452100000001</v>
      </c>
      <c r="AW36" s="9">
        <v>450</v>
      </c>
      <c r="AX36" s="9">
        <v>0.4</v>
      </c>
      <c r="AY36" s="9">
        <v>218</v>
      </c>
      <c r="AZ36" s="9">
        <v>0.45479452100000001</v>
      </c>
      <c r="BA36" s="9">
        <v>243</v>
      </c>
      <c r="BB36" s="9">
        <v>0.4</v>
      </c>
      <c r="BC36" s="9">
        <v>218</v>
      </c>
      <c r="BD36" s="9">
        <v>0.45479452100000001</v>
      </c>
      <c r="BE36" s="9">
        <v>243</v>
      </c>
      <c r="BF36" s="9">
        <v>0.95</v>
      </c>
      <c r="BG36" s="93">
        <f>(E36+G36+I36+K36)/SUM(D36:K36)</f>
        <v>0.90690627835816162</v>
      </c>
      <c r="BI36" s="141">
        <f t="shared" si="0"/>
        <v>4396418.6203260003</v>
      </c>
    </row>
    <row r="37" spans="1:61" ht="18" customHeight="1">
      <c r="D37" s="39">
        <f>SUM(D7:D36)</f>
        <v>20443.013660000004</v>
      </c>
      <c r="E37" s="39">
        <f>SUM(E7:E36)</f>
        <v>86496.427600000025</v>
      </c>
      <c r="S37" s="39">
        <f>SUM(S7:S36)</f>
        <v>46823.241399999999</v>
      </c>
      <c r="T37" s="148">
        <f>AVERAGE(T7:T36)</f>
        <v>5.6493333333333329</v>
      </c>
      <c r="U37" s="148">
        <f t="shared" ref="U37:V37" si="1">AVERAGE(U7:U36)</f>
        <v>1.1323333333333332</v>
      </c>
      <c r="V37" s="148">
        <f t="shared" si="1"/>
        <v>93.21833333333332</v>
      </c>
      <c r="AE37" s="24">
        <f>AVERAGE(AE7:AE36)</f>
        <v>5.0000000000000024E-2</v>
      </c>
      <c r="AF37" s="24">
        <f t="shared" ref="AF37:AG37" si="2">AVERAGE(AF7:AF36)</f>
        <v>5.0000000000000024E-2</v>
      </c>
      <c r="AG37" s="19">
        <f t="shared" si="2"/>
        <v>5.9947516620636923E-2</v>
      </c>
      <c r="AH37" s="19"/>
      <c r="AL37" s="148">
        <f>AVERAGE(AL7:AL36)</f>
        <v>5.6280519</v>
      </c>
      <c r="BI37" s="141">
        <f>SUM(BI7:BI36)</f>
        <v>73162756.655663908</v>
      </c>
    </row>
    <row r="39" spans="1:61" ht="15" customHeight="1">
      <c r="V39" s="148"/>
    </row>
  </sheetData>
  <sortState xmlns:xlrd2="http://schemas.microsoft.com/office/spreadsheetml/2017/richdata2" ref="A7:BG36">
    <sortCondition ref="C7:C36"/>
  </sortState>
  <mergeCells count="9">
    <mergeCell ref="N5:O5"/>
    <mergeCell ref="P5:Q5"/>
    <mergeCell ref="R5:S5"/>
    <mergeCell ref="T5:V5"/>
    <mergeCell ref="D5:E5"/>
    <mergeCell ref="F5:G5"/>
    <mergeCell ref="H5:I5"/>
    <mergeCell ref="J5:K5"/>
    <mergeCell ref="L5:M5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9"/>
  <sheetViews>
    <sheetView workbookViewId="0">
      <pane ySplit="2" topLeftCell="A3" activePane="bottomLeft" state="frozen"/>
      <selection pane="bottomLeft" activeCell="J25" sqref="J25"/>
    </sheetView>
  </sheetViews>
  <sheetFormatPr defaultColWidth="9.140625" defaultRowHeight="15.6"/>
  <cols>
    <col min="1" max="1" width="48.140625" style="1" customWidth="1"/>
    <col min="2" max="2" width="29.85546875" style="1" customWidth="1"/>
    <col min="3" max="3" width="25.85546875" style="1" bestFit="1" customWidth="1"/>
    <col min="4" max="4" width="20.7109375" style="1" bestFit="1" customWidth="1"/>
    <col min="5" max="5" width="15.5703125" style="4" customWidth="1"/>
    <col min="6" max="6" width="16.7109375" style="4" bestFit="1" customWidth="1"/>
    <col min="7" max="8" width="15.140625" style="4" customWidth="1"/>
    <col min="9" max="9" width="12" style="4" customWidth="1"/>
    <col min="10" max="10" width="16" style="4" customWidth="1"/>
    <col min="11" max="11" width="12" style="4" customWidth="1"/>
    <col min="12" max="12" width="14" style="4" customWidth="1"/>
    <col min="13" max="13" width="16.85546875" style="4" customWidth="1"/>
    <col min="14" max="14" width="17.28515625" style="1" customWidth="1"/>
    <col min="15" max="15" width="12.5703125" bestFit="1" customWidth="1"/>
    <col min="16" max="16" width="13.7109375" style="1" bestFit="1" customWidth="1"/>
    <col min="17" max="17" width="12.7109375" style="1" customWidth="1"/>
    <col min="18" max="16384" width="9.140625" style="1"/>
  </cols>
  <sheetData>
    <row r="1" spans="1:18">
      <c r="D1" s="2"/>
      <c r="E1" s="1"/>
      <c r="F1" s="1"/>
      <c r="G1" s="1"/>
      <c r="H1" s="1"/>
      <c r="I1" s="1"/>
      <c r="J1" s="1"/>
      <c r="K1" s="1"/>
      <c r="L1" s="1"/>
      <c r="M1" s="1"/>
      <c r="N1" s="3"/>
    </row>
    <row r="2" spans="1:18" ht="46.9">
      <c r="A2" s="2" t="s">
        <v>253</v>
      </c>
      <c r="B2" s="38" t="s">
        <v>254</v>
      </c>
      <c r="C2" s="38" t="s">
        <v>253</v>
      </c>
      <c r="D2" s="38" t="s">
        <v>255</v>
      </c>
      <c r="E2" s="38" t="s">
        <v>256</v>
      </c>
      <c r="F2" s="38" t="s">
        <v>257</v>
      </c>
      <c r="G2" s="38" t="s">
        <v>258</v>
      </c>
      <c r="H2" s="38"/>
      <c r="I2" s="38" t="s">
        <v>259</v>
      </c>
      <c r="J2" s="38" t="s">
        <v>260</v>
      </c>
      <c r="K2" s="38" t="s">
        <v>261</v>
      </c>
      <c r="L2" s="38" t="s">
        <v>262</v>
      </c>
      <c r="M2" s="38" t="s">
        <v>263</v>
      </c>
      <c r="N2" s="38" t="s">
        <v>264</v>
      </c>
      <c r="O2" s="38" t="s">
        <v>254</v>
      </c>
      <c r="P2" s="38" t="s">
        <v>258</v>
      </c>
      <c r="Q2" s="38" t="s">
        <v>265</v>
      </c>
    </row>
    <row r="3" spans="1:18">
      <c r="A3" s="1" t="s">
        <v>266</v>
      </c>
      <c r="B3" s="4">
        <v>37.5</v>
      </c>
      <c r="C3" s="1" t="s">
        <v>267</v>
      </c>
      <c r="D3" s="1" t="s">
        <v>268</v>
      </c>
      <c r="E3" s="4">
        <v>199</v>
      </c>
      <c r="F3" s="4">
        <v>112</v>
      </c>
      <c r="G3" s="4">
        <v>15.52</v>
      </c>
      <c r="H3" t="s">
        <v>269</v>
      </c>
      <c r="I3" s="4">
        <v>10.1</v>
      </c>
      <c r="J3" s="4">
        <v>17.8</v>
      </c>
      <c r="K3" s="70">
        <f>O25</f>
        <v>18.180699999999998</v>
      </c>
      <c r="L3" s="4">
        <f>I3/J3</f>
        <v>0.56741573033707859</v>
      </c>
      <c r="M3" s="4">
        <f>L3*O3</f>
        <v>21.278089887640448</v>
      </c>
      <c r="N3" s="1">
        <v>59.4</v>
      </c>
      <c r="O3" s="4">
        <v>37.5</v>
      </c>
      <c r="P3" s="1">
        <v>15.52</v>
      </c>
      <c r="Q3" s="42">
        <f>SUMPRODUCT($P3:$P17,O3:O17)/100</f>
        <v>18.562559999999998</v>
      </c>
      <c r="R3" s="42">
        <f>SUMPRODUCT($F3:$F17,O3:O17)/100</f>
        <v>107.58280000000002</v>
      </c>
    </row>
    <row r="4" spans="1:18">
      <c r="A4" s="58" t="s">
        <v>270</v>
      </c>
      <c r="B4" s="4">
        <v>27.7</v>
      </c>
      <c r="C4" s="1" t="s">
        <v>271</v>
      </c>
      <c r="D4" s="1" t="s">
        <v>272</v>
      </c>
      <c r="E4" s="4">
        <v>283</v>
      </c>
      <c r="F4" s="4">
        <v>105</v>
      </c>
      <c r="G4" s="4">
        <v>24.16</v>
      </c>
      <c r="H4" t="s">
        <v>273</v>
      </c>
      <c r="I4" s="4">
        <v>11.3</v>
      </c>
      <c r="J4" s="4">
        <v>18.7</v>
      </c>
      <c r="L4" s="4">
        <f t="shared" ref="L4:L16" si="0">I4/J4</f>
        <v>0.60427807486631024</v>
      </c>
      <c r="M4" s="4">
        <f t="shared" ref="M4:M17" si="1">L4*O4</f>
        <v>16.738502673796795</v>
      </c>
      <c r="O4" s="4">
        <v>27.7</v>
      </c>
      <c r="P4" s="1">
        <v>24.16</v>
      </c>
    </row>
    <row r="5" spans="1:18">
      <c r="A5" s="1" t="s">
        <v>274</v>
      </c>
      <c r="B5" s="4">
        <v>3.6</v>
      </c>
      <c r="C5" s="1" t="s">
        <v>274</v>
      </c>
      <c r="D5" s="1" t="s">
        <v>275</v>
      </c>
      <c r="E5" s="4">
        <v>311</v>
      </c>
      <c r="F5" s="4">
        <v>71.8</v>
      </c>
      <c r="G5" s="4">
        <v>12.96</v>
      </c>
      <c r="H5" t="s">
        <v>276</v>
      </c>
      <c r="I5" s="4">
        <v>9.0500000000000007</v>
      </c>
      <c r="J5" s="4">
        <v>18.7</v>
      </c>
      <c r="L5" s="4">
        <f t="shared" si="0"/>
        <v>0.48395721925133695</v>
      </c>
      <c r="M5" s="4">
        <f t="shared" si="1"/>
        <v>1.742245989304813</v>
      </c>
      <c r="O5" s="4">
        <v>3.6</v>
      </c>
      <c r="P5" s="1">
        <v>12.96</v>
      </c>
    </row>
    <row r="6" spans="1:18">
      <c r="A6" s="1" t="s">
        <v>277</v>
      </c>
      <c r="B6" s="4">
        <v>12.8</v>
      </c>
      <c r="C6" s="1" t="s">
        <v>277</v>
      </c>
      <c r="D6" s="1" t="s">
        <v>278</v>
      </c>
      <c r="E6" s="4">
        <v>887</v>
      </c>
      <c r="F6" s="4">
        <v>103</v>
      </c>
      <c r="G6" s="4">
        <v>15.04</v>
      </c>
      <c r="H6" t="s">
        <v>278</v>
      </c>
      <c r="I6" s="4">
        <v>14.5</v>
      </c>
      <c r="J6" s="4">
        <v>18.399999999999999</v>
      </c>
      <c r="L6" s="4">
        <f t="shared" si="0"/>
        <v>0.78804347826086962</v>
      </c>
      <c r="M6" s="4">
        <f t="shared" si="1"/>
        <v>10.086956521739133</v>
      </c>
      <c r="O6" s="4">
        <v>12.8</v>
      </c>
      <c r="P6" s="1">
        <v>15.04</v>
      </c>
    </row>
    <row r="7" spans="1:18">
      <c r="A7" s="1" t="s">
        <v>279</v>
      </c>
      <c r="B7" s="4">
        <v>3.6</v>
      </c>
      <c r="C7" s="1" t="s">
        <v>279</v>
      </c>
      <c r="D7" s="1" t="s">
        <v>280</v>
      </c>
      <c r="E7" s="4">
        <v>860</v>
      </c>
      <c r="F7" s="4">
        <v>40</v>
      </c>
      <c r="G7" s="4">
        <v>5.92</v>
      </c>
      <c r="H7" t="s">
        <v>281</v>
      </c>
      <c r="I7" s="4">
        <v>8</v>
      </c>
      <c r="J7" s="4">
        <v>17.899999999999999</v>
      </c>
      <c r="L7" s="4">
        <f t="shared" si="0"/>
        <v>0.44692737430167601</v>
      </c>
      <c r="M7" s="4">
        <f t="shared" si="1"/>
        <v>1.6089385474860336</v>
      </c>
      <c r="O7" s="4">
        <v>3.6</v>
      </c>
      <c r="P7" s="1">
        <v>5.92</v>
      </c>
    </row>
    <row r="8" spans="1:18">
      <c r="A8" s="57" t="s">
        <v>282</v>
      </c>
      <c r="B8" s="4">
        <v>1.6</v>
      </c>
      <c r="C8" s="5" t="s">
        <v>283</v>
      </c>
      <c r="D8" s="1" t="s">
        <v>272</v>
      </c>
      <c r="E8" s="4">
        <v>222</v>
      </c>
      <c r="F8" s="4">
        <v>170</v>
      </c>
      <c r="G8" s="4">
        <v>24.8</v>
      </c>
      <c r="H8" t="s">
        <v>273</v>
      </c>
      <c r="I8" s="4">
        <v>8.61</v>
      </c>
      <c r="J8" s="4">
        <v>18.8</v>
      </c>
      <c r="L8" s="4">
        <f t="shared" si="0"/>
        <v>0.45797872340425527</v>
      </c>
      <c r="M8" s="4">
        <f t="shared" si="1"/>
        <v>0.7327659574468085</v>
      </c>
      <c r="O8" s="4">
        <v>1.6</v>
      </c>
      <c r="P8" s="1">
        <v>24.8</v>
      </c>
    </row>
    <row r="9" spans="1:18">
      <c r="A9" s="58" t="s">
        <v>284</v>
      </c>
      <c r="B9" s="4">
        <v>0.3</v>
      </c>
      <c r="C9" s="1" t="s">
        <v>284</v>
      </c>
      <c r="D9" s="1" t="s">
        <v>268</v>
      </c>
      <c r="E9" s="4">
        <v>250</v>
      </c>
      <c r="F9" s="4">
        <v>184</v>
      </c>
      <c r="G9" s="4">
        <v>29.12</v>
      </c>
      <c r="H9" t="s">
        <v>285</v>
      </c>
      <c r="I9" s="4">
        <v>9.33</v>
      </c>
      <c r="J9" s="4">
        <v>18.2</v>
      </c>
      <c r="L9" s="4">
        <f t="shared" si="0"/>
        <v>0.5126373626373627</v>
      </c>
      <c r="M9" s="4">
        <f t="shared" si="1"/>
        <v>0.15379120879120881</v>
      </c>
      <c r="O9" s="4">
        <v>0.3</v>
      </c>
      <c r="P9" s="1">
        <v>29.12</v>
      </c>
    </row>
    <row r="10" spans="1:18">
      <c r="A10" s="6" t="s">
        <v>286</v>
      </c>
      <c r="B10" s="4">
        <v>1.2</v>
      </c>
      <c r="C10" s="1" t="s">
        <v>287</v>
      </c>
      <c r="D10" s="6" t="s">
        <v>272</v>
      </c>
      <c r="E10" s="4">
        <v>292</v>
      </c>
      <c r="F10" s="4">
        <v>194</v>
      </c>
      <c r="G10" s="4">
        <v>25.6</v>
      </c>
      <c r="H10" t="s">
        <v>288</v>
      </c>
      <c r="I10" s="4">
        <v>9.06</v>
      </c>
      <c r="J10" s="4">
        <v>19.2</v>
      </c>
      <c r="L10" s="4">
        <f t="shared" si="0"/>
        <v>0.47187500000000004</v>
      </c>
      <c r="M10" s="4">
        <f t="shared" si="1"/>
        <v>0.56625000000000003</v>
      </c>
      <c r="O10" s="4">
        <v>1.2</v>
      </c>
      <c r="P10" s="1">
        <v>25.6</v>
      </c>
    </row>
    <row r="11" spans="1:18">
      <c r="A11" s="1" t="s">
        <v>289</v>
      </c>
      <c r="B11" s="4">
        <v>2.4</v>
      </c>
      <c r="C11" s="1" t="s">
        <v>290</v>
      </c>
      <c r="D11" s="1" t="s">
        <v>272</v>
      </c>
      <c r="E11" s="4">
        <v>652</v>
      </c>
      <c r="F11" s="4">
        <v>49.6</v>
      </c>
      <c r="G11" s="4">
        <v>14.4</v>
      </c>
      <c r="H11" t="s">
        <v>269</v>
      </c>
      <c r="I11" s="4">
        <v>7.3</v>
      </c>
      <c r="J11" s="4">
        <v>18.3</v>
      </c>
      <c r="L11" s="4">
        <f t="shared" si="0"/>
        <v>0.39890710382513661</v>
      </c>
      <c r="M11" s="4">
        <f t="shared" si="1"/>
        <v>0.95737704918032784</v>
      </c>
      <c r="O11" s="4">
        <v>2.4</v>
      </c>
      <c r="P11" s="1">
        <v>14.4</v>
      </c>
    </row>
    <row r="12" spans="1:18">
      <c r="A12" s="1" t="s">
        <v>291</v>
      </c>
      <c r="B12" s="4">
        <v>3.6</v>
      </c>
      <c r="C12" s="1" t="s">
        <v>291</v>
      </c>
      <c r="D12" s="1" t="s">
        <v>292</v>
      </c>
      <c r="E12" s="4">
        <v>198</v>
      </c>
      <c r="F12" s="4">
        <v>71.3</v>
      </c>
      <c r="G12" s="4">
        <v>7.84</v>
      </c>
      <c r="H12" t="s">
        <v>293</v>
      </c>
      <c r="I12" s="4">
        <v>6.14</v>
      </c>
      <c r="J12" s="4">
        <v>18.2</v>
      </c>
      <c r="L12" s="4">
        <f t="shared" si="0"/>
        <v>0.33736263736263739</v>
      </c>
      <c r="M12" s="4">
        <f t="shared" si="1"/>
        <v>1.2145054945054947</v>
      </c>
      <c r="O12" s="4">
        <v>3.6</v>
      </c>
      <c r="P12" s="1">
        <v>7.84</v>
      </c>
    </row>
    <row r="13" spans="1:18">
      <c r="A13" s="1" t="s">
        <v>294</v>
      </c>
      <c r="B13" s="4">
        <v>0.8</v>
      </c>
      <c r="C13" s="1" t="s">
        <v>295</v>
      </c>
      <c r="D13" s="1" t="s">
        <v>296</v>
      </c>
      <c r="E13" s="4">
        <v>362</v>
      </c>
      <c r="F13" s="4">
        <v>189</v>
      </c>
      <c r="G13" s="4">
        <v>31.36</v>
      </c>
      <c r="H13" t="s">
        <v>285</v>
      </c>
      <c r="I13" s="4">
        <v>8.6999999999999993</v>
      </c>
      <c r="J13" s="4">
        <v>19.2</v>
      </c>
      <c r="L13" s="4">
        <f t="shared" si="0"/>
        <v>0.453125</v>
      </c>
      <c r="M13" s="4">
        <f t="shared" si="1"/>
        <v>0.36250000000000004</v>
      </c>
      <c r="O13" s="4">
        <v>0.8</v>
      </c>
      <c r="P13" s="1">
        <v>31.36</v>
      </c>
    </row>
    <row r="14" spans="1:18">
      <c r="A14" s="1" t="s">
        <v>297</v>
      </c>
      <c r="B14" s="4">
        <v>2.6</v>
      </c>
      <c r="C14" s="1" t="s">
        <v>297</v>
      </c>
      <c r="D14" s="1" t="s">
        <v>298</v>
      </c>
      <c r="E14" s="4">
        <v>217</v>
      </c>
      <c r="F14" s="4">
        <v>65.3</v>
      </c>
      <c r="G14" s="4">
        <v>23.36</v>
      </c>
      <c r="H14" t="s">
        <v>273</v>
      </c>
      <c r="I14" s="4">
        <v>6.7</v>
      </c>
      <c r="J14" s="4">
        <v>17.399999999999999</v>
      </c>
      <c r="L14" s="4">
        <f t="shared" si="0"/>
        <v>0.38505747126436785</v>
      </c>
      <c r="M14" s="4">
        <f t="shared" si="1"/>
        <v>1.0011494252873565</v>
      </c>
      <c r="O14" s="4">
        <v>2.6</v>
      </c>
      <c r="P14" s="1">
        <v>23.36</v>
      </c>
    </row>
    <row r="15" spans="1:18">
      <c r="A15" s="1" t="s">
        <v>299</v>
      </c>
      <c r="B15" s="4">
        <v>0.6</v>
      </c>
      <c r="C15" s="1" t="s">
        <v>299</v>
      </c>
      <c r="D15" s="1" t="s">
        <v>300</v>
      </c>
      <c r="E15" s="4">
        <v>910</v>
      </c>
      <c r="F15" s="4">
        <v>395</v>
      </c>
      <c r="G15" s="4">
        <v>59.84</v>
      </c>
      <c r="H15" t="s">
        <v>301</v>
      </c>
      <c r="I15" s="4">
        <v>11.8</v>
      </c>
      <c r="J15" s="4">
        <v>20</v>
      </c>
      <c r="L15" s="4">
        <f t="shared" si="0"/>
        <v>0.59000000000000008</v>
      </c>
      <c r="M15" s="4">
        <f t="shared" si="1"/>
        <v>0.35400000000000004</v>
      </c>
      <c r="O15" s="4">
        <v>0.6</v>
      </c>
      <c r="P15" s="1">
        <v>59.84</v>
      </c>
    </row>
    <row r="16" spans="1:18">
      <c r="A16" s="1" t="s">
        <v>302</v>
      </c>
      <c r="B16" s="4">
        <v>0.4</v>
      </c>
      <c r="C16" s="1" t="s">
        <v>302</v>
      </c>
      <c r="E16" s="4">
        <v>914</v>
      </c>
      <c r="F16" s="4">
        <v>298</v>
      </c>
      <c r="G16" s="4">
        <v>82.88</v>
      </c>
      <c r="H16" t="s">
        <v>301</v>
      </c>
      <c r="I16" s="4">
        <v>16.3</v>
      </c>
      <c r="J16" s="4">
        <v>19.7</v>
      </c>
      <c r="L16" s="4">
        <f t="shared" si="0"/>
        <v>0.82741116751269039</v>
      </c>
      <c r="M16" s="4">
        <f t="shared" si="1"/>
        <v>0.3309644670050762</v>
      </c>
      <c r="O16" s="4">
        <v>0.4</v>
      </c>
      <c r="P16" s="1">
        <v>82.88</v>
      </c>
    </row>
    <row r="17" spans="1:17">
      <c r="A17" s="1" t="s">
        <v>303</v>
      </c>
      <c r="B17" s="4">
        <v>0.8</v>
      </c>
      <c r="C17" s="1" t="s">
        <v>303</v>
      </c>
      <c r="F17" s="4">
        <v>395</v>
      </c>
      <c r="G17" s="4">
        <v>59.68</v>
      </c>
      <c r="H17" t="s">
        <v>301</v>
      </c>
      <c r="I17" s="4">
        <v>13.1</v>
      </c>
      <c r="J17" s="4">
        <v>21</v>
      </c>
      <c r="L17" s="4">
        <f>I17/J17</f>
        <v>0.62380952380952381</v>
      </c>
      <c r="M17" s="4">
        <f t="shared" si="1"/>
        <v>0.49904761904761907</v>
      </c>
      <c r="O17" s="4">
        <v>0.8</v>
      </c>
      <c r="P17" s="1">
        <v>59.68</v>
      </c>
    </row>
    <row r="18" spans="1:17">
      <c r="B18" s="7">
        <f>SUM(B3:B17)</f>
        <v>99.499999999999972</v>
      </c>
      <c r="M18" s="60">
        <f>SUM(M3:M17)</f>
        <v>57.62708484123111</v>
      </c>
    </row>
    <row r="19" spans="1:17">
      <c r="C19" s="1" t="s">
        <v>304</v>
      </c>
      <c r="J19"/>
      <c r="K19"/>
      <c r="L19"/>
      <c r="M19"/>
    </row>
    <row r="20" spans="1:17">
      <c r="F20" s="61" t="s">
        <v>305</v>
      </c>
      <c r="G20" s="61" t="s">
        <v>306</v>
      </c>
      <c r="H20" s="61"/>
      <c r="I20" s="62">
        <f>M18</f>
        <v>57.62708484123111</v>
      </c>
      <c r="J20"/>
      <c r="K20"/>
      <c r="L20"/>
      <c r="M20"/>
    </row>
    <row r="21" spans="1:17">
      <c r="A21" s="1" t="s">
        <v>307</v>
      </c>
      <c r="G21" s="61" t="s">
        <v>308</v>
      </c>
      <c r="H21" s="61"/>
      <c r="I21" s="62">
        <f>Q3</f>
        <v>18.562559999999998</v>
      </c>
      <c r="J21"/>
      <c r="K21"/>
      <c r="L21"/>
      <c r="M21"/>
    </row>
    <row r="22" spans="1:17">
      <c r="A22" s="1" t="s">
        <v>309</v>
      </c>
      <c r="G22" s="61" t="s">
        <v>310</v>
      </c>
      <c r="H22" s="61"/>
      <c r="I22" s="62">
        <f>K3</f>
        <v>18.180699999999998</v>
      </c>
      <c r="J22"/>
      <c r="K22"/>
      <c r="L22"/>
      <c r="M22"/>
    </row>
    <row r="23" spans="1:17">
      <c r="A23" s="1" t="s">
        <v>311</v>
      </c>
    </row>
    <row r="24" spans="1:17" ht="46.9">
      <c r="A24" s="1" t="s">
        <v>312</v>
      </c>
      <c r="K24" s="38" t="s">
        <v>254</v>
      </c>
      <c r="L24" s="38" t="s">
        <v>260</v>
      </c>
      <c r="M24" s="38" t="s">
        <v>313</v>
      </c>
      <c r="N24" s="38" t="s">
        <v>258</v>
      </c>
      <c r="O24" s="61" t="s">
        <v>310</v>
      </c>
      <c r="P24" s="61" t="s">
        <v>306</v>
      </c>
      <c r="Q24" s="61" t="s">
        <v>308</v>
      </c>
    </row>
    <row r="25" spans="1:17">
      <c r="A25" s="1" t="s">
        <v>314</v>
      </c>
      <c r="J25" s="4" t="s">
        <v>266</v>
      </c>
      <c r="K25" s="4">
        <v>37.5</v>
      </c>
      <c r="L25" s="4">
        <f>J3</f>
        <v>17.8</v>
      </c>
      <c r="M25" s="4">
        <f>ROUND(L3*100,2)</f>
        <v>56.74</v>
      </c>
      <c r="N25" s="119">
        <f>G3</f>
        <v>15.52</v>
      </c>
      <c r="O25" s="70">
        <f>SUMPRODUCT($L25:$L39,K25:K39)/100</f>
        <v>18.180699999999998</v>
      </c>
      <c r="P25" s="117">
        <f>SUMPRODUCT($M25:$M39,K25:K39)/100</f>
        <v>57.626849999999983</v>
      </c>
      <c r="Q25" s="118">
        <f>SUMPRODUCT($N25:$N39,K25:K39)/100</f>
        <v>18.562559999999998</v>
      </c>
    </row>
    <row r="26" spans="1:17">
      <c r="J26" s="4" t="s">
        <v>270</v>
      </c>
      <c r="K26" s="4">
        <v>27.7</v>
      </c>
      <c r="L26" s="4">
        <f t="shared" ref="L26:L39" si="2">J4</f>
        <v>18.7</v>
      </c>
      <c r="M26" s="4">
        <f t="shared" ref="M26:M39" si="3">ROUND(L4*100,2)</f>
        <v>60.43</v>
      </c>
      <c r="N26" s="1">
        <f t="shared" ref="N26:N39" si="4">G4</f>
        <v>24.16</v>
      </c>
    </row>
    <row r="27" spans="1:17">
      <c r="J27" s="4" t="s">
        <v>274</v>
      </c>
      <c r="K27" s="4">
        <v>3.6</v>
      </c>
      <c r="L27" s="4">
        <f t="shared" si="2"/>
        <v>18.7</v>
      </c>
      <c r="M27" s="4">
        <f t="shared" si="3"/>
        <v>48.4</v>
      </c>
      <c r="N27" s="1">
        <f t="shared" si="4"/>
        <v>12.96</v>
      </c>
    </row>
    <row r="28" spans="1:17">
      <c r="J28" s="4" t="s">
        <v>277</v>
      </c>
      <c r="K28" s="4">
        <v>12.8</v>
      </c>
      <c r="L28" s="4">
        <f t="shared" si="2"/>
        <v>18.399999999999999</v>
      </c>
      <c r="M28" s="4">
        <f t="shared" si="3"/>
        <v>78.8</v>
      </c>
      <c r="N28" s="1">
        <f t="shared" si="4"/>
        <v>15.04</v>
      </c>
    </row>
    <row r="29" spans="1:17">
      <c r="J29" s="4" t="s">
        <v>279</v>
      </c>
      <c r="K29" s="4">
        <v>3.6</v>
      </c>
      <c r="L29" s="4">
        <f t="shared" si="2"/>
        <v>17.899999999999999</v>
      </c>
      <c r="M29" s="4">
        <f t="shared" si="3"/>
        <v>44.69</v>
      </c>
      <c r="N29" s="1">
        <f t="shared" si="4"/>
        <v>5.92</v>
      </c>
    </row>
    <row r="30" spans="1:17">
      <c r="J30" s="4" t="s">
        <v>315</v>
      </c>
      <c r="K30" s="4">
        <v>1.6</v>
      </c>
      <c r="L30" s="4">
        <f t="shared" si="2"/>
        <v>18.8</v>
      </c>
      <c r="M30" s="4">
        <f t="shared" si="3"/>
        <v>45.8</v>
      </c>
      <c r="N30" s="1">
        <f t="shared" si="4"/>
        <v>24.8</v>
      </c>
    </row>
    <row r="31" spans="1:17">
      <c r="J31" s="4" t="s">
        <v>284</v>
      </c>
      <c r="K31" s="4">
        <v>0.3</v>
      </c>
      <c r="L31" s="4">
        <f t="shared" si="2"/>
        <v>18.2</v>
      </c>
      <c r="M31" s="4">
        <f t="shared" si="3"/>
        <v>51.26</v>
      </c>
      <c r="N31" s="1">
        <f t="shared" si="4"/>
        <v>29.12</v>
      </c>
    </row>
    <row r="32" spans="1:17">
      <c r="J32" s="4" t="s">
        <v>316</v>
      </c>
      <c r="K32" s="4">
        <v>1.2</v>
      </c>
      <c r="L32" s="4">
        <f t="shared" si="2"/>
        <v>19.2</v>
      </c>
      <c r="M32" s="4">
        <f t="shared" si="3"/>
        <v>47.19</v>
      </c>
      <c r="N32" s="1">
        <f t="shared" si="4"/>
        <v>25.6</v>
      </c>
    </row>
    <row r="33" spans="10:14">
      <c r="J33" s="4" t="s">
        <v>289</v>
      </c>
      <c r="K33" s="4">
        <v>2.4</v>
      </c>
      <c r="L33" s="4">
        <f t="shared" si="2"/>
        <v>18.3</v>
      </c>
      <c r="M33" s="4">
        <f t="shared" si="3"/>
        <v>39.89</v>
      </c>
      <c r="N33" s="1">
        <f t="shared" si="4"/>
        <v>14.4</v>
      </c>
    </row>
    <row r="34" spans="10:14">
      <c r="J34" s="4" t="s">
        <v>291</v>
      </c>
      <c r="K34" s="4">
        <v>3.6</v>
      </c>
      <c r="L34" s="4">
        <f t="shared" si="2"/>
        <v>18.2</v>
      </c>
      <c r="M34" s="4">
        <f t="shared" si="3"/>
        <v>33.74</v>
      </c>
      <c r="N34" s="1">
        <f t="shared" si="4"/>
        <v>7.84</v>
      </c>
    </row>
    <row r="35" spans="10:14">
      <c r="J35" s="4" t="s">
        <v>317</v>
      </c>
      <c r="K35" s="4">
        <v>0.8</v>
      </c>
      <c r="L35" s="4">
        <f t="shared" si="2"/>
        <v>19.2</v>
      </c>
      <c r="M35" s="4">
        <f t="shared" si="3"/>
        <v>45.31</v>
      </c>
      <c r="N35" s="1">
        <f t="shared" si="4"/>
        <v>31.36</v>
      </c>
    </row>
    <row r="36" spans="10:14">
      <c r="J36" s="4" t="s">
        <v>297</v>
      </c>
      <c r="K36" s="4">
        <v>2.6</v>
      </c>
      <c r="L36" s="4">
        <f t="shared" si="2"/>
        <v>17.399999999999999</v>
      </c>
      <c r="M36" s="4">
        <f t="shared" si="3"/>
        <v>38.51</v>
      </c>
      <c r="N36" s="1">
        <f t="shared" si="4"/>
        <v>23.36</v>
      </c>
    </row>
    <row r="37" spans="10:14">
      <c r="J37" s="4" t="s">
        <v>299</v>
      </c>
      <c r="K37" s="4">
        <v>0.6</v>
      </c>
      <c r="L37" s="4">
        <f t="shared" si="2"/>
        <v>20</v>
      </c>
      <c r="M37" s="4">
        <f t="shared" si="3"/>
        <v>59</v>
      </c>
      <c r="N37" s="1">
        <f t="shared" si="4"/>
        <v>59.84</v>
      </c>
    </row>
    <row r="38" spans="10:14">
      <c r="J38" s="4" t="s">
        <v>302</v>
      </c>
      <c r="K38" s="4">
        <v>0.4</v>
      </c>
      <c r="L38" s="4">
        <f t="shared" si="2"/>
        <v>19.7</v>
      </c>
      <c r="M38" s="4">
        <f t="shared" si="3"/>
        <v>82.74</v>
      </c>
      <c r="N38" s="1">
        <f t="shared" si="4"/>
        <v>82.88</v>
      </c>
    </row>
    <row r="39" spans="10:14">
      <c r="J39" s="4" t="s">
        <v>303</v>
      </c>
      <c r="K39" s="4">
        <v>0.8</v>
      </c>
      <c r="L39" s="4">
        <f t="shared" si="2"/>
        <v>21</v>
      </c>
      <c r="M39" s="4">
        <f t="shared" si="3"/>
        <v>62.38</v>
      </c>
      <c r="N39" s="1">
        <f t="shared" si="4"/>
        <v>59.68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1"/>
  <sheetViews>
    <sheetView topLeftCell="B1" workbookViewId="0">
      <selection activeCell="H6" sqref="H6"/>
    </sheetView>
  </sheetViews>
  <sheetFormatPr defaultColWidth="9.140625" defaultRowHeight="15.6"/>
  <cols>
    <col min="1" max="1" width="39.28515625" style="1" customWidth="1"/>
    <col min="2" max="2" width="29.85546875" style="1" customWidth="1"/>
    <col min="3" max="3" width="25.85546875" style="1" bestFit="1" customWidth="1"/>
    <col min="4" max="4" width="20.7109375" style="1" bestFit="1" customWidth="1"/>
    <col min="5" max="5" width="15.5703125" style="4" customWidth="1"/>
    <col min="6" max="6" width="16.7109375" style="4" bestFit="1" customWidth="1"/>
    <col min="7" max="7" width="15.140625" style="4" customWidth="1"/>
    <col min="8" max="16" width="12" style="4" customWidth="1"/>
    <col min="17" max="17" width="16.5703125" style="4" customWidth="1"/>
    <col min="18" max="18" width="12" style="4" customWidth="1"/>
    <col min="19" max="16384" width="9.140625" style="1"/>
  </cols>
  <sheetData>
    <row r="1" spans="1:18"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6.9">
      <c r="A2" s="2" t="s">
        <v>253</v>
      </c>
      <c r="B2" s="38" t="s">
        <v>254</v>
      </c>
      <c r="C2" s="38" t="s">
        <v>253</v>
      </c>
      <c r="D2" s="38" t="s">
        <v>255</v>
      </c>
      <c r="E2" s="38" t="s">
        <v>256</v>
      </c>
      <c r="F2" s="38" t="s">
        <v>257</v>
      </c>
      <c r="G2" s="38" t="s">
        <v>258</v>
      </c>
      <c r="H2" s="38" t="s">
        <v>318</v>
      </c>
      <c r="I2" s="38" t="s">
        <v>319</v>
      </c>
      <c r="J2" s="38" t="s">
        <v>320</v>
      </c>
      <c r="K2" s="38" t="s">
        <v>321</v>
      </c>
      <c r="L2" s="38" t="s">
        <v>322</v>
      </c>
      <c r="M2" s="38" t="s">
        <v>323</v>
      </c>
      <c r="N2" s="38" t="s">
        <v>324</v>
      </c>
      <c r="O2" s="38" t="s">
        <v>325</v>
      </c>
      <c r="P2" s="38" t="s">
        <v>260</v>
      </c>
      <c r="Q2" s="38" t="s">
        <v>262</v>
      </c>
      <c r="R2" s="38"/>
    </row>
    <row r="3" spans="1:18">
      <c r="A3" s="1" t="s">
        <v>326</v>
      </c>
      <c r="B3" s="4">
        <v>100</v>
      </c>
      <c r="C3" s="1" t="s">
        <v>327</v>
      </c>
      <c r="D3" s="1" t="s">
        <v>268</v>
      </c>
      <c r="E3" s="4">
        <v>315</v>
      </c>
      <c r="F3" s="4">
        <v>150</v>
      </c>
      <c r="G3" s="60">
        <f>F3/6.25</f>
        <v>24</v>
      </c>
      <c r="I3" s="4">
        <v>43.7</v>
      </c>
      <c r="J3" s="4">
        <v>57.5</v>
      </c>
      <c r="K3" s="4">
        <f>G3*6.25*100/1000</f>
        <v>15</v>
      </c>
      <c r="L3" s="4">
        <v>7.9</v>
      </c>
      <c r="M3" s="4">
        <v>1.9</v>
      </c>
      <c r="N3" s="4">
        <f>2118+12.18*K3-9.37*I3-3.83*(J3-I3)+47.18*M3+20.35*(100-J3-L3-M3-K3)-26.3*L3</f>
        <v>2080.444</v>
      </c>
      <c r="O3" s="59">
        <f>N3*0.004184</f>
        <v>8.7045776959999994</v>
      </c>
      <c r="P3" s="4">
        <v>17.3</v>
      </c>
      <c r="Q3" s="60">
        <f>O3/P3</f>
        <v>0.50315478011560688</v>
      </c>
    </row>
    <row r="4" spans="1:18">
      <c r="B4" s="7">
        <f>SUM(B3:B3)</f>
        <v>100</v>
      </c>
    </row>
    <row r="5" spans="1:18">
      <c r="C5" s="1" t="s">
        <v>304</v>
      </c>
    </row>
    <row r="6" spans="1:18">
      <c r="F6" s="61" t="s">
        <v>305</v>
      </c>
      <c r="G6" s="61" t="s">
        <v>306</v>
      </c>
      <c r="H6" s="62">
        <f>Q3*100</f>
        <v>50.315478011560685</v>
      </c>
    </row>
    <row r="7" spans="1:18">
      <c r="A7" s="1" t="s">
        <v>307</v>
      </c>
      <c r="F7" s="61"/>
      <c r="G7" s="61" t="s">
        <v>308</v>
      </c>
      <c r="H7" s="62">
        <f>G3</f>
        <v>24</v>
      </c>
    </row>
    <row r="8" spans="1:18">
      <c r="A8" s="1" t="s">
        <v>309</v>
      </c>
      <c r="G8" s="61" t="s">
        <v>310</v>
      </c>
      <c r="H8" s="61">
        <f>P3</f>
        <v>17.3</v>
      </c>
    </row>
    <row r="9" spans="1:18">
      <c r="A9" s="1" t="s">
        <v>311</v>
      </c>
    </row>
    <row r="10" spans="1:18">
      <c r="A10" s="1" t="s">
        <v>312</v>
      </c>
    </row>
    <row r="11" spans="1:18">
      <c r="A11" s="1" t="s">
        <v>314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4"/>
  <sheetViews>
    <sheetView topLeftCell="A17" zoomScale="80" zoomScaleNormal="80" workbookViewId="0">
      <selection activeCell="A43" sqref="A43"/>
    </sheetView>
  </sheetViews>
  <sheetFormatPr defaultColWidth="9.140625" defaultRowHeight="15.6"/>
  <cols>
    <col min="1" max="1" width="54.140625" style="1" customWidth="1"/>
    <col min="2" max="2" width="22" style="1" bestFit="1" customWidth="1"/>
    <col min="3" max="3" width="23.28515625" style="1" bestFit="1" customWidth="1"/>
    <col min="4" max="4" width="16.42578125" style="1" bestFit="1" customWidth="1"/>
    <col min="5" max="5" width="11.85546875" style="4" bestFit="1" customWidth="1"/>
    <col min="6" max="6" width="16.7109375" style="4" bestFit="1" customWidth="1"/>
    <col min="7" max="7" width="13.140625" style="4" bestFit="1" customWidth="1"/>
    <col min="8" max="9" width="12" style="4" customWidth="1"/>
    <col min="10" max="11" width="12.5703125" style="4" bestFit="1" customWidth="1"/>
    <col min="12" max="12" width="8.85546875" style="1" bestFit="1" customWidth="1"/>
    <col min="13" max="17" width="13.5703125" style="1" customWidth="1"/>
    <col min="18" max="16384" width="9.140625" style="1"/>
  </cols>
  <sheetData>
    <row r="1" spans="1:11">
      <c r="A1" s="73" t="s">
        <v>328</v>
      </c>
    </row>
    <row r="2" spans="1:11" ht="16.899999999999999">
      <c r="A2" s="74" t="s">
        <v>329</v>
      </c>
      <c r="D2" s="2"/>
      <c r="E2" s="1"/>
      <c r="F2" s="1"/>
      <c r="G2" s="1"/>
      <c r="H2" s="1"/>
      <c r="I2" s="1"/>
      <c r="J2" s="1"/>
      <c r="K2" s="1"/>
    </row>
    <row r="3" spans="1:11" ht="46.9">
      <c r="A3" s="2" t="s">
        <v>253</v>
      </c>
      <c r="B3" s="38" t="s">
        <v>254</v>
      </c>
      <c r="C3" s="38" t="s">
        <v>253</v>
      </c>
      <c r="D3" s="38" t="s">
        <v>255</v>
      </c>
      <c r="E3" s="38" t="s">
        <v>256</v>
      </c>
      <c r="F3" s="38" t="s">
        <v>257</v>
      </c>
      <c r="G3" s="38" t="s">
        <v>258</v>
      </c>
      <c r="H3" s="38" t="s">
        <v>259</v>
      </c>
      <c r="I3" s="38" t="s">
        <v>260</v>
      </c>
      <c r="J3" s="38" t="s">
        <v>262</v>
      </c>
      <c r="K3" s="38" t="s">
        <v>263</v>
      </c>
    </row>
    <row r="4" spans="1:11">
      <c r="A4" s="1" t="s">
        <v>270</v>
      </c>
      <c r="B4" s="4">
        <v>80</v>
      </c>
      <c r="C4" s="1" t="s">
        <v>271</v>
      </c>
      <c r="D4" s="1" t="s">
        <v>272</v>
      </c>
      <c r="E4" s="4">
        <v>283</v>
      </c>
      <c r="F4" s="4">
        <v>105</v>
      </c>
      <c r="G4" s="70">
        <f>F4/6.25</f>
        <v>16.8</v>
      </c>
      <c r="H4" s="70">
        <v>11.3</v>
      </c>
      <c r="I4" s="70">
        <v>18.8</v>
      </c>
      <c r="J4" s="59">
        <f t="shared" ref="J4:J5" si="0">H4/I4</f>
        <v>0.60106382978723405</v>
      </c>
      <c r="K4" s="70">
        <f>J4*B4</f>
        <v>48.085106382978722</v>
      </c>
    </row>
    <row r="5" spans="1:11">
      <c r="A5" s="1" t="s">
        <v>330</v>
      </c>
      <c r="B5" s="4">
        <v>20</v>
      </c>
      <c r="C5" s="1" t="s">
        <v>331</v>
      </c>
      <c r="D5" s="1" t="s">
        <v>272</v>
      </c>
      <c r="E5" s="4">
        <v>168</v>
      </c>
      <c r="F5" s="4">
        <v>249</v>
      </c>
      <c r="G5" s="70">
        <f t="shared" ref="G5" si="1">F5/6.25</f>
        <v>39.840000000000003</v>
      </c>
      <c r="H5" s="70">
        <v>14.2</v>
      </c>
      <c r="I5" s="70">
        <v>18.3</v>
      </c>
      <c r="J5" s="59">
        <f t="shared" si="0"/>
        <v>0.77595628415300544</v>
      </c>
      <c r="K5" s="70">
        <f>J5*B5</f>
        <v>15.519125683060109</v>
      </c>
    </row>
    <row r="6" spans="1:11">
      <c r="B6" s="7">
        <f>SUM(B4:B5)</f>
        <v>100</v>
      </c>
      <c r="K6" s="69">
        <f>SUM(K4:K5)</f>
        <v>63.604232066038833</v>
      </c>
    </row>
    <row r="7" spans="1:11">
      <c r="C7" s="1" t="s">
        <v>304</v>
      </c>
    </row>
    <row r="8" spans="1:11">
      <c r="F8" s="61" t="s">
        <v>305</v>
      </c>
      <c r="G8" s="61" t="s">
        <v>306</v>
      </c>
      <c r="H8" s="62">
        <f>K6</f>
        <v>63.604232066038833</v>
      </c>
      <c r="I8" s="1"/>
      <c r="J8" s="1"/>
      <c r="K8" s="1"/>
    </row>
    <row r="9" spans="1:11">
      <c r="A9" s="1" t="s">
        <v>307</v>
      </c>
      <c r="G9" s="61" t="s">
        <v>308</v>
      </c>
      <c r="H9" s="62">
        <f>SUMPRODUCT($G4:$G5,K4:K5)/100</f>
        <v>14.261117544471572</v>
      </c>
      <c r="I9" s="1"/>
      <c r="J9" s="1"/>
      <c r="K9" s="1"/>
    </row>
    <row r="10" spans="1:11">
      <c r="A10" s="1" t="s">
        <v>309</v>
      </c>
      <c r="G10" s="61" t="s">
        <v>310</v>
      </c>
      <c r="H10" s="61">
        <f>SUMPRODUCT($I4:$I5,B4:B5)/100</f>
        <v>18.7</v>
      </c>
    </row>
    <row r="11" spans="1:11">
      <c r="A11" s="1" t="s">
        <v>311</v>
      </c>
    </row>
    <row r="12" spans="1:11">
      <c r="A12" s="1" t="s">
        <v>312</v>
      </c>
    </row>
    <row r="13" spans="1:11">
      <c r="A13" s="1" t="s">
        <v>314</v>
      </c>
    </row>
    <row r="14" spans="1:11">
      <c r="A14" s="1" t="s">
        <v>332</v>
      </c>
    </row>
    <row r="17" spans="1:11">
      <c r="A17" s="73" t="s">
        <v>328</v>
      </c>
    </row>
    <row r="18" spans="1:11" ht="16.899999999999999">
      <c r="A18" s="74" t="s">
        <v>333</v>
      </c>
    </row>
    <row r="19" spans="1:11" ht="46.9">
      <c r="A19" s="2" t="s">
        <v>253</v>
      </c>
      <c r="B19" s="38" t="s">
        <v>254</v>
      </c>
      <c r="C19" s="38" t="s">
        <v>253</v>
      </c>
      <c r="D19" s="38" t="s">
        <v>255</v>
      </c>
      <c r="E19" s="38" t="s">
        <v>256</v>
      </c>
      <c r="F19" s="38" t="s">
        <v>257</v>
      </c>
      <c r="G19" s="38" t="s">
        <v>258</v>
      </c>
      <c r="H19" s="38" t="s">
        <v>334</v>
      </c>
      <c r="I19" s="38" t="s">
        <v>335</v>
      </c>
      <c r="J19" s="38" t="s">
        <v>262</v>
      </c>
      <c r="K19" s="38" t="s">
        <v>263</v>
      </c>
    </row>
    <row r="20" spans="1:11">
      <c r="A20" s="1" t="s">
        <v>270</v>
      </c>
      <c r="B20" s="4">
        <v>60</v>
      </c>
      <c r="C20" s="1" t="s">
        <v>271</v>
      </c>
      <c r="D20" s="1" t="s">
        <v>272</v>
      </c>
      <c r="E20" s="4">
        <v>283</v>
      </c>
      <c r="F20" s="4">
        <v>105</v>
      </c>
      <c r="G20" s="70">
        <f>F20/6.25</f>
        <v>16.8</v>
      </c>
      <c r="H20" s="70">
        <v>11.3</v>
      </c>
      <c r="I20" s="70">
        <v>18.8</v>
      </c>
      <c r="J20" s="59">
        <f t="shared" ref="J20:J22" si="2">H20/I20</f>
        <v>0.60106382978723405</v>
      </c>
      <c r="K20" s="70">
        <f>J20*B20</f>
        <v>36.063829787234042</v>
      </c>
    </row>
    <row r="21" spans="1:11">
      <c r="A21" s="1" t="s">
        <v>336</v>
      </c>
      <c r="B21" s="4">
        <v>30</v>
      </c>
      <c r="C21" s="1" t="s">
        <v>290</v>
      </c>
      <c r="D21" s="1" t="s">
        <v>272</v>
      </c>
      <c r="E21" s="4">
        <v>249</v>
      </c>
      <c r="F21" s="4">
        <v>140</v>
      </c>
      <c r="G21" s="70">
        <f t="shared" ref="G21:G22" si="3">F21/6.25</f>
        <v>22.4</v>
      </c>
      <c r="H21" s="70">
        <v>10.8</v>
      </c>
      <c r="I21" s="70">
        <v>18.3</v>
      </c>
      <c r="J21" s="59">
        <f t="shared" si="2"/>
        <v>0.5901639344262295</v>
      </c>
      <c r="K21" s="70">
        <f t="shared" ref="K21:K22" si="4">J21*B21</f>
        <v>17.704918032786885</v>
      </c>
    </row>
    <row r="22" spans="1:11">
      <c r="A22" s="1" t="s">
        <v>337</v>
      </c>
      <c r="B22" s="4">
        <v>10</v>
      </c>
      <c r="C22" s="1" t="s">
        <v>297</v>
      </c>
      <c r="D22" s="1" t="s">
        <v>298</v>
      </c>
      <c r="E22" s="4">
        <v>238</v>
      </c>
      <c r="F22" s="4">
        <v>150</v>
      </c>
      <c r="G22" s="70">
        <f t="shared" si="3"/>
        <v>24</v>
      </c>
      <c r="H22" s="70">
        <v>9.8000000000000007</v>
      </c>
      <c r="I22" s="70">
        <v>18.8</v>
      </c>
      <c r="J22" s="59">
        <f t="shared" si="2"/>
        <v>0.52127659574468088</v>
      </c>
      <c r="K22" s="70">
        <f t="shared" si="4"/>
        <v>5.212765957446809</v>
      </c>
    </row>
    <row r="23" spans="1:11">
      <c r="B23" s="7">
        <f>SUM(B20:B22)</f>
        <v>100</v>
      </c>
      <c r="G23" s="70"/>
      <c r="H23" s="70"/>
      <c r="I23" s="70"/>
      <c r="J23" s="70"/>
      <c r="K23" s="71">
        <f>SUM(K20:K22)</f>
        <v>58.98151377746774</v>
      </c>
    </row>
    <row r="24" spans="1:11">
      <c r="C24" s="1" t="s">
        <v>304</v>
      </c>
    </row>
    <row r="25" spans="1:11">
      <c r="F25" s="61" t="s">
        <v>305</v>
      </c>
      <c r="G25" s="61" t="s">
        <v>306</v>
      </c>
      <c r="H25" s="72">
        <f>K23</f>
        <v>58.98151377746774</v>
      </c>
    </row>
    <row r="26" spans="1:11">
      <c r="A26" s="1" t="s">
        <v>307</v>
      </c>
      <c r="F26" s="7"/>
      <c r="G26" s="61" t="s">
        <v>308</v>
      </c>
      <c r="H26" s="72">
        <f>SUMPRODUCT($G20:$G22,K20:K22)/100</f>
        <v>11.275688873386814</v>
      </c>
    </row>
    <row r="27" spans="1:11">
      <c r="A27" s="1" t="s">
        <v>309</v>
      </c>
      <c r="G27" s="61" t="s">
        <v>310</v>
      </c>
      <c r="H27" s="61">
        <f>SUMPRODUCT($I20:$I22,B20:B22)/100</f>
        <v>18.649999999999999</v>
      </c>
    </row>
    <row r="28" spans="1:11">
      <c r="A28" s="1" t="s">
        <v>311</v>
      </c>
    </row>
    <row r="29" spans="1:11">
      <c r="A29" s="1" t="s">
        <v>312</v>
      </c>
    </row>
    <row r="30" spans="1:11">
      <c r="A30" s="1" t="s">
        <v>314</v>
      </c>
    </row>
    <row r="31" spans="1:11">
      <c r="A31" s="1" t="s">
        <v>332</v>
      </c>
    </row>
    <row r="34" spans="1:18" ht="16.899999999999999">
      <c r="A34" s="74" t="s">
        <v>338</v>
      </c>
    </row>
    <row r="35" spans="1:18" ht="50.25" customHeight="1">
      <c r="A35" s="2" t="s">
        <v>253</v>
      </c>
      <c r="B35" s="38" t="s">
        <v>254</v>
      </c>
      <c r="C35" s="38" t="s">
        <v>253</v>
      </c>
      <c r="D35" s="38" t="s">
        <v>255</v>
      </c>
      <c r="E35" s="38" t="s">
        <v>256</v>
      </c>
      <c r="F35" s="38" t="s">
        <v>257</v>
      </c>
      <c r="G35" s="38" t="s">
        <v>258</v>
      </c>
      <c r="H35" s="38" t="s">
        <v>318</v>
      </c>
      <c r="I35" s="38" t="s">
        <v>319</v>
      </c>
      <c r="J35" s="38" t="s">
        <v>320</v>
      </c>
      <c r="K35" s="38" t="s">
        <v>321</v>
      </c>
      <c r="L35" s="38" t="s">
        <v>322</v>
      </c>
      <c r="M35" s="38" t="s">
        <v>323</v>
      </c>
      <c r="N35" s="38" t="s">
        <v>324</v>
      </c>
      <c r="O35" s="38" t="s">
        <v>325</v>
      </c>
      <c r="P35" s="38" t="s">
        <v>260</v>
      </c>
      <c r="Q35" s="38" t="s">
        <v>262</v>
      </c>
      <c r="R35" s="38"/>
    </row>
    <row r="36" spans="1:18">
      <c r="A36" s="1" t="s">
        <v>326</v>
      </c>
      <c r="B36" s="4">
        <v>100</v>
      </c>
      <c r="C36" s="1" t="s">
        <v>327</v>
      </c>
      <c r="D36" s="1" t="s">
        <v>268</v>
      </c>
      <c r="E36" s="4">
        <v>315</v>
      </c>
      <c r="F36" s="4">
        <v>150</v>
      </c>
      <c r="G36" s="60">
        <f>F36/6.25</f>
        <v>24</v>
      </c>
      <c r="I36" s="4">
        <v>43.7</v>
      </c>
      <c r="J36" s="4">
        <v>57.5</v>
      </c>
      <c r="K36" s="4">
        <f>G36*6.25*100/1000</f>
        <v>15</v>
      </c>
      <c r="L36" s="4">
        <v>7.9</v>
      </c>
      <c r="M36" s="4">
        <v>1.9</v>
      </c>
      <c r="N36" s="4">
        <f>2118+12.18*K36-9.37*I36-3.83*(J36-I36)+47.18*M36+20.35*(100-J36-L36-M36-K36)-26.3*L36</f>
        <v>2080.444</v>
      </c>
      <c r="O36" s="59">
        <f>N36*0.004184</f>
        <v>8.7045776959999994</v>
      </c>
      <c r="P36" s="4">
        <v>17.3</v>
      </c>
      <c r="Q36" s="60">
        <f>O36/P36</f>
        <v>0.50315478011560688</v>
      </c>
      <c r="R36" s="4"/>
    </row>
    <row r="37" spans="1:18">
      <c r="B37" s="7">
        <f>SUM(B36:B36)</f>
        <v>100</v>
      </c>
      <c r="L37" s="4"/>
      <c r="M37" s="4"/>
      <c r="N37" s="4"/>
      <c r="O37" s="4"/>
      <c r="P37" s="4"/>
      <c r="Q37" s="4"/>
      <c r="R37" s="4"/>
    </row>
    <row r="38" spans="1:18">
      <c r="C38" s="1" t="s">
        <v>304</v>
      </c>
      <c r="L38" s="4"/>
      <c r="M38" s="4"/>
      <c r="N38" s="4"/>
      <c r="O38" s="4"/>
      <c r="P38" s="4"/>
      <c r="Q38" s="4"/>
      <c r="R38" s="4"/>
    </row>
    <row r="39" spans="1:18">
      <c r="F39" s="61" t="s">
        <v>305</v>
      </c>
      <c r="G39" s="61" t="s">
        <v>306</v>
      </c>
      <c r="H39" s="62">
        <f>Q36*100</f>
        <v>50.315478011560685</v>
      </c>
      <c r="L39" s="4"/>
      <c r="M39" s="4"/>
      <c r="N39" s="4"/>
      <c r="O39" s="4"/>
      <c r="P39" s="4"/>
      <c r="Q39" s="4"/>
      <c r="R39" s="4"/>
    </row>
    <row r="40" spans="1:18">
      <c r="A40" s="1" t="s">
        <v>307</v>
      </c>
      <c r="F40" s="61"/>
      <c r="G40" s="61" t="s">
        <v>308</v>
      </c>
      <c r="H40" s="62">
        <f>G36</f>
        <v>24</v>
      </c>
      <c r="L40" s="4"/>
      <c r="M40" s="4"/>
      <c r="N40" s="4"/>
      <c r="O40" s="4"/>
      <c r="P40" s="4"/>
      <c r="Q40" s="4"/>
      <c r="R40" s="4"/>
    </row>
    <row r="41" spans="1:18">
      <c r="A41" s="1" t="s">
        <v>309</v>
      </c>
      <c r="G41" s="61" t="s">
        <v>310</v>
      </c>
      <c r="H41" s="62">
        <v>17.3</v>
      </c>
      <c r="L41" s="4"/>
      <c r="M41" s="4"/>
      <c r="N41" s="4"/>
      <c r="O41" s="4"/>
      <c r="P41" s="4"/>
      <c r="Q41" s="4"/>
      <c r="R41" s="4"/>
    </row>
    <row r="42" spans="1:18">
      <c r="A42" s="1" t="s">
        <v>311</v>
      </c>
      <c r="L42" s="4"/>
      <c r="M42" s="4"/>
      <c r="N42" s="4"/>
      <c r="O42" s="4"/>
      <c r="P42" s="4"/>
      <c r="Q42" s="4"/>
      <c r="R42" s="4"/>
    </row>
    <row r="43" spans="1:18">
      <c r="A43" s="1" t="s">
        <v>312</v>
      </c>
      <c r="L43" s="4"/>
      <c r="M43" s="4"/>
      <c r="N43" s="4"/>
      <c r="O43" s="4"/>
      <c r="P43" s="4"/>
      <c r="Q43" s="4"/>
      <c r="R43" s="4"/>
    </row>
    <row r="44" spans="1:18">
      <c r="A44" s="1" t="s">
        <v>314</v>
      </c>
      <c r="L44" s="4"/>
      <c r="M44" s="4"/>
      <c r="N44" s="4"/>
      <c r="O44" s="4"/>
      <c r="P44" s="4"/>
      <c r="Q44" s="4"/>
      <c r="R44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S19"/>
  <sheetViews>
    <sheetView workbookViewId="0">
      <selection activeCell="D4" sqref="D4"/>
    </sheetView>
  </sheetViews>
  <sheetFormatPr defaultColWidth="28.140625" defaultRowHeight="15.6"/>
  <cols>
    <col min="1" max="1" width="57.140625" style="48" bestFit="1" customWidth="1"/>
    <col min="2" max="2" width="8.42578125" style="48" customWidth="1"/>
    <col min="3" max="3" width="9.28515625" style="48" customWidth="1"/>
    <col min="4" max="4" width="9.85546875" style="48" customWidth="1"/>
    <col min="5" max="6" width="11" style="48" customWidth="1"/>
    <col min="7" max="7" width="15.7109375" style="48" customWidth="1"/>
    <col min="8" max="9" width="10.42578125" style="48" customWidth="1"/>
    <col min="10" max="10" width="11.5703125" style="48" customWidth="1"/>
    <col min="11" max="16384" width="28.140625" style="48"/>
  </cols>
  <sheetData>
    <row r="1" spans="1:253" s="45" customFormat="1" ht="31.5" customHeight="1">
      <c r="A1" s="56" t="s">
        <v>339</v>
      </c>
      <c r="B1" s="56"/>
      <c r="C1" s="56"/>
      <c r="D1" s="56"/>
      <c r="E1" s="56"/>
      <c r="F1" s="56"/>
      <c r="G1" s="56"/>
      <c r="H1" s="47"/>
      <c r="I1" s="47"/>
      <c r="J1" s="47"/>
      <c r="K1" s="47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43"/>
      <c r="HV1" s="43"/>
      <c r="HW1" s="43"/>
      <c r="HX1" s="43"/>
      <c r="HY1" s="43"/>
      <c r="HZ1" s="43"/>
      <c r="IA1" s="43"/>
      <c r="IB1" s="43"/>
      <c r="IC1" s="43"/>
      <c r="ID1" s="43"/>
      <c r="IE1" s="43"/>
      <c r="IF1" s="43"/>
      <c r="IG1" s="43"/>
      <c r="IH1" s="43"/>
      <c r="II1" s="43"/>
      <c r="IJ1" s="43"/>
      <c r="IK1" s="43"/>
      <c r="IL1" s="43"/>
      <c r="IM1" s="43"/>
      <c r="IN1" s="43"/>
      <c r="IO1" s="43"/>
      <c r="IP1" s="43"/>
      <c r="IQ1" s="43"/>
      <c r="IR1" s="43"/>
      <c r="IS1" s="43"/>
    </row>
    <row r="2" spans="1:253" s="47" customFormat="1" ht="114" customHeight="1">
      <c r="A2" s="46" t="s">
        <v>340</v>
      </c>
      <c r="B2" s="65" t="s">
        <v>341</v>
      </c>
      <c r="C2" s="65" t="s">
        <v>342</v>
      </c>
      <c r="D2" s="65" t="s">
        <v>343</v>
      </c>
      <c r="E2" s="65" t="s">
        <v>344</v>
      </c>
      <c r="F2" s="65" t="s">
        <v>345</v>
      </c>
      <c r="G2" s="65" t="s">
        <v>346</v>
      </c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  <c r="HU2" s="44"/>
      <c r="HV2" s="44"/>
      <c r="HW2" s="44"/>
      <c r="HX2" s="44"/>
      <c r="HY2" s="44"/>
      <c r="HZ2" s="44"/>
      <c r="IA2" s="44"/>
      <c r="IB2" s="44"/>
      <c r="IC2" s="44"/>
      <c r="ID2" s="44"/>
      <c r="IE2" s="44"/>
      <c r="IF2" s="44"/>
      <c r="IG2" s="44"/>
      <c r="IH2" s="44"/>
      <c r="II2" s="44"/>
      <c r="IJ2" s="44"/>
      <c r="IK2" s="44"/>
      <c r="IL2" s="44"/>
      <c r="IM2" s="44"/>
      <c r="IN2" s="44"/>
    </row>
    <row r="3" spans="1:253" s="45" customFormat="1" ht="18.75" customHeight="1">
      <c r="A3" s="64" t="s">
        <v>30</v>
      </c>
      <c r="B3" s="66">
        <v>20</v>
      </c>
      <c r="C3" s="66">
        <v>50</v>
      </c>
      <c r="D3" s="66">
        <v>27</v>
      </c>
      <c r="E3" s="66"/>
      <c r="F3" s="66">
        <v>3</v>
      </c>
      <c r="G3" s="67">
        <f>SUM(B3:F3)</f>
        <v>100</v>
      </c>
      <c r="H3" s="43"/>
      <c r="I3" s="43"/>
      <c r="J3" s="43"/>
      <c r="K3" s="63"/>
      <c r="L3" s="63"/>
      <c r="M3" s="63"/>
      <c r="N3" s="6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  <c r="HU3" s="43"/>
      <c r="HV3" s="43"/>
      <c r="HW3" s="43"/>
      <c r="HX3" s="43"/>
      <c r="HY3" s="43"/>
      <c r="HZ3" s="43"/>
      <c r="IA3" s="43"/>
      <c r="IB3" s="43"/>
      <c r="IC3" s="43"/>
      <c r="ID3" s="43"/>
      <c r="IE3" s="43"/>
      <c r="IF3" s="43"/>
      <c r="IG3" s="43"/>
      <c r="IH3" s="43"/>
      <c r="II3" s="43"/>
      <c r="IJ3" s="43"/>
      <c r="IK3" s="43"/>
      <c r="IL3" s="43"/>
      <c r="IM3" s="43"/>
      <c r="IN3" s="43"/>
    </row>
    <row r="4" spans="1:253">
      <c r="A4" s="64" t="s">
        <v>347</v>
      </c>
      <c r="B4" s="66">
        <v>0</v>
      </c>
      <c r="C4" s="66">
        <v>0</v>
      </c>
      <c r="D4" s="68">
        <v>100</v>
      </c>
      <c r="E4" s="68"/>
      <c r="F4" s="68"/>
      <c r="G4" s="67">
        <f t="shared" ref="G4:G5" si="0">SUM(B4:F4)</f>
        <v>100</v>
      </c>
    </row>
    <row r="5" spans="1:253" ht="16.899999999999999">
      <c r="A5" s="64" t="s">
        <v>29</v>
      </c>
      <c r="B5" s="66">
        <v>0</v>
      </c>
      <c r="C5" s="66">
        <v>30</v>
      </c>
      <c r="D5" s="66">
        <v>50</v>
      </c>
      <c r="E5" s="66">
        <v>20</v>
      </c>
      <c r="F5" s="66"/>
      <c r="G5" s="67">
        <f t="shared" si="0"/>
        <v>100</v>
      </c>
      <c r="H5" s="55"/>
    </row>
    <row r="6" spans="1:253">
      <c r="A6" s="54"/>
    </row>
    <row r="7" spans="1:253">
      <c r="A7" s="54"/>
    </row>
    <row r="8" spans="1:253" s="53" customFormat="1" ht="17.25" customHeight="1">
      <c r="A8" s="50" t="s">
        <v>348</v>
      </c>
      <c r="B8" s="51" t="s">
        <v>349</v>
      </c>
      <c r="C8" s="50" t="s">
        <v>350</v>
      </c>
      <c r="D8" s="49"/>
      <c r="E8" s="49"/>
      <c r="F8" s="49"/>
      <c r="G8" s="49"/>
      <c r="H8" s="49"/>
      <c r="I8" s="49"/>
      <c r="J8" s="49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52"/>
      <c r="FB8" s="52"/>
      <c r="FC8" s="52"/>
      <c r="FD8" s="52"/>
      <c r="FE8" s="52"/>
      <c r="FF8" s="52"/>
      <c r="FG8" s="52"/>
      <c r="FH8" s="52"/>
      <c r="FI8" s="52"/>
      <c r="FJ8" s="52"/>
      <c r="FK8" s="52"/>
      <c r="FL8" s="52"/>
      <c r="FM8" s="52"/>
      <c r="FN8" s="52"/>
      <c r="FO8" s="52"/>
      <c r="FP8" s="52"/>
      <c r="FQ8" s="52"/>
      <c r="FR8" s="52"/>
      <c r="FS8" s="52"/>
      <c r="FT8" s="52"/>
      <c r="FU8" s="52"/>
      <c r="FV8" s="52"/>
      <c r="FW8" s="52"/>
      <c r="FX8" s="52"/>
      <c r="FY8" s="52"/>
      <c r="FZ8" s="52"/>
      <c r="GA8" s="52"/>
      <c r="GB8" s="52"/>
      <c r="GC8" s="52"/>
      <c r="GD8" s="52"/>
      <c r="GE8" s="52"/>
      <c r="GF8" s="52"/>
      <c r="GG8" s="52"/>
      <c r="GH8" s="52"/>
      <c r="GI8" s="52"/>
      <c r="GJ8" s="52"/>
      <c r="GK8" s="52"/>
      <c r="GL8" s="52"/>
      <c r="GM8" s="52"/>
      <c r="GN8" s="52"/>
      <c r="GO8" s="52"/>
      <c r="GP8" s="52"/>
      <c r="GQ8" s="52"/>
      <c r="GR8" s="52"/>
      <c r="GS8" s="52"/>
      <c r="GT8" s="52"/>
      <c r="GU8" s="52"/>
      <c r="GV8" s="52"/>
      <c r="GW8" s="52"/>
      <c r="GX8" s="52"/>
      <c r="GY8" s="52"/>
      <c r="GZ8" s="52"/>
      <c r="HA8" s="52"/>
      <c r="HB8" s="52"/>
      <c r="HC8" s="52"/>
      <c r="HD8" s="52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52"/>
      <c r="IA8" s="52"/>
      <c r="IB8" s="52"/>
      <c r="IC8" s="52"/>
      <c r="ID8" s="52"/>
      <c r="IE8" s="52"/>
      <c r="IF8" s="52"/>
      <c r="IG8" s="52"/>
      <c r="IH8" s="52"/>
      <c r="II8" s="52"/>
      <c r="IJ8" s="52"/>
      <c r="IK8" s="52"/>
      <c r="IL8" s="52"/>
      <c r="IM8" s="52"/>
      <c r="IN8" s="52"/>
      <c r="IO8" s="52"/>
      <c r="IP8" s="52"/>
      <c r="IQ8" s="52"/>
      <c r="IR8" s="52"/>
    </row>
    <row r="9" spans="1:253" s="53" customFormat="1" ht="17.25" customHeight="1">
      <c r="A9" s="50" t="s">
        <v>351</v>
      </c>
      <c r="B9" s="51" t="s">
        <v>349</v>
      </c>
      <c r="C9" s="50" t="s">
        <v>352</v>
      </c>
      <c r="D9" s="49"/>
      <c r="E9" s="49"/>
      <c r="F9" s="49"/>
      <c r="G9" s="49"/>
      <c r="H9" s="49"/>
      <c r="I9" s="49"/>
      <c r="J9" s="49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  <c r="FH9" s="52"/>
      <c r="FI9" s="52"/>
      <c r="FJ9" s="52"/>
      <c r="FK9" s="52"/>
      <c r="FL9" s="52"/>
      <c r="FM9" s="52"/>
      <c r="FN9" s="52"/>
      <c r="FO9" s="52"/>
      <c r="FP9" s="52"/>
      <c r="FQ9" s="52"/>
      <c r="FR9" s="52"/>
      <c r="FS9" s="52"/>
      <c r="FT9" s="52"/>
      <c r="FU9" s="52"/>
      <c r="FV9" s="52"/>
      <c r="FW9" s="52"/>
      <c r="FX9" s="52"/>
      <c r="FY9" s="52"/>
      <c r="FZ9" s="52"/>
      <c r="GA9" s="52"/>
      <c r="GB9" s="52"/>
      <c r="GC9" s="52"/>
      <c r="GD9" s="52"/>
      <c r="GE9" s="52"/>
      <c r="GF9" s="52"/>
      <c r="GG9" s="52"/>
      <c r="GH9" s="52"/>
      <c r="GI9" s="52"/>
      <c r="GJ9" s="52"/>
      <c r="GK9" s="52"/>
      <c r="GL9" s="52"/>
      <c r="GM9" s="52"/>
      <c r="GN9" s="52"/>
      <c r="GO9" s="52"/>
      <c r="GP9" s="52"/>
      <c r="GQ9" s="52"/>
      <c r="GR9" s="52"/>
      <c r="GS9" s="52"/>
      <c r="GT9" s="52"/>
      <c r="GU9" s="52"/>
      <c r="GV9" s="52"/>
      <c r="GW9" s="52"/>
      <c r="GX9" s="52"/>
      <c r="GY9" s="52"/>
      <c r="GZ9" s="52"/>
      <c r="HA9" s="52"/>
      <c r="HB9" s="52"/>
      <c r="HC9" s="52"/>
      <c r="HD9" s="52"/>
      <c r="HE9" s="52"/>
      <c r="HF9" s="52"/>
      <c r="HG9" s="52"/>
      <c r="HH9" s="52"/>
      <c r="HI9" s="52"/>
      <c r="HJ9" s="52"/>
      <c r="HK9" s="52"/>
      <c r="HL9" s="52"/>
      <c r="HM9" s="52"/>
      <c r="HN9" s="52"/>
      <c r="HO9" s="52"/>
      <c r="HP9" s="52"/>
      <c r="HQ9" s="52"/>
      <c r="HR9" s="52"/>
      <c r="HS9" s="52"/>
      <c r="HT9" s="52"/>
      <c r="HU9" s="52"/>
      <c r="HV9" s="52"/>
      <c r="HW9" s="52"/>
      <c r="HX9" s="52"/>
      <c r="HY9" s="52"/>
      <c r="HZ9" s="52"/>
      <c r="IA9" s="52"/>
      <c r="IB9" s="52"/>
      <c r="IC9" s="52"/>
      <c r="ID9" s="52"/>
      <c r="IE9" s="52"/>
      <c r="IF9" s="52"/>
      <c r="IG9" s="52"/>
      <c r="IH9" s="52"/>
      <c r="II9" s="52"/>
      <c r="IJ9" s="52"/>
      <c r="IK9" s="52"/>
      <c r="IL9" s="52"/>
      <c r="IM9" s="52"/>
      <c r="IN9" s="52"/>
      <c r="IO9" s="52"/>
      <c r="IP9" s="52"/>
      <c r="IQ9" s="52"/>
      <c r="IR9" s="52"/>
    </row>
    <row r="10" spans="1:253" s="53" customFormat="1" ht="17.25" customHeight="1">
      <c r="A10" s="50" t="s">
        <v>353</v>
      </c>
      <c r="B10" s="51" t="s">
        <v>349</v>
      </c>
      <c r="C10" s="50" t="s">
        <v>354</v>
      </c>
      <c r="D10" s="49"/>
      <c r="E10" s="49"/>
      <c r="F10" s="49"/>
      <c r="G10" s="49"/>
      <c r="H10" s="49"/>
      <c r="I10" s="49"/>
      <c r="J10" s="49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</row>
    <row r="11" spans="1:253" s="53" customFormat="1" ht="17.25" customHeight="1">
      <c r="A11" s="50" t="s">
        <v>355</v>
      </c>
      <c r="B11" s="51" t="s">
        <v>349</v>
      </c>
      <c r="C11" s="50" t="s">
        <v>356</v>
      </c>
      <c r="D11" s="49"/>
      <c r="E11" s="49"/>
      <c r="F11" s="49"/>
      <c r="G11" s="49"/>
      <c r="H11" s="49"/>
      <c r="I11" s="49"/>
      <c r="J11" s="49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2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2"/>
      <c r="ER11" s="52"/>
      <c r="ES11" s="52"/>
      <c r="ET11" s="52"/>
      <c r="EU11" s="52"/>
      <c r="EV11" s="52"/>
      <c r="EW11" s="52"/>
      <c r="EX11" s="52"/>
      <c r="EY11" s="52"/>
      <c r="EZ11" s="52"/>
      <c r="FA11" s="52"/>
      <c r="FB11" s="52"/>
      <c r="FC11" s="52"/>
      <c r="FD11" s="52"/>
      <c r="FE11" s="52"/>
      <c r="FF11" s="52"/>
      <c r="FG11" s="52"/>
      <c r="FH11" s="52"/>
      <c r="FI11" s="52"/>
      <c r="FJ11" s="52"/>
      <c r="FK11" s="52"/>
      <c r="FL11" s="52"/>
      <c r="FM11" s="52"/>
      <c r="FN11" s="52"/>
      <c r="FO11" s="52"/>
      <c r="FP11" s="52"/>
      <c r="FQ11" s="52"/>
      <c r="FR11" s="52"/>
      <c r="FS11" s="52"/>
      <c r="FT11" s="52"/>
      <c r="FU11" s="52"/>
      <c r="FV11" s="52"/>
      <c r="FW11" s="52"/>
      <c r="FX11" s="52"/>
      <c r="FY11" s="52"/>
      <c r="FZ11" s="52"/>
      <c r="GA11" s="52"/>
      <c r="GB11" s="52"/>
      <c r="GC11" s="52"/>
      <c r="GD11" s="52"/>
      <c r="GE11" s="52"/>
      <c r="GF11" s="52"/>
      <c r="GG11" s="52"/>
      <c r="GH11" s="52"/>
      <c r="GI11" s="52"/>
      <c r="GJ11" s="52"/>
      <c r="GK11" s="52"/>
      <c r="GL11" s="52"/>
      <c r="GM11" s="52"/>
      <c r="GN11" s="52"/>
      <c r="GO11" s="52"/>
      <c r="GP11" s="52"/>
      <c r="GQ11" s="52"/>
      <c r="GR11" s="52"/>
      <c r="GS11" s="52"/>
      <c r="GT11" s="52"/>
      <c r="GU11" s="52"/>
      <c r="GV11" s="52"/>
      <c r="GW11" s="52"/>
      <c r="GX11" s="52"/>
      <c r="GY11" s="52"/>
      <c r="GZ11" s="52"/>
      <c r="HA11" s="52"/>
      <c r="HB11" s="52"/>
      <c r="HC11" s="52"/>
      <c r="HD11" s="52"/>
      <c r="HE11" s="52"/>
      <c r="HF11" s="52"/>
      <c r="HG11" s="52"/>
      <c r="HH11" s="52"/>
      <c r="HI11" s="52"/>
      <c r="HJ11" s="52"/>
      <c r="HK11" s="52"/>
      <c r="HL11" s="52"/>
      <c r="HM11" s="52"/>
      <c r="HN11" s="52"/>
      <c r="HO11" s="52"/>
      <c r="HP11" s="52"/>
      <c r="HQ11" s="52"/>
      <c r="HR11" s="52"/>
      <c r="HS11" s="52"/>
      <c r="HT11" s="52"/>
      <c r="HU11" s="52"/>
      <c r="HV11" s="52"/>
      <c r="HW11" s="52"/>
      <c r="HX11" s="52"/>
      <c r="HY11" s="52"/>
      <c r="HZ11" s="52"/>
      <c r="IA11" s="52"/>
      <c r="IB11" s="52"/>
      <c r="IC11" s="52"/>
      <c r="ID11" s="52"/>
      <c r="IE11" s="52"/>
      <c r="IF11" s="52"/>
      <c r="IG11" s="52"/>
      <c r="IH11" s="52"/>
      <c r="II11" s="52"/>
      <c r="IJ11" s="52"/>
      <c r="IK11" s="52"/>
      <c r="IL11" s="52"/>
      <c r="IM11" s="52"/>
      <c r="IN11" s="52"/>
      <c r="IO11" s="52"/>
      <c r="IP11" s="52"/>
      <c r="IQ11" s="52"/>
      <c r="IR11" s="52"/>
    </row>
    <row r="12" spans="1:253" s="53" customFormat="1" ht="17.25" customHeight="1">
      <c r="A12" s="50" t="s">
        <v>357</v>
      </c>
      <c r="B12" s="51" t="s">
        <v>349</v>
      </c>
      <c r="C12" s="50" t="s">
        <v>358</v>
      </c>
      <c r="D12" s="49"/>
      <c r="E12" s="49"/>
      <c r="F12" s="49"/>
      <c r="G12" s="49"/>
      <c r="H12" s="49"/>
      <c r="I12" s="49"/>
      <c r="J12" s="49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  <c r="EB12" s="52"/>
      <c r="EC12" s="52"/>
      <c r="ED12" s="52"/>
      <c r="EE12" s="52"/>
      <c r="EF12" s="52"/>
      <c r="EG12" s="52"/>
      <c r="EH12" s="52"/>
      <c r="EI12" s="52"/>
      <c r="EJ12" s="52"/>
      <c r="EK12" s="52"/>
      <c r="EL12" s="52"/>
      <c r="EM12" s="52"/>
      <c r="EN12" s="52"/>
      <c r="EO12" s="52"/>
      <c r="EP12" s="52"/>
      <c r="EQ12" s="52"/>
      <c r="ER12" s="52"/>
      <c r="ES12" s="52"/>
      <c r="ET12" s="52"/>
      <c r="EU12" s="52"/>
      <c r="EV12" s="52"/>
      <c r="EW12" s="52"/>
      <c r="EX12" s="52"/>
      <c r="EY12" s="52"/>
      <c r="EZ12" s="52"/>
      <c r="FA12" s="52"/>
      <c r="FB12" s="52"/>
      <c r="FC12" s="52"/>
      <c r="FD12" s="52"/>
      <c r="FE12" s="52"/>
      <c r="FF12" s="52"/>
      <c r="FG12" s="52"/>
      <c r="FH12" s="52"/>
      <c r="FI12" s="52"/>
      <c r="FJ12" s="52"/>
      <c r="FK12" s="52"/>
      <c r="FL12" s="52"/>
      <c r="FM12" s="52"/>
      <c r="FN12" s="52"/>
      <c r="FO12" s="52"/>
      <c r="FP12" s="52"/>
      <c r="FQ12" s="52"/>
      <c r="FR12" s="52"/>
      <c r="FS12" s="52"/>
      <c r="FT12" s="52"/>
      <c r="FU12" s="52"/>
      <c r="FV12" s="52"/>
      <c r="FW12" s="52"/>
      <c r="FX12" s="52"/>
      <c r="FY12" s="52"/>
      <c r="FZ12" s="52"/>
      <c r="GA12" s="52"/>
      <c r="GB12" s="52"/>
      <c r="GC12" s="52"/>
      <c r="GD12" s="52"/>
      <c r="GE12" s="52"/>
      <c r="GF12" s="52"/>
      <c r="GG12" s="52"/>
      <c r="GH12" s="52"/>
      <c r="GI12" s="52"/>
      <c r="GJ12" s="52"/>
      <c r="GK12" s="52"/>
      <c r="GL12" s="52"/>
      <c r="GM12" s="52"/>
      <c r="GN12" s="52"/>
      <c r="GO12" s="52"/>
      <c r="GP12" s="52"/>
      <c r="GQ12" s="52"/>
      <c r="GR12" s="52"/>
      <c r="GS12" s="52"/>
      <c r="GT12" s="52"/>
      <c r="GU12" s="52"/>
      <c r="GV12" s="52"/>
      <c r="GW12" s="52"/>
      <c r="GX12" s="52"/>
      <c r="GY12" s="52"/>
      <c r="GZ12" s="52"/>
      <c r="HA12" s="52"/>
      <c r="HB12" s="52"/>
      <c r="HC12" s="52"/>
      <c r="HD12" s="52"/>
      <c r="HE12" s="52"/>
      <c r="HF12" s="52"/>
      <c r="HG12" s="52"/>
      <c r="HH12" s="52"/>
      <c r="HI12" s="52"/>
      <c r="HJ12" s="52"/>
      <c r="HK12" s="52"/>
      <c r="HL12" s="52"/>
      <c r="HM12" s="52"/>
      <c r="HN12" s="52"/>
      <c r="HO12" s="52"/>
      <c r="HP12" s="52"/>
      <c r="HQ12" s="52"/>
      <c r="HR12" s="52"/>
      <c r="HS12" s="52"/>
      <c r="HT12" s="52"/>
      <c r="HU12" s="52"/>
      <c r="HV12" s="52"/>
      <c r="HW12" s="52"/>
      <c r="HX12" s="52"/>
      <c r="HY12" s="52"/>
      <c r="HZ12" s="52"/>
      <c r="IA12" s="52"/>
      <c r="IB12" s="52"/>
      <c r="IC12" s="52"/>
      <c r="ID12" s="52"/>
      <c r="IE12" s="52"/>
      <c r="IF12" s="52"/>
      <c r="IG12" s="52"/>
      <c r="IH12" s="52"/>
      <c r="II12" s="52"/>
      <c r="IJ12" s="52"/>
      <c r="IK12" s="52"/>
      <c r="IL12" s="52"/>
      <c r="IM12" s="52"/>
      <c r="IN12" s="52"/>
      <c r="IO12" s="52"/>
      <c r="IP12" s="52"/>
      <c r="IQ12" s="52"/>
      <c r="IR12" s="52"/>
    </row>
    <row r="13" spans="1:253" s="53" customFormat="1" ht="17.25" customHeight="1">
      <c r="A13" s="50" t="s">
        <v>359</v>
      </c>
      <c r="B13" s="51" t="s">
        <v>349</v>
      </c>
      <c r="C13" s="50" t="s">
        <v>360</v>
      </c>
      <c r="D13" s="49"/>
      <c r="E13" s="49"/>
      <c r="F13" s="49"/>
      <c r="G13" s="49"/>
      <c r="H13" s="49"/>
      <c r="I13" s="49"/>
      <c r="J13" s="49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52"/>
      <c r="EZ13" s="52"/>
      <c r="FA13" s="52"/>
      <c r="FB13" s="52"/>
      <c r="FC13" s="52"/>
      <c r="FD13" s="52"/>
      <c r="FE13" s="52"/>
      <c r="FF13" s="52"/>
      <c r="FG13" s="52"/>
      <c r="FH13" s="52"/>
      <c r="FI13" s="52"/>
      <c r="FJ13" s="52"/>
      <c r="FK13" s="52"/>
      <c r="FL13" s="52"/>
      <c r="FM13" s="52"/>
      <c r="FN13" s="52"/>
      <c r="FO13" s="52"/>
      <c r="FP13" s="52"/>
      <c r="FQ13" s="52"/>
      <c r="FR13" s="52"/>
      <c r="FS13" s="52"/>
      <c r="FT13" s="52"/>
      <c r="FU13" s="52"/>
      <c r="FV13" s="52"/>
      <c r="FW13" s="52"/>
      <c r="FX13" s="52"/>
      <c r="FY13" s="52"/>
      <c r="FZ13" s="52"/>
      <c r="GA13" s="52"/>
      <c r="GB13" s="52"/>
      <c r="GC13" s="52"/>
      <c r="GD13" s="52"/>
      <c r="GE13" s="52"/>
      <c r="GF13" s="52"/>
      <c r="GG13" s="52"/>
      <c r="GH13" s="52"/>
      <c r="GI13" s="52"/>
      <c r="GJ13" s="52"/>
      <c r="GK13" s="52"/>
      <c r="GL13" s="52"/>
      <c r="GM13" s="52"/>
      <c r="GN13" s="52"/>
      <c r="GO13" s="52"/>
      <c r="GP13" s="52"/>
      <c r="GQ13" s="52"/>
      <c r="GR13" s="52"/>
      <c r="GS13" s="52"/>
      <c r="GT13" s="52"/>
      <c r="GU13" s="52"/>
      <c r="GV13" s="52"/>
      <c r="GW13" s="52"/>
      <c r="GX13" s="52"/>
      <c r="GY13" s="52"/>
      <c r="GZ13" s="52"/>
      <c r="HA13" s="52"/>
      <c r="HB13" s="52"/>
      <c r="HC13" s="52"/>
      <c r="HD13" s="52"/>
      <c r="HE13" s="52"/>
      <c r="HF13" s="52"/>
      <c r="HG13" s="52"/>
      <c r="HH13" s="52"/>
      <c r="HI13" s="52"/>
      <c r="HJ13" s="52"/>
      <c r="HK13" s="52"/>
      <c r="HL13" s="52"/>
      <c r="HM13" s="52"/>
      <c r="HN13" s="52"/>
      <c r="HO13" s="52"/>
      <c r="HP13" s="52"/>
      <c r="HQ13" s="52"/>
      <c r="HR13" s="52"/>
      <c r="HS13" s="52"/>
      <c r="HT13" s="52"/>
      <c r="HU13" s="52"/>
      <c r="HV13" s="52"/>
      <c r="HW13" s="52"/>
      <c r="HX13" s="52"/>
      <c r="HY13" s="52"/>
      <c r="HZ13" s="52"/>
      <c r="IA13" s="52"/>
      <c r="IB13" s="52"/>
      <c r="IC13" s="52"/>
      <c r="ID13" s="52"/>
      <c r="IE13" s="52"/>
      <c r="IF13" s="52"/>
      <c r="IG13" s="52"/>
      <c r="IH13" s="52"/>
      <c r="II13" s="52"/>
      <c r="IJ13" s="52"/>
      <c r="IK13" s="52"/>
      <c r="IL13" s="52"/>
      <c r="IM13" s="52"/>
      <c r="IN13" s="52"/>
      <c r="IO13" s="52"/>
      <c r="IP13" s="52"/>
      <c r="IQ13" s="52"/>
      <c r="IR13" s="52"/>
    </row>
    <row r="14" spans="1:253" s="53" customFormat="1" ht="17.25" customHeight="1">
      <c r="A14" s="50" t="s">
        <v>361</v>
      </c>
      <c r="B14" s="51" t="s">
        <v>349</v>
      </c>
      <c r="C14" s="50" t="s">
        <v>362</v>
      </c>
      <c r="D14" s="49"/>
      <c r="E14" s="49"/>
      <c r="F14" s="49"/>
      <c r="G14" s="49"/>
      <c r="H14" s="49"/>
      <c r="I14" s="49"/>
      <c r="J14" s="49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  <c r="FL14" s="52"/>
      <c r="FM14" s="52"/>
      <c r="FN14" s="52"/>
      <c r="FO14" s="52"/>
      <c r="FP14" s="52"/>
      <c r="FQ14" s="52"/>
      <c r="FR14" s="52"/>
      <c r="FS14" s="52"/>
      <c r="FT14" s="52"/>
      <c r="FU14" s="52"/>
      <c r="FV14" s="52"/>
      <c r="FW14" s="52"/>
      <c r="FX14" s="52"/>
      <c r="FY14" s="52"/>
      <c r="FZ14" s="52"/>
      <c r="GA14" s="52"/>
      <c r="GB14" s="52"/>
      <c r="GC14" s="52"/>
      <c r="GD14" s="52"/>
      <c r="GE14" s="52"/>
      <c r="GF14" s="52"/>
      <c r="GG14" s="52"/>
      <c r="GH14" s="52"/>
      <c r="GI14" s="52"/>
      <c r="GJ14" s="52"/>
      <c r="GK14" s="52"/>
      <c r="GL14" s="52"/>
      <c r="GM14" s="52"/>
      <c r="GN14" s="52"/>
      <c r="GO14" s="52"/>
      <c r="GP14" s="52"/>
      <c r="GQ14" s="52"/>
      <c r="GR14" s="52"/>
      <c r="GS14" s="52"/>
      <c r="GT14" s="52"/>
      <c r="GU14" s="52"/>
      <c r="GV14" s="52"/>
      <c r="GW14" s="52"/>
      <c r="GX14" s="52"/>
      <c r="GY14" s="52"/>
      <c r="GZ14" s="52"/>
      <c r="HA14" s="52"/>
      <c r="HB14" s="52"/>
      <c r="HC14" s="52"/>
      <c r="HD14" s="52"/>
      <c r="HE14" s="52"/>
      <c r="HF14" s="52"/>
      <c r="HG14" s="52"/>
      <c r="HH14" s="52"/>
      <c r="HI14" s="52"/>
      <c r="HJ14" s="52"/>
      <c r="HK14" s="52"/>
      <c r="HL14" s="52"/>
      <c r="HM14" s="52"/>
      <c r="HN14" s="52"/>
      <c r="HO14" s="52"/>
      <c r="HP14" s="52"/>
      <c r="HQ14" s="52"/>
      <c r="HR14" s="52"/>
      <c r="HS14" s="52"/>
      <c r="HT14" s="52"/>
      <c r="HU14" s="52"/>
      <c r="HV14" s="52"/>
      <c r="HW14" s="52"/>
      <c r="HX14" s="52"/>
      <c r="HY14" s="52"/>
      <c r="HZ14" s="52"/>
      <c r="IA14" s="52"/>
      <c r="IB14" s="52"/>
      <c r="IC14" s="52"/>
      <c r="ID14" s="52"/>
      <c r="IE14" s="52"/>
      <c r="IF14" s="52"/>
      <c r="IG14" s="52"/>
      <c r="IH14" s="52"/>
      <c r="II14" s="52"/>
      <c r="IJ14" s="52"/>
      <c r="IK14" s="52"/>
      <c r="IL14" s="52"/>
      <c r="IM14" s="52"/>
      <c r="IN14" s="52"/>
      <c r="IO14" s="52"/>
      <c r="IP14" s="52"/>
      <c r="IQ14" s="52"/>
      <c r="IR14" s="52"/>
    </row>
    <row r="15" spans="1:253" s="53" customFormat="1" ht="17.25" customHeight="1">
      <c r="A15" s="50" t="s">
        <v>363</v>
      </c>
      <c r="B15" s="51" t="s">
        <v>349</v>
      </c>
      <c r="C15" s="50" t="s">
        <v>364</v>
      </c>
      <c r="D15" s="49"/>
      <c r="E15" s="49"/>
      <c r="F15" s="49"/>
      <c r="G15" s="49"/>
      <c r="H15" s="49"/>
      <c r="I15" s="49"/>
      <c r="J15" s="49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  <c r="HN15" s="52"/>
      <c r="HO15" s="52"/>
      <c r="HP15" s="52"/>
      <c r="HQ15" s="52"/>
      <c r="HR15" s="52"/>
      <c r="HS15" s="52"/>
      <c r="HT15" s="52"/>
      <c r="HU15" s="52"/>
      <c r="HV15" s="52"/>
      <c r="HW15" s="52"/>
      <c r="HX15" s="52"/>
      <c r="HY15" s="52"/>
      <c r="HZ15" s="52"/>
      <c r="IA15" s="52"/>
      <c r="IB15" s="52"/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</row>
    <row r="16" spans="1:253" s="53" customFormat="1" ht="17.25" customHeight="1">
      <c r="A16" s="50" t="s">
        <v>365</v>
      </c>
      <c r="B16" s="51" t="s">
        <v>349</v>
      </c>
      <c r="C16" s="50" t="s">
        <v>366</v>
      </c>
      <c r="D16" s="49"/>
      <c r="E16" s="49"/>
      <c r="F16" s="49"/>
      <c r="G16" s="49"/>
      <c r="H16" s="49"/>
      <c r="I16" s="49"/>
      <c r="J16" s="49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  <c r="HN16" s="52"/>
      <c r="HO16" s="52"/>
      <c r="HP16" s="52"/>
      <c r="HQ16" s="52"/>
      <c r="HR16" s="52"/>
      <c r="HS16" s="52"/>
      <c r="HT16" s="52"/>
      <c r="HU16" s="52"/>
      <c r="HV16" s="52"/>
      <c r="HW16" s="52"/>
      <c r="HX16" s="52"/>
      <c r="HY16" s="52"/>
      <c r="HZ16" s="52"/>
      <c r="IA16" s="52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</row>
    <row r="17" spans="1:253" s="53" customFormat="1" ht="17.25" customHeight="1">
      <c r="A17" s="50" t="s">
        <v>367</v>
      </c>
      <c r="B17" s="51" t="s">
        <v>349</v>
      </c>
      <c r="C17" s="50" t="s">
        <v>368</v>
      </c>
      <c r="D17" s="49"/>
      <c r="E17" s="49"/>
      <c r="F17" s="49"/>
      <c r="G17" s="49"/>
      <c r="H17" s="49"/>
      <c r="I17" s="49"/>
      <c r="J17" s="49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  <c r="HN17" s="52"/>
      <c r="HO17" s="52"/>
      <c r="HP17" s="52"/>
      <c r="HQ17" s="52"/>
      <c r="HR17" s="52"/>
      <c r="HS17" s="52"/>
      <c r="HT17" s="52"/>
      <c r="HU17" s="52"/>
      <c r="HV17" s="52"/>
      <c r="HW17" s="52"/>
      <c r="HX17" s="52"/>
      <c r="HY17" s="52"/>
      <c r="HZ17" s="52"/>
      <c r="IA17" s="52"/>
      <c r="IB17" s="52"/>
      <c r="IC17" s="52"/>
      <c r="ID17" s="52"/>
      <c r="IE17" s="52"/>
      <c r="IF17" s="52"/>
      <c r="IG17" s="52"/>
      <c r="IH17" s="52"/>
      <c r="II17" s="52"/>
      <c r="IJ17" s="52"/>
      <c r="IK17" s="52"/>
      <c r="IL17" s="52"/>
      <c r="IM17" s="52"/>
      <c r="IN17" s="52"/>
      <c r="IO17" s="52"/>
      <c r="IP17" s="52"/>
      <c r="IQ17" s="52"/>
      <c r="IR17" s="52"/>
    </row>
    <row r="18" spans="1:253" s="53" customFormat="1" ht="17.25" customHeight="1">
      <c r="A18" s="50" t="s">
        <v>369</v>
      </c>
      <c r="B18" s="51" t="s">
        <v>349</v>
      </c>
      <c r="C18" s="50" t="s">
        <v>370</v>
      </c>
      <c r="D18" s="49"/>
      <c r="E18" s="49"/>
      <c r="F18" s="49"/>
      <c r="G18" s="49"/>
      <c r="H18" s="49"/>
      <c r="I18" s="49"/>
      <c r="J18" s="49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  <c r="HN18" s="52"/>
      <c r="HO18" s="52"/>
      <c r="HP18" s="52"/>
      <c r="HQ18" s="52"/>
      <c r="HR18" s="52"/>
      <c r="HS18" s="52"/>
      <c r="HT18" s="52"/>
      <c r="HU18" s="52"/>
      <c r="HV18" s="52"/>
      <c r="HW18" s="52"/>
      <c r="HX18" s="52"/>
      <c r="HY18" s="52"/>
      <c r="HZ18" s="52"/>
      <c r="IA18" s="52"/>
      <c r="IB18" s="52"/>
      <c r="IC18" s="52"/>
      <c r="ID18" s="52"/>
      <c r="IE18" s="52"/>
      <c r="IF18" s="52"/>
      <c r="IG18" s="52"/>
      <c r="IH18" s="52"/>
      <c r="II18" s="52"/>
      <c r="IJ18" s="52"/>
      <c r="IK18" s="52"/>
      <c r="IL18" s="52"/>
      <c r="IM18" s="52"/>
      <c r="IN18" s="52"/>
      <c r="IO18" s="52"/>
      <c r="IP18" s="52"/>
      <c r="IQ18" s="52"/>
      <c r="IR18" s="52"/>
    </row>
    <row r="19" spans="1:253" s="53" customFormat="1" ht="15.6" customHeight="1">
      <c r="A19" s="50" t="s">
        <v>371</v>
      </c>
      <c r="B19" s="51" t="s">
        <v>349</v>
      </c>
      <c r="C19" s="50" t="s">
        <v>372</v>
      </c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  <c r="HN19" s="52"/>
      <c r="HO19" s="52"/>
      <c r="HP19" s="52"/>
      <c r="HQ19" s="52"/>
      <c r="HR19" s="52"/>
      <c r="HS19" s="52"/>
      <c r="HT19" s="52"/>
      <c r="HU19" s="52"/>
      <c r="HV19" s="52"/>
      <c r="HW19" s="52"/>
      <c r="HX19" s="52"/>
      <c r="HY19" s="52"/>
      <c r="HZ19" s="52"/>
      <c r="IA19" s="52"/>
      <c r="IB19" s="52"/>
      <c r="IC19" s="52"/>
      <c r="ID19" s="52"/>
      <c r="IE19" s="52"/>
      <c r="IF19" s="52"/>
      <c r="IG19" s="52"/>
      <c r="IH19" s="52"/>
      <c r="II19" s="52"/>
      <c r="IJ19" s="52"/>
      <c r="IK19" s="52"/>
      <c r="IL19" s="52"/>
      <c r="IM19" s="52"/>
      <c r="IN19" s="52"/>
      <c r="IO19" s="52"/>
      <c r="IP19" s="52"/>
      <c r="IQ19" s="52"/>
      <c r="IR19" s="52"/>
      <c r="IS19" s="52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15A23-D44C-4A72-B084-A1136CBBE51B}">
  <dimension ref="A2:Z44"/>
  <sheetViews>
    <sheetView zoomScaleNormal="100" workbookViewId="0">
      <selection activeCell="X46" sqref="X46"/>
    </sheetView>
  </sheetViews>
  <sheetFormatPr defaultColWidth="8.85546875" defaultRowHeight="14.45"/>
  <cols>
    <col min="3" max="4" width="12.85546875" bestFit="1" customWidth="1"/>
    <col min="5" max="6" width="13.85546875" bestFit="1" customWidth="1"/>
    <col min="7" max="7" width="12.85546875" bestFit="1" customWidth="1"/>
    <col min="8" max="8" width="14.85546875" bestFit="1" customWidth="1"/>
    <col min="9" max="10" width="12.85546875" bestFit="1" customWidth="1"/>
    <col min="11" max="11" width="13.85546875" bestFit="1" customWidth="1"/>
    <col min="13" max="13" width="13.85546875" bestFit="1" customWidth="1"/>
    <col min="14" max="14" width="14.85546875" bestFit="1" customWidth="1"/>
    <col min="16" max="16" width="10.28515625" bestFit="1" customWidth="1"/>
    <col min="17" max="18" width="10.140625" bestFit="1" customWidth="1"/>
    <col min="19" max="19" width="9.140625" bestFit="1" customWidth="1"/>
    <col min="20" max="20" width="11.140625" bestFit="1" customWidth="1"/>
    <col min="21" max="21" width="12.5703125" bestFit="1" customWidth="1"/>
    <col min="24" max="24" width="9.28515625" bestFit="1" customWidth="1"/>
    <col min="25" max="25" width="10.28515625" bestFit="1" customWidth="1"/>
    <col min="26" max="26" width="11.28515625" bestFit="1" customWidth="1"/>
  </cols>
  <sheetData>
    <row r="2" spans="1:26">
      <c r="C2" s="321" t="s">
        <v>74</v>
      </c>
      <c r="D2" s="321"/>
      <c r="E2" s="321"/>
      <c r="F2" s="321" t="s">
        <v>75</v>
      </c>
      <c r="G2" s="321"/>
      <c r="H2" s="321"/>
      <c r="I2" s="321" t="s">
        <v>76</v>
      </c>
      <c r="J2" s="321"/>
      <c r="K2" s="321"/>
      <c r="P2">
        <v>175000</v>
      </c>
      <c r="X2" s="16" t="s">
        <v>28</v>
      </c>
      <c r="Y2" s="16" t="s">
        <v>29</v>
      </c>
      <c r="Z2" s="16" t="s">
        <v>30</v>
      </c>
    </row>
    <row r="3" spans="1:26">
      <c r="B3" s="144" t="s">
        <v>373</v>
      </c>
      <c r="C3" s="144" t="s">
        <v>28</v>
      </c>
      <c r="D3" s="144" t="s">
        <v>29</v>
      </c>
      <c r="E3" s="144" t="s">
        <v>30</v>
      </c>
      <c r="F3" s="144" t="s">
        <v>28</v>
      </c>
      <c r="G3" s="144" t="s">
        <v>29</v>
      </c>
      <c r="H3" s="144" t="s">
        <v>30</v>
      </c>
      <c r="I3" s="144" t="s">
        <v>28</v>
      </c>
      <c r="J3" s="144" t="s">
        <v>29</v>
      </c>
      <c r="K3" s="144" t="s">
        <v>30</v>
      </c>
      <c r="Q3" t="s">
        <v>36</v>
      </c>
      <c r="R3" t="s">
        <v>374</v>
      </c>
      <c r="S3" t="s">
        <v>38</v>
      </c>
      <c r="W3" t="s">
        <v>375</v>
      </c>
      <c r="X3" s="103">
        <v>1.9803852170955961E-2</v>
      </c>
      <c r="Y3" s="103">
        <v>3.8414133638137907E-2</v>
      </c>
      <c r="Z3" s="103">
        <v>0.94178201419090612</v>
      </c>
    </row>
    <row r="4" spans="1:26">
      <c r="A4" t="s">
        <v>376</v>
      </c>
      <c r="B4" t="s">
        <v>40</v>
      </c>
      <c r="C4" s="143">
        <v>438836.54592602357</v>
      </c>
      <c r="D4" s="143">
        <v>1435916.8194734114</v>
      </c>
      <c r="E4" s="143">
        <v>4187131.0210731635</v>
      </c>
      <c r="F4" s="143">
        <v>734331.22184327722</v>
      </c>
      <c r="G4" s="143">
        <v>2532969.3895257055</v>
      </c>
      <c r="H4" s="143">
        <v>10256294.634363562</v>
      </c>
      <c r="I4" s="143">
        <v>0</v>
      </c>
      <c r="J4" s="143">
        <v>0</v>
      </c>
      <c r="K4" s="143">
        <v>3120710.5220736247</v>
      </c>
      <c r="M4" s="140">
        <f>SUM(C4:K4)</f>
        <v>22706190.15427877</v>
      </c>
      <c r="Q4" s="143">
        <v>13341.489</v>
      </c>
      <c r="R4" s="143">
        <v>26967.157999999999</v>
      </c>
      <c r="S4" s="143">
        <v>3379.5045</v>
      </c>
      <c r="T4" s="140">
        <f>SUM(Q4:S4)</f>
        <v>43688.1515</v>
      </c>
      <c r="W4" t="s">
        <v>377</v>
      </c>
      <c r="X4">
        <v>125</v>
      </c>
      <c r="Y4">
        <v>10</v>
      </c>
      <c r="Z4">
        <v>3</v>
      </c>
    </row>
    <row r="5" spans="1:26">
      <c r="A5" t="s">
        <v>376</v>
      </c>
      <c r="B5" t="s">
        <v>46</v>
      </c>
      <c r="C5" s="143">
        <v>0</v>
      </c>
      <c r="D5" s="143">
        <v>0</v>
      </c>
      <c r="E5" s="143">
        <v>12119452.055334589</v>
      </c>
      <c r="F5" s="143">
        <v>0</v>
      </c>
      <c r="G5" s="143">
        <v>1337101.5907053843</v>
      </c>
      <c r="H5" s="143">
        <v>24083080.742096599</v>
      </c>
      <c r="I5" s="143">
        <v>0</v>
      </c>
      <c r="J5" s="143">
        <v>0</v>
      </c>
      <c r="K5" s="143">
        <v>7999546.3587084068</v>
      </c>
      <c r="M5" s="140">
        <f t="shared" ref="M5:M10" si="0">SUM(C5:K5)</f>
        <v>45539180.746844977</v>
      </c>
      <c r="Q5" s="143">
        <v>34046.15</v>
      </c>
      <c r="R5" s="143">
        <v>33519.741999999998</v>
      </c>
      <c r="S5" s="143">
        <v>4447.3413</v>
      </c>
      <c r="T5" s="140">
        <f t="shared" ref="T5:T39" si="1">SUM(Q5:S5)</f>
        <v>72013.233299999993</v>
      </c>
    </row>
    <row r="6" spans="1:26">
      <c r="A6" t="s">
        <v>376</v>
      </c>
      <c r="B6" t="s">
        <v>54</v>
      </c>
      <c r="C6" s="143">
        <v>845946.26375360508</v>
      </c>
      <c r="D6" s="143">
        <v>1412469.2607138236</v>
      </c>
      <c r="E6" s="143">
        <v>5418047.8489772649</v>
      </c>
      <c r="F6" s="143">
        <v>0</v>
      </c>
      <c r="G6" s="143">
        <v>0</v>
      </c>
      <c r="H6" s="143">
        <v>18721583.051079936</v>
      </c>
      <c r="I6" s="143">
        <v>186082.00742459751</v>
      </c>
      <c r="J6" s="143">
        <v>0</v>
      </c>
      <c r="K6" s="143">
        <v>1674738.0668213777</v>
      </c>
      <c r="M6" s="140">
        <f t="shared" si="0"/>
        <v>28258866.498770602</v>
      </c>
      <c r="Q6" s="143">
        <v>16504.089</v>
      </c>
      <c r="R6" s="143">
        <v>29253.885000000002</v>
      </c>
      <c r="S6" s="143">
        <v>3981.4474</v>
      </c>
      <c r="T6" s="140">
        <f t="shared" si="1"/>
        <v>49739.421399999999</v>
      </c>
    </row>
    <row r="7" spans="1:26">
      <c r="A7" t="s">
        <v>376</v>
      </c>
      <c r="B7" t="s">
        <v>56</v>
      </c>
      <c r="C7" s="143">
        <v>427450.32743596169</v>
      </c>
      <c r="D7" s="143">
        <v>0</v>
      </c>
      <c r="E7" s="143">
        <v>4601377.0541635882</v>
      </c>
      <c r="F7" s="143">
        <v>0</v>
      </c>
      <c r="G7" s="143">
        <v>765677.04717502778</v>
      </c>
      <c r="H7" s="143">
        <v>13599745.976746693</v>
      </c>
      <c r="I7" s="143">
        <v>0</v>
      </c>
      <c r="J7" s="143">
        <v>0</v>
      </c>
      <c r="K7" s="143">
        <v>1886368.4054707203</v>
      </c>
      <c r="M7" s="140">
        <f t="shared" si="0"/>
        <v>21280618.810991991</v>
      </c>
      <c r="Q7" s="143">
        <v>13639.86</v>
      </c>
      <c r="R7" s="143">
        <v>25301.195</v>
      </c>
      <c r="S7" s="143">
        <v>2008.6030999999998</v>
      </c>
      <c r="T7" s="140">
        <f t="shared" si="1"/>
        <v>40949.658100000001</v>
      </c>
    </row>
    <row r="8" spans="1:26">
      <c r="A8" t="s">
        <v>376</v>
      </c>
      <c r="B8" t="s">
        <v>59</v>
      </c>
      <c r="C8" s="143">
        <v>0</v>
      </c>
      <c r="D8" s="143">
        <v>0</v>
      </c>
      <c r="E8" s="143">
        <v>1973373.8710966578</v>
      </c>
      <c r="F8" s="143">
        <v>0</v>
      </c>
      <c r="G8" s="143">
        <v>0</v>
      </c>
      <c r="H8" s="143">
        <v>18237887.003728349</v>
      </c>
      <c r="I8" s="143">
        <v>757421.31171573</v>
      </c>
      <c r="J8" s="143">
        <v>0</v>
      </c>
      <c r="K8" s="143">
        <v>5415531.514003342</v>
      </c>
      <c r="M8" s="140">
        <f t="shared" si="0"/>
        <v>26384213.700544082</v>
      </c>
      <c r="Q8" s="143">
        <v>9178.4220000000005</v>
      </c>
      <c r="R8" s="143">
        <v>31215.541000000001</v>
      </c>
      <c r="S8" s="143">
        <v>3259.6549999999997</v>
      </c>
      <c r="T8" s="140">
        <f t="shared" si="1"/>
        <v>43653.618000000002</v>
      </c>
    </row>
    <row r="9" spans="1:26">
      <c r="A9" t="s">
        <v>376</v>
      </c>
      <c r="B9" t="s">
        <v>62</v>
      </c>
      <c r="C9" s="143">
        <v>2329610.2591542033</v>
      </c>
      <c r="D9" s="143">
        <v>2409941.6474009003</v>
      </c>
      <c r="E9" s="143">
        <v>18887326.989532154</v>
      </c>
      <c r="F9" s="143">
        <v>10382133.621999305</v>
      </c>
      <c r="G9" s="143">
        <v>779327.25388786558</v>
      </c>
      <c r="H9" s="143">
        <v>42217118.157528289</v>
      </c>
      <c r="I9" s="143">
        <v>613984.07525272551</v>
      </c>
      <c r="J9" s="143">
        <v>0</v>
      </c>
      <c r="K9" s="143">
        <v>2211529.3865637747</v>
      </c>
      <c r="M9" s="140">
        <f t="shared" si="0"/>
        <v>79830971.39131923</v>
      </c>
      <c r="Q9" s="143">
        <v>48997.556000000004</v>
      </c>
      <c r="R9" s="143">
        <v>56541.45</v>
      </c>
      <c r="S9" s="143">
        <v>3049.3301000000001</v>
      </c>
      <c r="T9" s="140">
        <f t="shared" si="1"/>
        <v>108588.3361</v>
      </c>
    </row>
    <row r="10" spans="1:26">
      <c r="A10" t="s">
        <v>376</v>
      </c>
      <c r="B10" t="s">
        <v>73</v>
      </c>
      <c r="C10" s="143">
        <v>0</v>
      </c>
      <c r="D10" s="143">
        <v>0</v>
      </c>
      <c r="E10" s="143">
        <v>3170210.4419462825</v>
      </c>
      <c r="F10" s="143">
        <v>0</v>
      </c>
      <c r="G10" s="143">
        <v>0</v>
      </c>
      <c r="H10" s="143">
        <v>28701646.371602681</v>
      </c>
      <c r="I10" s="143">
        <v>0</v>
      </c>
      <c r="J10" s="143">
        <v>0</v>
      </c>
      <c r="K10" s="143">
        <v>7415327.0909617804</v>
      </c>
      <c r="M10" s="140">
        <f t="shared" si="0"/>
        <v>39287183.904510744</v>
      </c>
      <c r="N10" s="140">
        <f>SUM(M4:M10)</f>
        <v>263287225.20726037</v>
      </c>
      <c r="O10" s="147">
        <f>N10/$N$42</f>
        <v>0.31828723280734322</v>
      </c>
      <c r="P10" s="143">
        <f>O10*$P$2</f>
        <v>55700.265741285068</v>
      </c>
      <c r="Q10" s="143">
        <v>7128.2260000000006</v>
      </c>
      <c r="R10" s="143">
        <v>28159.137999999999</v>
      </c>
      <c r="S10" s="143">
        <v>4805.0373</v>
      </c>
      <c r="T10" s="140">
        <f t="shared" si="1"/>
        <v>40092.401299999998</v>
      </c>
      <c r="U10" s="140">
        <f>SUM(T4:T10)</f>
        <v>398724.81969999999</v>
      </c>
      <c r="V10" s="103">
        <f>U10/U42</f>
        <v>0.2535281420282679</v>
      </c>
      <c r="X10" s="152">
        <f>U10*X3</f>
        <v>7896.2873862298693</v>
      </c>
      <c r="Y10" s="152">
        <f>U10*Y3</f>
        <v>15316.668508798242</v>
      </c>
      <c r="Z10" s="152">
        <f>U10*Z3</f>
        <v>375511.86380497186</v>
      </c>
    </row>
    <row r="11" spans="1:26">
      <c r="C11" s="145">
        <f t="shared" ref="C11:K11" si="2">SUM(C4:C10)</f>
        <v>4041843.3962697936</v>
      </c>
      <c r="D11" s="145">
        <f t="shared" si="2"/>
        <v>5258327.7275881357</v>
      </c>
      <c r="E11" s="145">
        <f t="shared" si="2"/>
        <v>50356919.2821237</v>
      </c>
      <c r="F11" s="145">
        <f t="shared" si="2"/>
        <v>11116464.843842583</v>
      </c>
      <c r="G11" s="145">
        <f t="shared" si="2"/>
        <v>5415075.2812939826</v>
      </c>
      <c r="H11" s="145">
        <f t="shared" si="2"/>
        <v>155817355.93714613</v>
      </c>
      <c r="I11" s="145">
        <f t="shared" si="2"/>
        <v>1557487.3943930529</v>
      </c>
      <c r="J11" s="145">
        <f t="shared" si="2"/>
        <v>0</v>
      </c>
      <c r="K11" s="145">
        <f t="shared" si="2"/>
        <v>29723751.344603024</v>
      </c>
      <c r="M11" s="140"/>
      <c r="O11" s="147"/>
      <c r="P11" s="143"/>
      <c r="Q11" s="143"/>
      <c r="R11" s="143"/>
      <c r="S11" s="143"/>
      <c r="T11" s="140"/>
      <c r="V11" s="103"/>
    </row>
    <row r="12" spans="1:26">
      <c r="C12" s="147">
        <f>C11/(SUM(C11:E11))</f>
        <v>6.7751265922692913E-2</v>
      </c>
      <c r="D12" s="147">
        <f>D11/(SUM(C11:E11))</f>
        <v>8.8142544193890143E-2</v>
      </c>
      <c r="E12" s="147">
        <f>E11/(SUM(C11:E11))</f>
        <v>0.8441061898834169</v>
      </c>
      <c r="F12" s="147">
        <f>F11/(SUM(F11:H11))</f>
        <v>6.44997739923171E-2</v>
      </c>
      <c r="G12" s="147">
        <f>G11/(SUM(F11:H11))</f>
        <v>3.1419262931264187E-2</v>
      </c>
      <c r="H12" s="147">
        <f>H11/(SUM(F11:H11))</f>
        <v>0.90408096307641883</v>
      </c>
      <c r="I12" s="147">
        <f>I11/(SUM(I11:K11))</f>
        <v>4.9789824737709161E-2</v>
      </c>
      <c r="J12" s="147">
        <f>J11/(SUM(I11:K11))</f>
        <v>0</v>
      </c>
      <c r="K12" s="147">
        <f>K11/(SUM(I11:K11))</f>
        <v>0.95021017526229079</v>
      </c>
      <c r="M12" s="140"/>
      <c r="O12" s="147"/>
      <c r="P12" s="143"/>
      <c r="Q12" s="143"/>
      <c r="R12" s="143"/>
      <c r="S12" s="143"/>
      <c r="T12" s="140"/>
      <c r="V12" s="103"/>
    </row>
    <row r="13" spans="1:26">
      <c r="M13" s="140">
        <f t="shared" ref="M13:M18" si="3">SUM(C13:K13)</f>
        <v>0</v>
      </c>
      <c r="O13" s="147"/>
      <c r="P13" s="143"/>
      <c r="Q13" s="143"/>
      <c r="R13" s="143"/>
      <c r="S13" s="143"/>
      <c r="T13" s="140"/>
      <c r="V13" s="103"/>
    </row>
    <row r="14" spans="1:26">
      <c r="A14" t="s">
        <v>378</v>
      </c>
      <c r="B14" t="s">
        <v>42</v>
      </c>
      <c r="C14" s="143">
        <v>0</v>
      </c>
      <c r="D14" s="143">
        <v>0</v>
      </c>
      <c r="E14" s="143">
        <v>6516345.7002625735</v>
      </c>
      <c r="F14" s="143">
        <v>0</v>
      </c>
      <c r="G14" s="143">
        <v>0</v>
      </c>
      <c r="H14" s="143">
        <v>23374608.387483921</v>
      </c>
      <c r="I14" s="143">
        <v>0</v>
      </c>
      <c r="J14" s="143">
        <v>0</v>
      </c>
      <c r="K14" s="143">
        <v>1187177.3299259101</v>
      </c>
      <c r="M14" s="140">
        <f t="shared" si="3"/>
        <v>31078131.417672403</v>
      </c>
      <c r="O14" s="147"/>
      <c r="P14" s="143"/>
      <c r="Q14" s="143">
        <v>16659.896000000001</v>
      </c>
      <c r="R14" s="143">
        <v>42650.270000000004</v>
      </c>
      <c r="S14" s="143">
        <v>1677.471</v>
      </c>
      <c r="T14" s="140">
        <f t="shared" si="1"/>
        <v>60987.637000000002</v>
      </c>
      <c r="V14" s="103"/>
    </row>
    <row r="15" spans="1:26">
      <c r="A15" t="s">
        <v>378</v>
      </c>
      <c r="B15" t="s">
        <v>43</v>
      </c>
      <c r="C15" s="143">
        <v>0</v>
      </c>
      <c r="D15" s="143">
        <v>0</v>
      </c>
      <c r="E15" s="143">
        <v>1932350.1789673998</v>
      </c>
      <c r="F15" s="143">
        <v>0</v>
      </c>
      <c r="G15" s="143">
        <v>0</v>
      </c>
      <c r="H15" s="143">
        <v>17430837.947103798</v>
      </c>
      <c r="I15" s="143">
        <v>0</v>
      </c>
      <c r="J15" s="143">
        <v>0</v>
      </c>
      <c r="K15" s="143">
        <v>354158.75044209557</v>
      </c>
      <c r="M15" s="140">
        <f t="shared" si="3"/>
        <v>19717346.876513295</v>
      </c>
      <c r="O15" s="147"/>
      <c r="P15" s="143"/>
      <c r="Q15" s="143">
        <v>13789.856</v>
      </c>
      <c r="R15" s="143">
        <v>64652.520000000004</v>
      </c>
      <c r="S15" s="143">
        <v>1152.0525</v>
      </c>
      <c r="T15" s="140">
        <f t="shared" si="1"/>
        <v>79594.428500000009</v>
      </c>
      <c r="V15" s="103"/>
    </row>
    <row r="16" spans="1:26">
      <c r="A16" t="s">
        <v>378</v>
      </c>
      <c r="B16" t="s">
        <v>47</v>
      </c>
      <c r="C16" s="143">
        <v>0</v>
      </c>
      <c r="D16" s="143">
        <v>0</v>
      </c>
      <c r="E16" s="143">
        <v>6213289.539906797</v>
      </c>
      <c r="F16" s="143">
        <v>0</v>
      </c>
      <c r="G16" s="143">
        <v>0</v>
      </c>
      <c r="H16" s="143">
        <v>48400910.725058138</v>
      </c>
      <c r="I16" s="143">
        <v>293844.94829076785</v>
      </c>
      <c r="J16" s="143">
        <v>0</v>
      </c>
      <c r="K16" s="143">
        <v>5524866.8990511699</v>
      </c>
      <c r="M16" s="140">
        <f t="shared" si="3"/>
        <v>60432912.112306871</v>
      </c>
      <c r="O16" s="147"/>
      <c r="P16" s="143"/>
      <c r="Q16" s="143">
        <v>17580.409</v>
      </c>
      <c r="R16" s="143">
        <v>72772.53</v>
      </c>
      <c r="S16" s="143">
        <v>7702.0920000000006</v>
      </c>
      <c r="T16" s="140">
        <f t="shared" si="1"/>
        <v>98055.031000000003</v>
      </c>
      <c r="V16" s="103"/>
    </row>
    <row r="17" spans="1:26">
      <c r="A17" t="s">
        <v>378</v>
      </c>
      <c r="B17" t="s">
        <v>58</v>
      </c>
      <c r="C17" s="143">
        <v>0</v>
      </c>
      <c r="D17" s="143">
        <v>0</v>
      </c>
      <c r="E17" s="143">
        <v>6192893.677903221</v>
      </c>
      <c r="F17" s="143">
        <v>0</v>
      </c>
      <c r="G17" s="143">
        <v>0</v>
      </c>
      <c r="H17" s="143">
        <v>12581494.837435756</v>
      </c>
      <c r="I17" s="143">
        <v>0</v>
      </c>
      <c r="J17" s="143">
        <v>423454.63753196853</v>
      </c>
      <c r="K17" s="143">
        <v>4255602.1307770759</v>
      </c>
      <c r="M17" s="140">
        <f t="shared" si="3"/>
        <v>23453445.283648022</v>
      </c>
      <c r="O17" s="147"/>
      <c r="P17" s="143"/>
      <c r="Q17" s="143">
        <v>10751.267</v>
      </c>
      <c r="R17" s="143">
        <v>22301.501</v>
      </c>
      <c r="S17" s="143">
        <v>8052.848</v>
      </c>
      <c r="T17" s="140">
        <f t="shared" si="1"/>
        <v>41105.615999999995</v>
      </c>
      <c r="V17" s="103"/>
    </row>
    <row r="18" spans="1:26">
      <c r="A18" t="s">
        <v>378</v>
      </c>
      <c r="B18" t="s">
        <v>70</v>
      </c>
      <c r="C18" s="143">
        <v>0</v>
      </c>
      <c r="D18" s="143">
        <v>0</v>
      </c>
      <c r="E18" s="143">
        <v>7404294.7373921368</v>
      </c>
      <c r="F18" s="143">
        <v>0</v>
      </c>
      <c r="G18" s="143">
        <v>0</v>
      </c>
      <c r="H18" s="143">
        <v>31075687.257324751</v>
      </c>
      <c r="I18" s="143">
        <v>0</v>
      </c>
      <c r="J18" s="143">
        <v>0</v>
      </c>
      <c r="K18" s="143">
        <v>3478406.7423274391</v>
      </c>
      <c r="M18" s="140">
        <f t="shared" si="3"/>
        <v>41958388.737044327</v>
      </c>
      <c r="N18" s="140">
        <f>SUM(M14:M18)</f>
        <v>176640224.42718491</v>
      </c>
      <c r="O18" s="147">
        <f>N18/$N$42</f>
        <v>0.21353990187385052</v>
      </c>
      <c r="P18" s="143">
        <f t="shared" ref="P18:P39" si="4">O18*$P$2</f>
        <v>37369.482827923843</v>
      </c>
      <c r="Q18" s="143">
        <v>19066.427</v>
      </c>
      <c r="R18" s="143">
        <v>42756.990000000005</v>
      </c>
      <c r="S18" s="143">
        <v>1799.62</v>
      </c>
      <c r="T18" s="140">
        <f t="shared" si="1"/>
        <v>63623.037000000004</v>
      </c>
      <c r="U18" s="140">
        <f>SUM(T14:T18)</f>
        <v>343365.74950000003</v>
      </c>
      <c r="V18" s="103">
        <f>U18/U42</f>
        <v>0.21832822088270584</v>
      </c>
      <c r="X18" s="152">
        <f>U18*X3</f>
        <v>6799.9645436674964</v>
      </c>
      <c r="Y18" s="152">
        <f>U18*Y3</f>
        <v>13190.097788052386</v>
      </c>
      <c r="Z18" s="152">
        <f>U18*Z3</f>
        <v>323375.68716828013</v>
      </c>
    </row>
    <row r="19" spans="1:26">
      <c r="C19" s="145">
        <f t="shared" ref="C19:K19" si="5">SUM(C14:C18)</f>
        <v>0</v>
      </c>
      <c r="D19" s="145">
        <f t="shared" si="5"/>
        <v>0</v>
      </c>
      <c r="E19" s="145">
        <f t="shared" si="5"/>
        <v>28259173.834432125</v>
      </c>
      <c r="F19" s="145">
        <f t="shared" si="5"/>
        <v>0</v>
      </c>
      <c r="G19" s="145">
        <f t="shared" si="5"/>
        <v>0</v>
      </c>
      <c r="H19" s="145">
        <f t="shared" si="5"/>
        <v>132863539.15440637</v>
      </c>
      <c r="I19" s="145">
        <f t="shared" si="5"/>
        <v>293844.94829076785</v>
      </c>
      <c r="J19" s="145">
        <f t="shared" si="5"/>
        <v>423454.63753196853</v>
      </c>
      <c r="K19" s="145">
        <f t="shared" si="5"/>
        <v>14800211.85252369</v>
      </c>
      <c r="M19" s="140"/>
      <c r="O19" s="147"/>
      <c r="P19" s="143"/>
      <c r="Q19" s="143"/>
      <c r="R19" s="143"/>
      <c r="S19" s="143"/>
      <c r="T19" s="140"/>
      <c r="V19" s="103"/>
    </row>
    <row r="20" spans="1:26">
      <c r="C20" s="147">
        <f>C19/(SUM(C19:E19))</f>
        <v>0</v>
      </c>
      <c r="D20" s="147">
        <f>D19/(SUM(C19:E19))</f>
        <v>0</v>
      </c>
      <c r="E20" s="147">
        <f>E19/(SUM(C19:E19))</f>
        <v>1</v>
      </c>
      <c r="F20" s="147">
        <f>F19/(SUM(F19:H19))</f>
        <v>0</v>
      </c>
      <c r="G20" s="147">
        <f>G19/(SUM(F19:H19))</f>
        <v>0</v>
      </c>
      <c r="H20" s="147">
        <f>H19/(SUM(F19:H19))</f>
        <v>1</v>
      </c>
      <c r="I20" s="147">
        <f>I19/(SUM(I19:K19))</f>
        <v>1.8936344880959886E-2</v>
      </c>
      <c r="J20" s="147">
        <f>J19/(SUM(I19:K19))</f>
        <v>2.7288823933813228E-2</v>
      </c>
      <c r="K20" s="147">
        <f>K19/(SUM(I19:K19))</f>
        <v>0.95377483118522688</v>
      </c>
      <c r="M20" s="140"/>
      <c r="O20" s="147"/>
      <c r="P20" s="143"/>
      <c r="Q20" s="143"/>
      <c r="R20" s="143"/>
      <c r="S20" s="143"/>
      <c r="T20" s="140"/>
      <c r="V20" s="103"/>
    </row>
    <row r="21" spans="1:26">
      <c r="M21" s="140">
        <f t="shared" ref="M21:M28" si="6">SUM(C21:K21)</f>
        <v>0</v>
      </c>
      <c r="O21" s="147"/>
      <c r="P21" s="143"/>
      <c r="Q21" s="143"/>
      <c r="R21" s="143"/>
      <c r="S21" s="143"/>
      <c r="T21" s="140"/>
      <c r="V21" s="103"/>
    </row>
    <row r="22" spans="1:26">
      <c r="A22" t="s">
        <v>379</v>
      </c>
      <c r="B22" t="s">
        <v>53</v>
      </c>
      <c r="C22" s="143">
        <v>0</v>
      </c>
      <c r="D22" s="143">
        <v>0</v>
      </c>
      <c r="E22" s="143">
        <v>11726640.003982436</v>
      </c>
      <c r="F22" s="143">
        <v>0</v>
      </c>
      <c r="G22" s="143">
        <v>0</v>
      </c>
      <c r="H22" s="143">
        <v>13234668.19075935</v>
      </c>
      <c r="I22" s="143">
        <v>0</v>
      </c>
      <c r="J22" s="143">
        <v>0</v>
      </c>
      <c r="K22" s="143">
        <v>5542579.9149929928</v>
      </c>
      <c r="M22" s="140">
        <f t="shared" si="6"/>
        <v>30503888.109734777</v>
      </c>
      <c r="O22" s="147"/>
      <c r="P22" s="143"/>
      <c r="Q22" s="143">
        <v>39358.061000000002</v>
      </c>
      <c r="R22" s="143">
        <v>22717.397000000001</v>
      </c>
      <c r="S22" s="143">
        <v>8821.723</v>
      </c>
      <c r="T22" s="140">
        <f t="shared" si="1"/>
        <v>70897.180999999997</v>
      </c>
      <c r="V22" s="103"/>
    </row>
    <row r="23" spans="1:26">
      <c r="A23" t="s">
        <v>379</v>
      </c>
      <c r="B23" t="s">
        <v>60</v>
      </c>
      <c r="C23" s="143">
        <v>0</v>
      </c>
      <c r="D23" s="143">
        <v>0</v>
      </c>
      <c r="E23" s="143">
        <v>4004818.3486901089</v>
      </c>
      <c r="F23" s="143">
        <v>0</v>
      </c>
      <c r="G23" s="143">
        <v>0</v>
      </c>
      <c r="H23" s="143">
        <v>15958698.481212385</v>
      </c>
      <c r="I23" s="143">
        <v>0</v>
      </c>
      <c r="J23" s="143">
        <v>0</v>
      </c>
      <c r="K23" s="143">
        <v>2232753.779178415</v>
      </c>
      <c r="M23" s="140">
        <f t="shared" si="6"/>
        <v>22196270.609080907</v>
      </c>
      <c r="O23" s="147"/>
      <c r="P23" s="143"/>
      <c r="Q23" s="143">
        <v>20617.29</v>
      </c>
      <c r="R23" s="143">
        <v>51573.159999999996</v>
      </c>
      <c r="S23" s="143">
        <v>2811.0136000000002</v>
      </c>
      <c r="T23" s="140">
        <f t="shared" si="1"/>
        <v>75001.463600000003</v>
      </c>
      <c r="V23" s="103"/>
    </row>
    <row r="24" spans="1:26">
      <c r="A24" t="s">
        <v>379</v>
      </c>
      <c r="B24" t="s">
        <v>61</v>
      </c>
      <c r="C24" s="143">
        <v>0</v>
      </c>
      <c r="D24" s="143">
        <v>318083.18928547221</v>
      </c>
      <c r="E24" s="143">
        <v>4771247.8392820833</v>
      </c>
      <c r="F24" s="143">
        <v>0</v>
      </c>
      <c r="G24" s="143">
        <v>1016056.0401098646</v>
      </c>
      <c r="H24" s="143">
        <v>15347191.072834989</v>
      </c>
      <c r="I24" s="143">
        <v>863506.58243698091</v>
      </c>
      <c r="J24" s="143">
        <v>467922.81221868092</v>
      </c>
      <c r="K24" s="143">
        <v>5185601.4161894768</v>
      </c>
      <c r="M24" s="140">
        <f t="shared" si="6"/>
        <v>27969608.952357549</v>
      </c>
      <c r="O24" s="147"/>
      <c r="P24" s="143"/>
      <c r="Q24" s="143">
        <v>6769.4709999999995</v>
      </c>
      <c r="R24" s="143">
        <v>29438.807999999997</v>
      </c>
      <c r="S24" s="143">
        <v>7293.5410000000002</v>
      </c>
      <c r="T24" s="140">
        <f t="shared" si="1"/>
        <v>43501.819999999992</v>
      </c>
      <c r="V24" s="103"/>
    </row>
    <row r="25" spans="1:26">
      <c r="A25" t="s">
        <v>379</v>
      </c>
      <c r="B25" t="s">
        <v>64</v>
      </c>
      <c r="C25" s="143">
        <v>0</v>
      </c>
      <c r="D25" s="143">
        <v>0</v>
      </c>
      <c r="E25" s="143">
        <v>2459192.6101533002</v>
      </c>
      <c r="F25" s="143">
        <v>0</v>
      </c>
      <c r="G25" s="143">
        <v>0</v>
      </c>
      <c r="H25" s="143">
        <v>9623721.8253600504</v>
      </c>
      <c r="I25" s="143">
        <v>0</v>
      </c>
      <c r="J25" s="143">
        <v>0</v>
      </c>
      <c r="K25" s="143">
        <v>2921281.7619076082</v>
      </c>
      <c r="M25" s="140">
        <f t="shared" si="6"/>
        <v>15004196.197420958</v>
      </c>
      <c r="O25" s="147"/>
      <c r="P25" s="143"/>
      <c r="Q25" s="143">
        <v>18070.702000000001</v>
      </c>
      <c r="R25" s="143">
        <v>31747.040000000001</v>
      </c>
      <c r="S25" s="143">
        <v>7171.3379999999997</v>
      </c>
      <c r="T25" s="140">
        <f t="shared" si="1"/>
        <v>56989.08</v>
      </c>
      <c r="V25" s="103"/>
    </row>
    <row r="26" spans="1:26">
      <c r="A26" t="s">
        <v>379</v>
      </c>
      <c r="B26" t="s">
        <v>68</v>
      </c>
      <c r="C26" s="143">
        <v>246480.58569342602</v>
      </c>
      <c r="D26" s="143">
        <v>1001108.350423062</v>
      </c>
      <c r="E26" s="143">
        <v>1672797.1502985121</v>
      </c>
      <c r="F26" s="143">
        <v>1716894.0793752111</v>
      </c>
      <c r="G26" s="143">
        <v>3901424.6784246038</v>
      </c>
      <c r="H26" s="143">
        <v>16650086.940970756</v>
      </c>
      <c r="I26" s="143">
        <v>7740508.5709752254</v>
      </c>
      <c r="J26" s="143">
        <v>0</v>
      </c>
      <c r="K26" s="143">
        <v>3689657.659053165</v>
      </c>
      <c r="M26" s="140">
        <f t="shared" si="6"/>
        <v>36618958.015213959</v>
      </c>
      <c r="O26" s="147"/>
      <c r="P26" s="143"/>
      <c r="Q26" s="143">
        <v>9396.2530000000006</v>
      </c>
      <c r="R26" s="143">
        <v>26142.934000000001</v>
      </c>
      <c r="S26" s="143">
        <v>6568.1123000000007</v>
      </c>
      <c r="T26" s="140">
        <f t="shared" si="1"/>
        <v>42107.299300000006</v>
      </c>
      <c r="V26" s="103"/>
    </row>
    <row r="27" spans="1:26">
      <c r="A27" t="s">
        <v>379</v>
      </c>
      <c r="B27" t="s">
        <v>71</v>
      </c>
      <c r="C27" s="143">
        <v>0</v>
      </c>
      <c r="D27" s="143">
        <v>0</v>
      </c>
      <c r="E27" s="143">
        <v>3492636.7980759093</v>
      </c>
      <c r="F27" s="143">
        <v>0</v>
      </c>
      <c r="G27" s="143">
        <v>0</v>
      </c>
      <c r="H27" s="143">
        <v>4018796.8768562167</v>
      </c>
      <c r="I27" s="143">
        <v>0</v>
      </c>
      <c r="J27" s="143">
        <v>0</v>
      </c>
      <c r="K27" s="143">
        <v>1786857.7449392357</v>
      </c>
      <c r="M27" s="140">
        <f t="shared" si="6"/>
        <v>9298291.4198713619</v>
      </c>
      <c r="O27" s="147"/>
      <c r="P27" s="143"/>
      <c r="Q27" s="143">
        <v>12567.669</v>
      </c>
      <c r="R27" s="143">
        <v>10405.343000000001</v>
      </c>
      <c r="S27" s="143">
        <v>3249.9005999999999</v>
      </c>
      <c r="T27" s="140">
        <f t="shared" si="1"/>
        <v>26222.912600000003</v>
      </c>
      <c r="V27" s="103"/>
    </row>
    <row r="28" spans="1:26">
      <c r="A28" t="s">
        <v>379</v>
      </c>
      <c r="B28" t="s">
        <v>72</v>
      </c>
      <c r="C28" s="143">
        <v>0</v>
      </c>
      <c r="D28" s="143">
        <v>1015269.1278363809</v>
      </c>
      <c r="E28" s="143">
        <v>4223477.6618250273</v>
      </c>
      <c r="F28" s="143">
        <v>0</v>
      </c>
      <c r="G28" s="143">
        <v>0</v>
      </c>
      <c r="H28" s="143">
        <v>13689290.419952787</v>
      </c>
      <c r="I28" s="143">
        <v>0</v>
      </c>
      <c r="J28" s="143">
        <v>868406.96048591752</v>
      </c>
      <c r="K28" s="143">
        <v>4062921.6055897074</v>
      </c>
      <c r="M28" s="140">
        <f t="shared" si="6"/>
        <v>23859365.775689818</v>
      </c>
      <c r="N28" s="140">
        <f>SUM(M22:M28)</f>
        <v>165450579.07936931</v>
      </c>
      <c r="O28" s="147">
        <f>N28/$N$42</f>
        <v>0.20001276909690643</v>
      </c>
      <c r="P28" s="143">
        <f t="shared" si="4"/>
        <v>35002.23459195863</v>
      </c>
      <c r="Q28" s="143">
        <v>15935.645</v>
      </c>
      <c r="R28" s="143">
        <v>28714.947</v>
      </c>
      <c r="S28" s="143">
        <v>7095.973</v>
      </c>
      <c r="T28" s="140">
        <f t="shared" si="1"/>
        <v>51746.565000000002</v>
      </c>
      <c r="U28" s="140">
        <f>SUM(T22:T28)</f>
        <v>366466.32150000002</v>
      </c>
      <c r="V28" s="103">
        <f>U28/U42</f>
        <v>0.23301665964946425</v>
      </c>
      <c r="X28" s="152">
        <f>U28*X3</f>
        <v>7257.4448566200208</v>
      </c>
      <c r="Y28" s="152">
        <f>U28*Y3</f>
        <v>14077.486247977811</v>
      </c>
      <c r="Z28" s="152">
        <f>U28*Z3</f>
        <v>345131.39039540221</v>
      </c>
    </row>
    <row r="29" spans="1:26">
      <c r="C29" s="145">
        <f t="shared" ref="C29:K29" si="7">SUM(C22:C28)</f>
        <v>246480.58569342602</v>
      </c>
      <c r="D29" s="145">
        <f t="shared" si="7"/>
        <v>2334460.6675449153</v>
      </c>
      <c r="E29" s="145">
        <f t="shared" si="7"/>
        <v>32350810.412307378</v>
      </c>
      <c r="F29" s="145">
        <f t="shared" si="7"/>
        <v>1716894.0793752111</v>
      </c>
      <c r="G29" s="145">
        <f t="shared" si="7"/>
        <v>4917480.7185344687</v>
      </c>
      <c r="H29" s="145">
        <f t="shared" si="7"/>
        <v>88522453.807946533</v>
      </c>
      <c r="I29" s="145">
        <f t="shared" si="7"/>
        <v>8604015.1534122061</v>
      </c>
      <c r="J29" s="145">
        <f t="shared" si="7"/>
        <v>1336329.7727045985</v>
      </c>
      <c r="K29" s="145">
        <f t="shared" si="7"/>
        <v>25421653.8818506</v>
      </c>
      <c r="M29" s="140"/>
      <c r="O29" s="147"/>
      <c r="P29" s="143"/>
      <c r="Q29" s="143"/>
      <c r="R29" s="143"/>
      <c r="S29" s="143"/>
      <c r="T29" s="140"/>
      <c r="V29" s="103"/>
    </row>
    <row r="30" spans="1:26">
      <c r="C30" s="147">
        <f>C29/(SUM(C29:E29))</f>
        <v>7.0560614323998405E-3</v>
      </c>
      <c r="D30" s="147">
        <f>D29/(SUM(C29:E29))</f>
        <v>6.6829189955780757E-2</v>
      </c>
      <c r="E30" s="147">
        <f>E29/(SUM(C29:E29))</f>
        <v>0.92611474861181953</v>
      </c>
      <c r="F30" s="147">
        <f>F29/(SUM(F29:H29))</f>
        <v>1.8042783734277888E-2</v>
      </c>
      <c r="G30" s="147">
        <f>G29/(SUM(F29:H29))</f>
        <v>5.1677644059607022E-2</v>
      </c>
      <c r="H30" s="147">
        <f>H29/(SUM(F29:H29))</f>
        <v>0.93027957220611512</v>
      </c>
      <c r="I30" s="147">
        <f>I29/(SUM(I29:K29))</f>
        <v>0.24331246658697461</v>
      </c>
      <c r="J30" s="147">
        <f>J29/(SUM(I29:K29))</f>
        <v>3.7789995411783968E-2</v>
      </c>
      <c r="K30" s="147">
        <f>K29/(SUM(I29:K29))</f>
        <v>0.71889753800124134</v>
      </c>
      <c r="M30" s="140"/>
      <c r="O30" s="147"/>
      <c r="P30" s="143"/>
      <c r="Q30" s="143"/>
      <c r="R30" s="143"/>
      <c r="S30" s="143"/>
      <c r="T30" s="140"/>
      <c r="V30" s="103"/>
    </row>
    <row r="31" spans="1:26">
      <c r="M31" s="140">
        <f t="shared" ref="M31:M39" si="8">SUM(C31:K31)</f>
        <v>0</v>
      </c>
      <c r="O31" s="147"/>
      <c r="P31" s="143"/>
      <c r="Q31" s="143"/>
      <c r="R31" s="143"/>
      <c r="S31" s="143"/>
      <c r="T31" s="140"/>
      <c r="V31" s="103"/>
    </row>
    <row r="32" spans="1:26">
      <c r="A32" t="s">
        <v>380</v>
      </c>
      <c r="B32" s="142" t="s">
        <v>49</v>
      </c>
      <c r="C32">
        <v>0</v>
      </c>
      <c r="D32">
        <v>329057.92940834386</v>
      </c>
      <c r="E32">
        <v>4545874.3581226766</v>
      </c>
      <c r="F32">
        <v>0</v>
      </c>
      <c r="G32">
        <v>0</v>
      </c>
      <c r="H32">
        <v>17150853.166751321</v>
      </c>
      <c r="I32">
        <v>0</v>
      </c>
      <c r="J32">
        <v>0</v>
      </c>
      <c r="K32">
        <v>6862211.8708959194</v>
      </c>
      <c r="M32" s="140">
        <f t="shared" si="8"/>
        <v>28887997.325178262</v>
      </c>
      <c r="O32" s="147"/>
      <c r="P32" s="143"/>
      <c r="Q32" s="143">
        <v>21139.300000000003</v>
      </c>
      <c r="R32" s="143">
        <v>30380.52</v>
      </c>
      <c r="S32" s="143">
        <v>817.82129999999995</v>
      </c>
      <c r="T32" s="140">
        <f t="shared" si="1"/>
        <v>52337.64130000001</v>
      </c>
      <c r="V32" s="103"/>
    </row>
    <row r="33" spans="1:26">
      <c r="A33" t="s">
        <v>380</v>
      </c>
      <c r="B33" t="s">
        <v>50</v>
      </c>
      <c r="C33" s="143">
        <v>0</v>
      </c>
      <c r="D33" s="143">
        <v>918167.69378688838</v>
      </c>
      <c r="E33" s="143">
        <v>6312222.1531128529</v>
      </c>
      <c r="F33" s="143">
        <v>0</v>
      </c>
      <c r="G33" s="143">
        <v>2298170.1638393025</v>
      </c>
      <c r="H33" s="143">
        <v>22439937.089543931</v>
      </c>
      <c r="I33" s="143">
        <v>408478.29654266679</v>
      </c>
      <c r="J33" s="143">
        <v>0</v>
      </c>
      <c r="K33" s="143">
        <v>2021493.7233423234</v>
      </c>
      <c r="M33" s="140">
        <f t="shared" si="8"/>
        <v>34398469.120167963</v>
      </c>
      <c r="O33" s="147"/>
      <c r="P33" s="143"/>
      <c r="Q33" s="143">
        <v>26701.594999999998</v>
      </c>
      <c r="R33" s="143">
        <v>26800.406999999999</v>
      </c>
      <c r="S33" s="143">
        <v>1958.2773999999999</v>
      </c>
      <c r="T33" s="140">
        <f t="shared" si="1"/>
        <v>55460.279399999992</v>
      </c>
      <c r="V33" s="103"/>
    </row>
    <row r="34" spans="1:26">
      <c r="A34" t="s">
        <v>380</v>
      </c>
      <c r="B34" t="s">
        <v>51</v>
      </c>
      <c r="C34" s="143">
        <v>0</v>
      </c>
      <c r="D34" s="143">
        <v>0</v>
      </c>
      <c r="E34" s="143">
        <v>2570439.4284310923</v>
      </c>
      <c r="F34" s="143">
        <v>0</v>
      </c>
      <c r="G34" s="143">
        <v>0</v>
      </c>
      <c r="H34" s="143">
        <v>16837274.138136376</v>
      </c>
      <c r="I34" s="143">
        <v>0</v>
      </c>
      <c r="J34" s="143">
        <v>0</v>
      </c>
      <c r="K34" s="143">
        <v>1518454.1359721802</v>
      </c>
      <c r="M34" s="140">
        <f t="shared" si="8"/>
        <v>20926167.702539649</v>
      </c>
      <c r="O34" s="147"/>
      <c r="P34" s="143"/>
      <c r="Q34" s="143">
        <v>10052.697</v>
      </c>
      <c r="R34" s="143">
        <v>37482.847000000002</v>
      </c>
      <c r="S34" s="143">
        <v>3258.8182999999999</v>
      </c>
      <c r="T34" s="140">
        <f t="shared" si="1"/>
        <v>50794.362300000001</v>
      </c>
      <c r="V34" s="103"/>
    </row>
    <row r="35" spans="1:26">
      <c r="A35" t="s">
        <v>380</v>
      </c>
      <c r="B35" t="s">
        <v>57</v>
      </c>
      <c r="C35" s="143">
        <v>0</v>
      </c>
      <c r="D35" s="143">
        <v>0</v>
      </c>
      <c r="E35" s="143">
        <v>3738898.4067166671</v>
      </c>
      <c r="F35" s="143">
        <v>0</v>
      </c>
      <c r="G35" s="143">
        <v>0</v>
      </c>
      <c r="H35" s="143">
        <v>13559308.59933538</v>
      </c>
      <c r="I35" s="143">
        <v>0</v>
      </c>
      <c r="J35" s="143">
        <v>0</v>
      </c>
      <c r="K35" s="143">
        <v>140704.07483999999</v>
      </c>
      <c r="M35" s="140">
        <f t="shared" si="8"/>
        <v>17438911.080892049</v>
      </c>
      <c r="O35" s="147"/>
      <c r="P35" s="143"/>
      <c r="Q35" s="143">
        <v>19496.045000000002</v>
      </c>
      <c r="R35" s="143">
        <v>37340.415999999997</v>
      </c>
      <c r="S35" s="143">
        <v>914.24</v>
      </c>
      <c r="T35" s="140">
        <f t="shared" si="1"/>
        <v>57750.700999999994</v>
      </c>
      <c r="V35" s="103"/>
    </row>
    <row r="36" spans="1:26">
      <c r="A36" t="s">
        <v>380</v>
      </c>
      <c r="B36" t="s">
        <v>63</v>
      </c>
      <c r="C36" s="143">
        <v>0</v>
      </c>
      <c r="D36" s="143">
        <v>990279.12418979523</v>
      </c>
      <c r="E36" s="143">
        <v>8351042.5388043215</v>
      </c>
      <c r="F36" s="143">
        <v>0</v>
      </c>
      <c r="G36" s="143">
        <v>1667354.0896216945</v>
      </c>
      <c r="H36" s="143">
        <v>15006186.806595249</v>
      </c>
      <c r="I36" s="143">
        <v>0</v>
      </c>
      <c r="J36" s="143">
        <v>0</v>
      </c>
      <c r="K36" s="143">
        <v>22082.5</v>
      </c>
      <c r="M36" s="140">
        <f t="shared" si="8"/>
        <v>26036945.05921106</v>
      </c>
      <c r="O36" s="147"/>
      <c r="P36" s="143"/>
      <c r="Q36" s="143">
        <v>36521.546999999999</v>
      </c>
      <c r="R36" s="143">
        <v>40416.745000000003</v>
      </c>
      <c r="S36" s="143">
        <v>14</v>
      </c>
      <c r="T36" s="140">
        <f t="shared" si="1"/>
        <v>76952.292000000001</v>
      </c>
      <c r="V36" s="103"/>
    </row>
    <row r="37" spans="1:26">
      <c r="A37" t="s">
        <v>380</v>
      </c>
      <c r="B37" t="s">
        <v>65</v>
      </c>
      <c r="C37" s="143">
        <v>0</v>
      </c>
      <c r="D37" s="143">
        <v>583597.67796555534</v>
      </c>
      <c r="E37" s="143">
        <v>9375407.065473957</v>
      </c>
      <c r="F37" s="143">
        <v>0</v>
      </c>
      <c r="G37" s="143">
        <v>0</v>
      </c>
      <c r="H37" s="143">
        <v>26787811.506463494</v>
      </c>
      <c r="I37" s="143">
        <v>0</v>
      </c>
      <c r="J37" s="143">
        <v>0</v>
      </c>
      <c r="K37" s="143">
        <v>1939019.18483023</v>
      </c>
      <c r="M37" s="140">
        <f t="shared" si="8"/>
        <v>38685835.434733242</v>
      </c>
      <c r="O37" s="147"/>
      <c r="P37" s="143"/>
      <c r="Q37" s="143">
        <v>16255.555</v>
      </c>
      <c r="R37" s="143">
        <v>35308.106999999996</v>
      </c>
      <c r="S37" s="143">
        <v>3116.7213000000002</v>
      </c>
      <c r="T37" s="140">
        <f t="shared" si="1"/>
        <v>54680.383299999994</v>
      </c>
      <c r="V37" s="103"/>
    </row>
    <row r="38" spans="1:26">
      <c r="A38" t="s">
        <v>380</v>
      </c>
      <c r="B38" t="s">
        <v>67</v>
      </c>
      <c r="C38" s="143">
        <v>0</v>
      </c>
      <c r="D38" s="143">
        <v>2107135.3305711551</v>
      </c>
      <c r="E38" s="143">
        <v>11271501.688928241</v>
      </c>
      <c r="F38" s="143">
        <v>0</v>
      </c>
      <c r="G38" s="143">
        <v>1808114.0499608978</v>
      </c>
      <c r="H38" s="143">
        <v>10997226.247212602</v>
      </c>
      <c r="I38" s="143">
        <v>0</v>
      </c>
      <c r="J38" s="143">
        <v>0</v>
      </c>
      <c r="K38" s="143">
        <v>936301.19461348059</v>
      </c>
      <c r="M38" s="140">
        <f t="shared" si="8"/>
        <v>27120278.511286374</v>
      </c>
      <c r="O38" s="147"/>
      <c r="P38" s="143"/>
      <c r="Q38" s="143">
        <v>39568.794000000002</v>
      </c>
      <c r="R38" s="143">
        <v>23410.594000000001</v>
      </c>
      <c r="S38" s="143">
        <v>2018.9775</v>
      </c>
      <c r="T38" s="140">
        <f t="shared" si="1"/>
        <v>64998.365500000007</v>
      </c>
      <c r="V38" s="103"/>
    </row>
    <row r="39" spans="1:26">
      <c r="A39" t="s">
        <v>380</v>
      </c>
      <c r="B39" t="s">
        <v>69</v>
      </c>
      <c r="C39" s="143">
        <v>0</v>
      </c>
      <c r="D39" s="143">
        <v>0</v>
      </c>
      <c r="E39" s="143">
        <v>3833617.7680229247</v>
      </c>
      <c r="F39" s="143">
        <v>0</v>
      </c>
      <c r="G39" s="143">
        <v>0</v>
      </c>
      <c r="H39" s="143">
        <v>22489185.096005492</v>
      </c>
      <c r="I39" s="143">
        <v>0</v>
      </c>
      <c r="J39" s="143">
        <v>0</v>
      </c>
      <c r="K39" s="143">
        <v>2004646.5949285354</v>
      </c>
      <c r="M39" s="140">
        <f t="shared" si="8"/>
        <v>28327449.458956953</v>
      </c>
      <c r="N39" s="140">
        <f>SUM(M32:M39)</f>
        <v>221822053.69296557</v>
      </c>
      <c r="O39" s="147">
        <f>N39/$N$42</f>
        <v>0.26816009622189974</v>
      </c>
      <c r="P39" s="143">
        <f t="shared" si="4"/>
        <v>46928.016838832453</v>
      </c>
      <c r="Q39" s="143">
        <v>12946.67</v>
      </c>
      <c r="R39" s="143">
        <v>37437.542999999998</v>
      </c>
      <c r="S39" s="143">
        <v>789.25260000000003</v>
      </c>
      <c r="T39" s="140">
        <f t="shared" si="1"/>
        <v>51173.465599999996</v>
      </c>
      <c r="U39" s="140">
        <f>SUM(T32:T39)</f>
        <v>464147.49040000001</v>
      </c>
      <c r="V39" s="103">
        <f>U39/U42</f>
        <v>0.29512697743956195</v>
      </c>
      <c r="X39" s="152">
        <f>U39*X3</f>
        <v>9191.9082854018015</v>
      </c>
      <c r="Y39" s="152">
        <f>U39*Y3</f>
        <v>17829.823724031932</v>
      </c>
      <c r="Z39" s="152">
        <f>U39*Z3</f>
        <v>437125.75839056628</v>
      </c>
    </row>
    <row r="40" spans="1:26">
      <c r="C40" s="146">
        <f t="shared" ref="C40:K40" si="9">SUM(C32:C39)</f>
        <v>0</v>
      </c>
      <c r="D40" s="146">
        <f t="shared" si="9"/>
        <v>4928237.7559217382</v>
      </c>
      <c r="E40" s="146">
        <f t="shared" si="9"/>
        <v>49999003.407612734</v>
      </c>
      <c r="F40" s="146">
        <f t="shared" si="9"/>
        <v>0</v>
      </c>
      <c r="G40" s="146">
        <f t="shared" si="9"/>
        <v>5773638.3034218941</v>
      </c>
      <c r="H40" s="146">
        <f t="shared" si="9"/>
        <v>145267782.65004385</v>
      </c>
      <c r="I40" s="146">
        <f t="shared" si="9"/>
        <v>408478.29654266679</v>
      </c>
      <c r="J40" s="146">
        <f t="shared" si="9"/>
        <v>0</v>
      </c>
      <c r="K40" s="146">
        <f t="shared" si="9"/>
        <v>15444913.279422667</v>
      </c>
    </row>
    <row r="41" spans="1:26">
      <c r="C41" s="147">
        <f>C40/(SUM(C40:E40))</f>
        <v>0</v>
      </c>
      <c r="D41" s="147">
        <f>D40/(SUM(C40:E40))</f>
        <v>8.9723016330802638E-2</v>
      </c>
      <c r="E41" s="147">
        <f>E40/(SUM(C40:E40))</f>
        <v>0.9102769836691974</v>
      </c>
      <c r="F41" s="147">
        <f>F40/(SUM(F40:H40))</f>
        <v>0</v>
      </c>
      <c r="G41" s="147">
        <f>G40/(SUM(F40:H40))</f>
        <v>3.8225529573114196E-2</v>
      </c>
      <c r="H41" s="147">
        <f>H40/(SUM(F40:H40))</f>
        <v>0.96177447042688591</v>
      </c>
      <c r="I41" s="147">
        <f>I40/(SUM(I40:K40))</f>
        <v>2.5765987964489801E-2</v>
      </c>
      <c r="J41" s="147">
        <f>J40/(SUM(I40:K40))</f>
        <v>0</v>
      </c>
      <c r="K41" s="147">
        <f>K40/(SUM(I40:K40))</f>
        <v>0.97423401203551019</v>
      </c>
    </row>
    <row r="42" spans="1:26">
      <c r="N42" s="140">
        <f>SUM(N10,N18,N28,N39)</f>
        <v>827200082.40678024</v>
      </c>
      <c r="O42" s="140"/>
      <c r="P42" s="140"/>
      <c r="Q42" s="140"/>
      <c r="R42" s="140"/>
      <c r="S42" s="140"/>
      <c r="T42" s="140"/>
      <c r="U42" s="140">
        <f t="shared" ref="U42" si="10">SUM(U10,U18,U28,U39)</f>
        <v>1572704.3811000001</v>
      </c>
      <c r="V42" s="103">
        <f>U42/U44</f>
        <v>0.97774653398071065</v>
      </c>
    </row>
    <row r="44" spans="1:26">
      <c r="U44" s="143">
        <v>1608499.0602799999</v>
      </c>
    </row>
  </sheetData>
  <mergeCells count="3">
    <mergeCell ref="I2:K2"/>
    <mergeCell ref="C2:E2"/>
    <mergeCell ref="F2:H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6F383-C988-44E2-A54E-D867201FCFC2}">
  <dimension ref="A1:AX75"/>
  <sheetViews>
    <sheetView workbookViewId="0">
      <selection activeCell="F22" sqref="F22"/>
    </sheetView>
  </sheetViews>
  <sheetFormatPr defaultColWidth="8.85546875" defaultRowHeight="14.45"/>
  <cols>
    <col min="6" max="6" width="68.28515625" bestFit="1" customWidth="1"/>
    <col min="7" max="8" width="15" bestFit="1" customWidth="1"/>
    <col min="10" max="10" width="15" bestFit="1" customWidth="1"/>
    <col min="12" max="12" width="15" bestFit="1" customWidth="1"/>
    <col min="14" max="14" width="15" bestFit="1" customWidth="1"/>
    <col min="16" max="16" width="15" bestFit="1" customWidth="1"/>
    <col min="26" max="26" width="68.28515625" bestFit="1" customWidth="1"/>
    <col min="27" max="28" width="13.5703125" bestFit="1" customWidth="1"/>
    <col min="30" max="30" width="13.5703125" bestFit="1" customWidth="1"/>
    <col min="32" max="32" width="13.5703125" bestFit="1" customWidth="1"/>
    <col min="34" max="34" width="13.5703125" bestFit="1" customWidth="1"/>
    <col min="36" max="36" width="13.5703125" bestFit="1" customWidth="1"/>
    <col min="38" max="38" width="13.5703125" bestFit="1" customWidth="1"/>
    <col min="40" max="40" width="13.5703125" bestFit="1" customWidth="1"/>
    <col min="42" max="42" width="13.5703125" bestFit="1" customWidth="1"/>
    <col min="44" max="44" width="15" bestFit="1" customWidth="1"/>
    <col min="46" max="46" width="13.5703125" bestFit="1" customWidth="1"/>
    <col min="48" max="48" width="13.7109375" bestFit="1" customWidth="1"/>
  </cols>
  <sheetData>
    <row r="1" spans="1:50">
      <c r="A1" t="s">
        <v>381</v>
      </c>
      <c r="B1" t="s">
        <v>382</v>
      </c>
      <c r="C1" t="s">
        <v>383</v>
      </c>
      <c r="D1" t="s">
        <v>384</v>
      </c>
      <c r="E1" t="s">
        <v>385</v>
      </c>
      <c r="F1" t="s">
        <v>386</v>
      </c>
      <c r="G1" t="s">
        <v>387</v>
      </c>
      <c r="H1" t="s">
        <v>388</v>
      </c>
      <c r="I1" t="s">
        <v>389</v>
      </c>
      <c r="J1" t="s">
        <v>390</v>
      </c>
      <c r="K1" t="s">
        <v>389</v>
      </c>
      <c r="L1" t="s">
        <v>391</v>
      </c>
      <c r="M1" t="s">
        <v>389</v>
      </c>
      <c r="N1" t="s">
        <v>392</v>
      </c>
      <c r="O1" t="s">
        <v>389</v>
      </c>
      <c r="P1" t="s">
        <v>393</v>
      </c>
      <c r="Q1" t="s">
        <v>389</v>
      </c>
      <c r="R1" t="s">
        <v>394</v>
      </c>
      <c r="U1" t="s">
        <v>381</v>
      </c>
      <c r="V1" t="s">
        <v>382</v>
      </c>
      <c r="W1" t="s">
        <v>383</v>
      </c>
      <c r="X1" t="s">
        <v>384</v>
      </c>
      <c r="Y1" t="s">
        <v>385</v>
      </c>
      <c r="Z1" t="s">
        <v>386</v>
      </c>
      <c r="AA1" t="s">
        <v>395</v>
      </c>
      <c r="AB1" t="s">
        <v>396</v>
      </c>
      <c r="AC1" t="s">
        <v>389</v>
      </c>
      <c r="AD1" t="s">
        <v>397</v>
      </c>
      <c r="AE1" t="s">
        <v>389</v>
      </c>
      <c r="AF1" t="s">
        <v>398</v>
      </c>
      <c r="AG1" t="s">
        <v>389</v>
      </c>
      <c r="AH1" t="s">
        <v>399</v>
      </c>
      <c r="AI1" t="s">
        <v>389</v>
      </c>
      <c r="AJ1" t="s">
        <v>400</v>
      </c>
      <c r="AK1" t="s">
        <v>389</v>
      </c>
      <c r="AL1" t="s">
        <v>401</v>
      </c>
      <c r="AM1" t="s">
        <v>389</v>
      </c>
      <c r="AN1" t="s">
        <v>402</v>
      </c>
      <c r="AO1" t="s">
        <v>389</v>
      </c>
      <c r="AP1" t="s">
        <v>403</v>
      </c>
      <c r="AQ1" t="s">
        <v>389</v>
      </c>
      <c r="AR1" t="s">
        <v>404</v>
      </c>
      <c r="AS1" t="s">
        <v>389</v>
      </c>
      <c r="AT1" t="s">
        <v>405</v>
      </c>
      <c r="AU1" t="s">
        <v>389</v>
      </c>
      <c r="AV1" t="s">
        <v>406</v>
      </c>
      <c r="AW1" t="s">
        <v>389</v>
      </c>
      <c r="AX1" t="s">
        <v>394</v>
      </c>
    </row>
    <row r="2" spans="1:50">
      <c r="A2" t="s">
        <v>407</v>
      </c>
      <c r="B2">
        <v>0</v>
      </c>
      <c r="C2" t="s">
        <v>408</v>
      </c>
      <c r="D2" t="s">
        <v>408</v>
      </c>
      <c r="F2" t="s">
        <v>409</v>
      </c>
      <c r="G2" s="159">
        <v>44233107.07</v>
      </c>
      <c r="H2" s="159">
        <v>44253476.770000003</v>
      </c>
      <c r="I2" s="121">
        <v>5.0000000000000001E-4</v>
      </c>
      <c r="J2" s="159">
        <v>44431749.43</v>
      </c>
      <c r="K2" s="121">
        <v>4.4999999999999997E-3</v>
      </c>
      <c r="L2" s="159">
        <v>44537072.299999997</v>
      </c>
      <c r="M2" s="121">
        <v>6.8999999999999999E-3</v>
      </c>
      <c r="N2" s="159">
        <v>44135559.579999998</v>
      </c>
      <c r="O2" s="121">
        <v>-2.2000000000000001E-3</v>
      </c>
      <c r="P2" s="159">
        <v>44141201.890000001</v>
      </c>
      <c r="Q2" s="121">
        <v>-2.0999999999999999E-3</v>
      </c>
      <c r="R2" t="s">
        <v>410</v>
      </c>
      <c r="U2" t="s">
        <v>407</v>
      </c>
      <c r="V2">
        <v>0</v>
      </c>
      <c r="W2" t="s">
        <v>408</v>
      </c>
      <c r="X2" t="s">
        <v>408</v>
      </c>
      <c r="Z2" t="s">
        <v>409</v>
      </c>
      <c r="AA2" s="159">
        <v>15243304.689999999</v>
      </c>
      <c r="AB2" s="159">
        <v>15279867.91</v>
      </c>
      <c r="AC2" s="121">
        <v>2.3999999999999998E-3</v>
      </c>
      <c r="AD2" s="159">
        <v>15576011.07</v>
      </c>
      <c r="AE2" s="121">
        <v>2.18E-2</v>
      </c>
      <c r="AF2" s="159">
        <v>15759500.52</v>
      </c>
      <c r="AG2" s="121">
        <v>3.39E-2</v>
      </c>
      <c r="AH2" s="159">
        <v>15090061.07</v>
      </c>
      <c r="AI2" s="121">
        <v>-1.01E-2</v>
      </c>
      <c r="AJ2" s="159">
        <v>15100924.390000001</v>
      </c>
      <c r="AK2" s="121">
        <v>-9.2999999999999992E-3</v>
      </c>
      <c r="AL2" s="159">
        <v>20651650.300000001</v>
      </c>
      <c r="AM2" s="121">
        <v>0.3548</v>
      </c>
      <c r="AN2" s="159">
        <v>21674225.719999999</v>
      </c>
      <c r="AO2" s="121">
        <v>0.4219</v>
      </c>
      <c r="AP2" s="159">
        <v>28689002.52</v>
      </c>
      <c r="AQ2" s="121">
        <v>0.8821</v>
      </c>
      <c r="AR2" s="159">
        <v>33626170.25</v>
      </c>
      <c r="AS2" s="121">
        <v>1.206</v>
      </c>
      <c r="AT2" s="159">
        <v>17102549.370000001</v>
      </c>
      <c r="AU2" s="121">
        <v>0.122</v>
      </c>
      <c r="AV2" s="159">
        <v>17448878.710000001</v>
      </c>
      <c r="AW2" s="121">
        <v>0.1447</v>
      </c>
      <c r="AX2" t="s">
        <v>410</v>
      </c>
    </row>
    <row r="3" spans="1:50">
      <c r="A3" t="s">
        <v>407</v>
      </c>
      <c r="B3">
        <v>0</v>
      </c>
      <c r="C3" t="s">
        <v>408</v>
      </c>
      <c r="D3" t="s">
        <v>408</v>
      </c>
      <c r="F3" t="s">
        <v>411</v>
      </c>
      <c r="G3" s="159">
        <v>2516387.8399999999</v>
      </c>
      <c r="H3" s="159">
        <v>2516517.17</v>
      </c>
      <c r="I3" s="121">
        <v>1E-4</v>
      </c>
      <c r="J3" s="159">
        <v>2517934.4</v>
      </c>
      <c r="K3" s="121">
        <v>5.9999999999999995E-4</v>
      </c>
      <c r="L3" s="159">
        <v>2518677.66</v>
      </c>
      <c r="M3" s="121">
        <v>8.9999999999999998E-4</v>
      </c>
      <c r="N3" s="159">
        <v>2515628.35</v>
      </c>
      <c r="O3" s="121">
        <v>-2.9999999999999997E-4</v>
      </c>
      <c r="P3" s="159">
        <v>2515662.13</v>
      </c>
      <c r="Q3" s="121">
        <v>-2.9999999999999997E-4</v>
      </c>
      <c r="R3" t="s">
        <v>410</v>
      </c>
      <c r="U3" t="s">
        <v>407</v>
      </c>
      <c r="V3">
        <v>0</v>
      </c>
      <c r="W3" t="s">
        <v>408</v>
      </c>
      <c r="X3" t="s">
        <v>408</v>
      </c>
      <c r="Z3" t="s">
        <v>411</v>
      </c>
      <c r="AA3" s="159">
        <v>760103.21</v>
      </c>
      <c r="AB3" s="159">
        <v>761036.72</v>
      </c>
      <c r="AC3" s="121">
        <v>1.1999999999999999E-3</v>
      </c>
      <c r="AD3" s="159">
        <v>770334.79</v>
      </c>
      <c r="AE3" s="121">
        <v>1.35E-2</v>
      </c>
      <c r="AF3" s="159">
        <v>775462.28</v>
      </c>
      <c r="AG3" s="121">
        <v>2.0199999999999999E-2</v>
      </c>
      <c r="AH3" s="159">
        <v>755392.66</v>
      </c>
      <c r="AI3" s="121">
        <v>-6.1999999999999998E-3</v>
      </c>
      <c r="AJ3" s="159">
        <v>755654.32</v>
      </c>
      <c r="AK3" s="121">
        <v>-5.8999999999999999E-3</v>
      </c>
      <c r="AL3" s="159">
        <v>1988398.41</v>
      </c>
      <c r="AM3" s="121">
        <v>1.6160000000000001</v>
      </c>
      <c r="AN3" s="159">
        <v>2262004.33</v>
      </c>
      <c r="AO3" s="121">
        <v>1.9759</v>
      </c>
      <c r="AP3" s="159">
        <v>3745476.39</v>
      </c>
      <c r="AQ3" s="121">
        <v>3.9276</v>
      </c>
      <c r="AR3" s="159">
        <v>4964789.68</v>
      </c>
      <c r="AS3" s="121">
        <v>5.5316999999999998</v>
      </c>
      <c r="AT3" s="159">
        <v>1212257.8799999999</v>
      </c>
      <c r="AU3" s="121">
        <v>0.59489999999999998</v>
      </c>
      <c r="AV3" s="159">
        <v>1306144.74</v>
      </c>
      <c r="AW3" s="121">
        <v>0.71840000000000004</v>
      </c>
      <c r="AX3" t="s">
        <v>410</v>
      </c>
    </row>
    <row r="4" spans="1:50">
      <c r="A4" t="s">
        <v>407</v>
      </c>
      <c r="B4">
        <v>0</v>
      </c>
      <c r="C4" t="s">
        <v>408</v>
      </c>
      <c r="D4" t="s">
        <v>408</v>
      </c>
      <c r="F4" t="s">
        <v>412</v>
      </c>
      <c r="G4" s="159">
        <v>1176.55</v>
      </c>
      <c r="H4" s="159">
        <v>1176.8399999999999</v>
      </c>
      <c r="I4" s="121">
        <v>2.0000000000000001E-4</v>
      </c>
      <c r="J4" s="159">
        <v>1178.7</v>
      </c>
      <c r="K4" s="121">
        <v>1.8E-3</v>
      </c>
      <c r="L4" s="159">
        <v>1179.8800000000001</v>
      </c>
      <c r="M4" s="121">
        <v>2.8E-3</v>
      </c>
      <c r="N4" s="159">
        <v>1176.4000000000001</v>
      </c>
      <c r="O4" s="121">
        <v>-1E-4</v>
      </c>
      <c r="P4" s="159">
        <v>1176.52</v>
      </c>
      <c r="Q4" s="121">
        <v>0</v>
      </c>
      <c r="R4" t="s">
        <v>413</v>
      </c>
      <c r="U4" t="s">
        <v>407</v>
      </c>
      <c r="V4">
        <v>0</v>
      </c>
      <c r="W4" t="s">
        <v>408</v>
      </c>
      <c r="X4" t="s">
        <v>408</v>
      </c>
      <c r="Z4" t="s">
        <v>412</v>
      </c>
      <c r="AA4" s="159">
        <v>1033.24</v>
      </c>
      <c r="AB4" s="159">
        <v>1034.8699999999999</v>
      </c>
      <c r="AC4" s="121">
        <v>1.6000000000000001E-3</v>
      </c>
      <c r="AD4" s="159">
        <v>1043.99</v>
      </c>
      <c r="AE4" s="121">
        <v>1.04E-2</v>
      </c>
      <c r="AF4" s="159">
        <v>1050.5</v>
      </c>
      <c r="AG4" s="121">
        <v>1.67E-2</v>
      </c>
      <c r="AH4" s="159">
        <v>1032.73</v>
      </c>
      <c r="AI4" s="121">
        <v>-5.0000000000000001E-4</v>
      </c>
      <c r="AJ4" s="159">
        <v>1033.43</v>
      </c>
      <c r="AK4" s="121">
        <v>2.0000000000000001E-4</v>
      </c>
      <c r="AL4" s="159">
        <v>1161.24</v>
      </c>
      <c r="AM4" s="121">
        <v>0.1239</v>
      </c>
      <c r="AN4" s="159">
        <v>1203.8399999999999</v>
      </c>
      <c r="AO4" s="121">
        <v>0.1651</v>
      </c>
      <c r="AP4" s="159">
        <v>1393.95</v>
      </c>
      <c r="AQ4" s="121">
        <v>0.34910000000000002</v>
      </c>
      <c r="AR4" s="159">
        <v>1516.86</v>
      </c>
      <c r="AS4" s="121">
        <v>0.46810000000000002</v>
      </c>
      <c r="AT4" s="159">
        <v>1133.08</v>
      </c>
      <c r="AU4" s="121">
        <v>9.6600000000000005E-2</v>
      </c>
      <c r="AV4" s="159">
        <v>1156.8800000000001</v>
      </c>
      <c r="AW4" s="121">
        <v>0.1197</v>
      </c>
      <c r="AX4" t="s">
        <v>413</v>
      </c>
    </row>
    <row r="5" spans="1:50">
      <c r="A5" t="s">
        <v>407</v>
      </c>
      <c r="B5">
        <v>0</v>
      </c>
      <c r="C5" t="s">
        <v>408</v>
      </c>
      <c r="D5" t="s">
        <v>408</v>
      </c>
      <c r="F5" t="s">
        <v>414</v>
      </c>
      <c r="G5" s="159">
        <v>4120928.57</v>
      </c>
      <c r="H5" s="159">
        <v>4144697.66</v>
      </c>
      <c r="I5" s="121">
        <v>5.7999999999999996E-3</v>
      </c>
      <c r="J5" s="159">
        <v>4219016.6500000004</v>
      </c>
      <c r="K5" s="121">
        <v>2.3800000000000002E-2</v>
      </c>
      <c r="L5" s="159">
        <v>4316741.72</v>
      </c>
      <c r="M5" s="121">
        <v>4.7500000000000001E-2</v>
      </c>
      <c r="N5" s="159">
        <v>4107238.31</v>
      </c>
      <c r="O5" s="121">
        <v>-3.3E-3</v>
      </c>
      <c r="P5" s="159">
        <v>4119213.82</v>
      </c>
      <c r="Q5" s="121">
        <v>-4.0000000000000002E-4</v>
      </c>
      <c r="R5" t="s">
        <v>415</v>
      </c>
      <c r="U5" t="s">
        <v>407</v>
      </c>
      <c r="V5">
        <v>0</v>
      </c>
      <c r="W5" t="s">
        <v>408</v>
      </c>
      <c r="X5" t="s">
        <v>408</v>
      </c>
      <c r="Z5" t="s">
        <v>414</v>
      </c>
      <c r="AA5" s="159">
        <v>697550.51</v>
      </c>
      <c r="AB5" s="159">
        <v>759793.33</v>
      </c>
      <c r="AC5" s="121">
        <v>8.9200000000000002E-2</v>
      </c>
      <c r="AD5" s="159">
        <v>954407.9</v>
      </c>
      <c r="AE5" s="121">
        <v>0.36820000000000003</v>
      </c>
      <c r="AF5" s="159">
        <v>1210314.33</v>
      </c>
      <c r="AG5" s="121">
        <v>0.73509999999999998</v>
      </c>
      <c r="AH5" s="159">
        <v>661700.56999999995</v>
      </c>
      <c r="AI5" s="121">
        <v>-5.1400000000000001E-2</v>
      </c>
      <c r="AJ5" s="159">
        <v>693060.69</v>
      </c>
      <c r="AK5" s="121">
        <v>-6.4000000000000003E-3</v>
      </c>
      <c r="AL5" s="159">
        <v>3435865.4</v>
      </c>
      <c r="AM5" s="121">
        <v>3.9256000000000002</v>
      </c>
      <c r="AN5" s="159">
        <v>4961845.0599999996</v>
      </c>
      <c r="AO5" s="121">
        <v>6.1132</v>
      </c>
      <c r="AP5" s="159">
        <v>9733127.0399999991</v>
      </c>
      <c r="AQ5" s="121">
        <v>12.9533</v>
      </c>
      <c r="AR5" s="159">
        <v>16007046.550000001</v>
      </c>
      <c r="AS5" s="121">
        <v>21.947500000000002</v>
      </c>
      <c r="AT5" s="159">
        <v>2556929.85</v>
      </c>
      <c r="AU5" s="121">
        <v>2.6656</v>
      </c>
      <c r="AV5" s="159">
        <v>3325789.95</v>
      </c>
      <c r="AW5" s="121">
        <v>3.7677999999999998</v>
      </c>
      <c r="AX5" t="s">
        <v>415</v>
      </c>
    </row>
    <row r="6" spans="1:50">
      <c r="A6" t="s">
        <v>407</v>
      </c>
      <c r="B6">
        <v>0</v>
      </c>
      <c r="C6" t="s">
        <v>408</v>
      </c>
      <c r="D6" t="s">
        <v>408</v>
      </c>
      <c r="F6" t="s">
        <v>416</v>
      </c>
      <c r="G6" s="159">
        <v>1438127.36</v>
      </c>
      <c r="H6" s="159">
        <v>1438606.95</v>
      </c>
      <c r="I6" s="121">
        <v>2.9999999999999997E-4</v>
      </c>
      <c r="J6" s="159">
        <v>1443422.2</v>
      </c>
      <c r="K6" s="121">
        <v>3.7000000000000002E-3</v>
      </c>
      <c r="L6" s="159">
        <v>1445541.1</v>
      </c>
      <c r="M6" s="121">
        <v>5.1999999999999998E-3</v>
      </c>
      <c r="N6" s="159">
        <v>1435967.99</v>
      </c>
      <c r="O6" s="121">
        <v>-1.5E-3</v>
      </c>
      <c r="P6" s="159">
        <v>1435999.04</v>
      </c>
      <c r="Q6" s="121">
        <v>-1.5E-3</v>
      </c>
      <c r="R6" t="s">
        <v>415</v>
      </c>
      <c r="U6" t="s">
        <v>407</v>
      </c>
      <c r="V6">
        <v>0</v>
      </c>
      <c r="W6" t="s">
        <v>408</v>
      </c>
      <c r="X6" t="s">
        <v>408</v>
      </c>
      <c r="Z6" t="s">
        <v>416</v>
      </c>
      <c r="AA6" s="159">
        <v>427698.9</v>
      </c>
      <c r="AB6" s="159">
        <v>429350.39</v>
      </c>
      <c r="AC6" s="121">
        <v>3.8999999999999998E-3</v>
      </c>
      <c r="AD6" s="159">
        <v>445931.55</v>
      </c>
      <c r="AE6" s="121">
        <v>4.2599999999999999E-2</v>
      </c>
      <c r="AF6" s="159">
        <v>453227.89</v>
      </c>
      <c r="AG6" s="121">
        <v>5.9700000000000003E-2</v>
      </c>
      <c r="AH6" s="159">
        <v>420353.11</v>
      </c>
      <c r="AI6" s="121">
        <v>-1.72E-2</v>
      </c>
      <c r="AJ6" s="159">
        <v>420462.64</v>
      </c>
      <c r="AK6" s="121">
        <v>-1.6899999999999998E-2</v>
      </c>
      <c r="AL6" s="159">
        <v>689312.12</v>
      </c>
      <c r="AM6" s="121">
        <v>0.61170000000000002</v>
      </c>
      <c r="AN6" s="159">
        <v>729801.01</v>
      </c>
      <c r="AO6" s="121">
        <v>0.70630000000000004</v>
      </c>
      <c r="AP6" s="159">
        <v>1136314.17</v>
      </c>
      <c r="AQ6" s="121">
        <v>1.6568000000000001</v>
      </c>
      <c r="AR6" s="159">
        <v>1315193.5900000001</v>
      </c>
      <c r="AS6" s="121">
        <v>2.0750000000000002</v>
      </c>
      <c r="AT6" s="159">
        <v>502405.62</v>
      </c>
      <c r="AU6" s="121">
        <v>0.17469999999999999</v>
      </c>
      <c r="AV6" s="159">
        <v>507526.98</v>
      </c>
      <c r="AW6" s="121">
        <v>0.18659999999999999</v>
      </c>
      <c r="AX6" t="s">
        <v>415</v>
      </c>
    </row>
    <row r="7" spans="1:50">
      <c r="A7" t="s">
        <v>407</v>
      </c>
      <c r="B7">
        <v>0</v>
      </c>
      <c r="C7" t="s">
        <v>408</v>
      </c>
      <c r="D7" t="s">
        <v>408</v>
      </c>
      <c r="F7" t="s">
        <v>417</v>
      </c>
      <c r="G7" s="159">
        <v>63674388.420000002</v>
      </c>
      <c r="H7" s="159">
        <v>63674990.93</v>
      </c>
      <c r="I7" s="121">
        <v>0</v>
      </c>
      <c r="J7" s="159">
        <v>63691090.850000001</v>
      </c>
      <c r="K7" s="121">
        <v>2.9999999999999997E-4</v>
      </c>
      <c r="L7" s="159">
        <v>63698278.969999999</v>
      </c>
      <c r="M7" s="121">
        <v>4.0000000000000002E-4</v>
      </c>
      <c r="N7" s="159">
        <v>63666069.689999998</v>
      </c>
      <c r="O7" s="121">
        <v>-1E-4</v>
      </c>
      <c r="P7" s="159">
        <v>63666182.740000002</v>
      </c>
      <c r="Q7" s="121">
        <v>-1E-4</v>
      </c>
      <c r="R7" t="s">
        <v>415</v>
      </c>
      <c r="U7" t="s">
        <v>407</v>
      </c>
      <c r="V7">
        <v>0</v>
      </c>
      <c r="W7" t="s">
        <v>408</v>
      </c>
      <c r="X7" t="s">
        <v>408</v>
      </c>
      <c r="Z7" t="s">
        <v>417</v>
      </c>
      <c r="AA7" s="159">
        <v>12065108.470000001</v>
      </c>
      <c r="AB7" s="159">
        <v>12081139.390000001</v>
      </c>
      <c r="AC7" s="121">
        <v>1.2999999999999999E-3</v>
      </c>
      <c r="AD7" s="159">
        <v>12244460.289999999</v>
      </c>
      <c r="AE7" s="121">
        <v>1.49E-2</v>
      </c>
      <c r="AF7" s="159">
        <v>12337906.09</v>
      </c>
      <c r="AG7" s="121">
        <v>2.2599999999999999E-2</v>
      </c>
      <c r="AH7" s="159">
        <v>11981074</v>
      </c>
      <c r="AI7" s="121">
        <v>-7.0000000000000001E-3</v>
      </c>
      <c r="AJ7" s="159">
        <v>11985647.310000001</v>
      </c>
      <c r="AK7" s="121">
        <v>-6.6E-3</v>
      </c>
      <c r="AL7" s="159">
        <v>23421628.09</v>
      </c>
      <c r="AM7" s="121">
        <v>0.94130000000000003</v>
      </c>
      <c r="AN7" s="159">
        <v>25639176.949999999</v>
      </c>
      <c r="AO7" s="121">
        <v>1.1251</v>
      </c>
      <c r="AP7" s="159">
        <v>39875018.770000003</v>
      </c>
      <c r="AQ7" s="121">
        <v>2.3050000000000002</v>
      </c>
      <c r="AR7" s="159">
        <v>50261287.539999999</v>
      </c>
      <c r="AS7" s="121">
        <v>3.1657999999999999</v>
      </c>
      <c r="AT7" s="159">
        <v>16297787.359999999</v>
      </c>
      <c r="AU7" s="121">
        <v>0.3508</v>
      </c>
      <c r="AV7" s="159">
        <v>17058695.75</v>
      </c>
      <c r="AW7" s="121">
        <v>0.41389999999999999</v>
      </c>
      <c r="AX7" t="s">
        <v>415</v>
      </c>
    </row>
    <row r="8" spans="1:50">
      <c r="A8" t="s">
        <v>407</v>
      </c>
      <c r="B8">
        <v>0</v>
      </c>
      <c r="C8" t="s">
        <v>408</v>
      </c>
      <c r="D8" t="s">
        <v>408</v>
      </c>
      <c r="F8" t="s">
        <v>418</v>
      </c>
      <c r="G8" s="159">
        <v>1002624.08</v>
      </c>
      <c r="H8" s="159">
        <v>1002632.48</v>
      </c>
      <c r="I8" s="121">
        <v>0</v>
      </c>
      <c r="J8" s="159">
        <v>1002857.07</v>
      </c>
      <c r="K8" s="121">
        <v>2.0000000000000001E-4</v>
      </c>
      <c r="L8" s="159">
        <v>1002957.32</v>
      </c>
      <c r="M8" s="121">
        <v>2.9999999999999997E-4</v>
      </c>
      <c r="N8" s="159">
        <v>1002508.04</v>
      </c>
      <c r="O8" s="121">
        <v>-1E-4</v>
      </c>
      <c r="P8" s="159">
        <v>1002509.62</v>
      </c>
      <c r="Q8" s="121">
        <v>-1E-4</v>
      </c>
      <c r="R8" t="s">
        <v>415</v>
      </c>
      <c r="U8" t="s">
        <v>407</v>
      </c>
      <c r="V8">
        <v>0</v>
      </c>
      <c r="W8" t="s">
        <v>408</v>
      </c>
      <c r="X8" t="s">
        <v>408</v>
      </c>
      <c r="Z8" t="s">
        <v>418</v>
      </c>
      <c r="AA8" s="159">
        <v>216836.27</v>
      </c>
      <c r="AB8" s="159">
        <v>216870.49</v>
      </c>
      <c r="AC8" s="121">
        <v>2.0000000000000001E-4</v>
      </c>
      <c r="AD8" s="159">
        <v>217732.49</v>
      </c>
      <c r="AE8" s="121">
        <v>4.1000000000000003E-3</v>
      </c>
      <c r="AF8" s="159">
        <v>218116.83</v>
      </c>
      <c r="AG8" s="121">
        <v>5.8999999999999999E-3</v>
      </c>
      <c r="AH8" s="159">
        <v>216371.41</v>
      </c>
      <c r="AI8" s="121">
        <v>-2.0999999999999999E-3</v>
      </c>
      <c r="AJ8" s="159">
        <v>216376.78</v>
      </c>
      <c r="AK8" s="121">
        <v>-2.0999999999999999E-3</v>
      </c>
      <c r="AL8" s="159">
        <v>231729.2</v>
      </c>
      <c r="AM8" s="121">
        <v>6.8699999999999997E-2</v>
      </c>
      <c r="AN8" s="159">
        <v>232556.32</v>
      </c>
      <c r="AO8" s="121">
        <v>7.2499999999999995E-2</v>
      </c>
      <c r="AP8" s="159">
        <v>253182.07999999999</v>
      </c>
      <c r="AQ8" s="121">
        <v>0.1676</v>
      </c>
      <c r="AR8" s="159">
        <v>262376.83</v>
      </c>
      <c r="AS8" s="121">
        <v>0.21</v>
      </c>
      <c r="AT8" s="159">
        <v>220707.82</v>
      </c>
      <c r="AU8" s="121">
        <v>1.7899999999999999E-2</v>
      </c>
      <c r="AV8" s="159">
        <v>220901.59</v>
      </c>
      <c r="AW8" s="121">
        <v>1.8700000000000001E-2</v>
      </c>
      <c r="AX8" t="s">
        <v>415</v>
      </c>
    </row>
    <row r="9" spans="1:50">
      <c r="A9" t="s">
        <v>407</v>
      </c>
      <c r="B9">
        <v>0</v>
      </c>
      <c r="C9" t="s">
        <v>408</v>
      </c>
      <c r="D9" t="s">
        <v>408</v>
      </c>
      <c r="F9" t="s">
        <v>419</v>
      </c>
      <c r="G9" s="159">
        <v>4221698.7699999996</v>
      </c>
      <c r="H9" s="159">
        <v>4221709.37</v>
      </c>
      <c r="I9" s="121">
        <v>0</v>
      </c>
      <c r="J9" s="159">
        <v>4221992.8099999996</v>
      </c>
      <c r="K9" s="121">
        <v>1E-4</v>
      </c>
      <c r="L9" s="159">
        <v>4222119.34</v>
      </c>
      <c r="M9" s="121">
        <v>1E-4</v>
      </c>
      <c r="N9" s="159">
        <v>4221552.32</v>
      </c>
      <c r="O9" s="121">
        <v>0</v>
      </c>
      <c r="P9" s="159">
        <v>4221554.3099999996</v>
      </c>
      <c r="Q9" s="121">
        <v>0</v>
      </c>
      <c r="R9" t="s">
        <v>415</v>
      </c>
      <c r="U9" t="s">
        <v>407</v>
      </c>
      <c r="V9">
        <v>0</v>
      </c>
      <c r="W9" t="s">
        <v>408</v>
      </c>
      <c r="X9" t="s">
        <v>408</v>
      </c>
      <c r="Z9" t="s">
        <v>419</v>
      </c>
      <c r="AA9" s="159">
        <v>569382.23</v>
      </c>
      <c r="AB9" s="159">
        <v>569641.63</v>
      </c>
      <c r="AC9" s="121">
        <v>5.0000000000000001E-4</v>
      </c>
      <c r="AD9" s="159">
        <v>576174.88</v>
      </c>
      <c r="AE9" s="121">
        <v>1.1900000000000001E-2</v>
      </c>
      <c r="AF9" s="159">
        <v>579087.94999999995</v>
      </c>
      <c r="AG9" s="121">
        <v>1.7000000000000001E-2</v>
      </c>
      <c r="AH9" s="159">
        <v>565858.98</v>
      </c>
      <c r="AI9" s="121">
        <v>-6.1999999999999998E-3</v>
      </c>
      <c r="AJ9" s="159">
        <v>565899.72</v>
      </c>
      <c r="AK9" s="121">
        <v>-6.1000000000000004E-3</v>
      </c>
      <c r="AL9" s="159">
        <v>682259.11</v>
      </c>
      <c r="AM9" s="121">
        <v>0.19819999999999999</v>
      </c>
      <c r="AN9" s="159">
        <v>688528.06</v>
      </c>
      <c r="AO9" s="121">
        <v>0.20930000000000001</v>
      </c>
      <c r="AP9" s="159">
        <v>844855.29</v>
      </c>
      <c r="AQ9" s="121">
        <v>0.48380000000000001</v>
      </c>
      <c r="AR9" s="159">
        <v>914544.4</v>
      </c>
      <c r="AS9" s="121">
        <v>0.60619999999999996</v>
      </c>
      <c r="AT9" s="159">
        <v>598725.61</v>
      </c>
      <c r="AU9" s="121">
        <v>5.1499999999999997E-2</v>
      </c>
      <c r="AV9" s="159">
        <v>600194.19999999995</v>
      </c>
      <c r="AW9" s="121">
        <v>5.4100000000000002E-2</v>
      </c>
      <c r="AX9" t="s">
        <v>415</v>
      </c>
    </row>
    <row r="10" spans="1:50">
      <c r="A10" t="s">
        <v>407</v>
      </c>
      <c r="B10">
        <v>0</v>
      </c>
      <c r="C10" t="s">
        <v>408</v>
      </c>
      <c r="D10" t="s">
        <v>408</v>
      </c>
      <c r="F10" t="s">
        <v>420</v>
      </c>
      <c r="G10" s="159">
        <v>208619.06</v>
      </c>
      <c r="H10" s="159">
        <v>208722.56</v>
      </c>
      <c r="I10" s="121">
        <v>5.0000000000000001E-4</v>
      </c>
      <c r="J10" s="159">
        <v>209581</v>
      </c>
      <c r="K10" s="121">
        <v>4.5999999999999999E-3</v>
      </c>
      <c r="L10" s="159">
        <v>210103.11</v>
      </c>
      <c r="M10" s="121">
        <v>7.1000000000000004E-3</v>
      </c>
      <c r="N10" s="159">
        <v>208146.37</v>
      </c>
      <c r="O10" s="121">
        <v>-2.3E-3</v>
      </c>
      <c r="P10" s="159">
        <v>208175.34</v>
      </c>
      <c r="Q10" s="121">
        <v>-2.0999999999999999E-3</v>
      </c>
      <c r="R10" t="s">
        <v>421</v>
      </c>
      <c r="U10" t="s">
        <v>407</v>
      </c>
      <c r="V10">
        <v>0</v>
      </c>
      <c r="W10" t="s">
        <v>408</v>
      </c>
      <c r="X10" t="s">
        <v>408</v>
      </c>
      <c r="Z10" t="s">
        <v>420</v>
      </c>
      <c r="AA10" s="159">
        <v>67410.03</v>
      </c>
      <c r="AB10" s="159">
        <v>67597.11</v>
      </c>
      <c r="AC10" s="121">
        <v>2.8E-3</v>
      </c>
      <c r="AD10" s="159">
        <v>69065.86</v>
      </c>
      <c r="AE10" s="121">
        <v>2.46E-2</v>
      </c>
      <c r="AF10" s="159">
        <v>69992.740000000005</v>
      </c>
      <c r="AG10" s="121">
        <v>3.8300000000000001E-2</v>
      </c>
      <c r="AH10" s="159">
        <v>66647.399999999994</v>
      </c>
      <c r="AI10" s="121">
        <v>-1.1299999999999999E-2</v>
      </c>
      <c r="AJ10" s="159">
        <v>66703.399999999994</v>
      </c>
      <c r="AK10" s="121">
        <v>-1.0500000000000001E-2</v>
      </c>
      <c r="AL10" s="159">
        <v>104765.23</v>
      </c>
      <c r="AM10" s="121">
        <v>0.55410000000000004</v>
      </c>
      <c r="AN10" s="159">
        <v>112108.4</v>
      </c>
      <c r="AO10" s="121">
        <v>0.66310000000000002</v>
      </c>
      <c r="AP10" s="159">
        <v>159708.41</v>
      </c>
      <c r="AQ10" s="121">
        <v>1.3692</v>
      </c>
      <c r="AR10" s="159">
        <v>194239.01</v>
      </c>
      <c r="AS10" s="121">
        <v>1.8815</v>
      </c>
      <c r="AT10" s="159">
        <v>80742.13</v>
      </c>
      <c r="AU10" s="121">
        <v>0.1978</v>
      </c>
      <c r="AV10" s="159">
        <v>83245.08</v>
      </c>
      <c r="AW10" s="121">
        <v>0.2349</v>
      </c>
      <c r="AX10" t="s">
        <v>421</v>
      </c>
    </row>
    <row r="11" spans="1:50">
      <c r="A11" t="s">
        <v>407</v>
      </c>
      <c r="B11">
        <v>0</v>
      </c>
      <c r="C11" t="s">
        <v>408</v>
      </c>
      <c r="D11" t="s">
        <v>408</v>
      </c>
      <c r="F11" t="s">
        <v>422</v>
      </c>
      <c r="G11" s="159">
        <v>691684.79</v>
      </c>
      <c r="H11" s="159">
        <v>693585.07</v>
      </c>
      <c r="I11" s="121">
        <v>2.7000000000000001E-3</v>
      </c>
      <c r="J11" s="159">
        <v>699744.63</v>
      </c>
      <c r="K11" s="121">
        <v>1.17E-2</v>
      </c>
      <c r="L11" s="159">
        <v>706606.3</v>
      </c>
      <c r="M11" s="121">
        <v>2.1600000000000001E-2</v>
      </c>
      <c r="N11" s="159">
        <v>687159.26</v>
      </c>
      <c r="O11" s="121">
        <v>-6.4999999999999997E-3</v>
      </c>
      <c r="P11" s="159">
        <v>687687.66</v>
      </c>
      <c r="Q11" s="121">
        <v>-5.7999999999999996E-3</v>
      </c>
      <c r="R11" t="s">
        <v>421</v>
      </c>
      <c r="U11" t="s">
        <v>407</v>
      </c>
      <c r="V11">
        <v>0</v>
      </c>
      <c r="W11" t="s">
        <v>408</v>
      </c>
      <c r="X11" t="s">
        <v>408</v>
      </c>
      <c r="Z11" t="s">
        <v>422</v>
      </c>
      <c r="AA11" s="159">
        <v>227270.28</v>
      </c>
      <c r="AB11" s="159">
        <v>230510.67</v>
      </c>
      <c r="AC11" s="121">
        <v>1.43E-2</v>
      </c>
      <c r="AD11" s="159">
        <v>240480.18</v>
      </c>
      <c r="AE11" s="121">
        <v>5.8099999999999999E-2</v>
      </c>
      <c r="AF11" s="159">
        <v>252187.25</v>
      </c>
      <c r="AG11" s="121">
        <v>0.1096</v>
      </c>
      <c r="AH11" s="159">
        <v>220296</v>
      </c>
      <c r="AI11" s="121">
        <v>-3.0700000000000002E-2</v>
      </c>
      <c r="AJ11" s="159">
        <v>221285.84</v>
      </c>
      <c r="AK11" s="121">
        <v>-2.63E-2</v>
      </c>
      <c r="AL11" s="159">
        <v>321418.05</v>
      </c>
      <c r="AM11" s="121">
        <v>0.4143</v>
      </c>
      <c r="AN11" s="159">
        <v>350835.66</v>
      </c>
      <c r="AO11" s="121">
        <v>0.54369999999999996</v>
      </c>
      <c r="AP11" s="159">
        <v>466313.97</v>
      </c>
      <c r="AQ11" s="121">
        <v>1.0518000000000001</v>
      </c>
      <c r="AR11" s="159">
        <v>588870.53</v>
      </c>
      <c r="AS11" s="121">
        <v>1.5911</v>
      </c>
      <c r="AT11" s="159">
        <v>251382.87</v>
      </c>
      <c r="AU11" s="121">
        <v>0.1061</v>
      </c>
      <c r="AV11" s="159">
        <v>260319.39</v>
      </c>
      <c r="AW11" s="121">
        <v>0.1454</v>
      </c>
      <c r="AX11" t="s">
        <v>421</v>
      </c>
    </row>
    <row r="12" spans="1:50">
      <c r="A12" t="s">
        <v>407</v>
      </c>
      <c r="B12">
        <v>0</v>
      </c>
      <c r="C12" t="s">
        <v>408</v>
      </c>
      <c r="D12" t="s">
        <v>408</v>
      </c>
      <c r="F12" t="s">
        <v>423</v>
      </c>
      <c r="G12">
        <v>131.06</v>
      </c>
      <c r="H12">
        <v>130</v>
      </c>
      <c r="I12" s="121">
        <v>-5.0000000000000001E-4</v>
      </c>
      <c r="J12">
        <v>130.65</v>
      </c>
      <c r="K12" s="121">
        <v>-3.0999999999999999E-3</v>
      </c>
      <c r="L12">
        <v>130.47999999999999</v>
      </c>
      <c r="M12" s="121">
        <v>-4.4000000000000003E-3</v>
      </c>
      <c r="N12">
        <v>131.18</v>
      </c>
      <c r="O12" s="121">
        <v>8.9999999999999998E-4</v>
      </c>
      <c r="P12">
        <v>131.18</v>
      </c>
      <c r="Q12" s="121">
        <v>8.9999999999999998E-4</v>
      </c>
      <c r="R12" t="s">
        <v>424</v>
      </c>
      <c r="U12" t="s">
        <v>407</v>
      </c>
      <c r="V12">
        <v>0</v>
      </c>
      <c r="W12" t="s">
        <v>408</v>
      </c>
      <c r="X12" t="s">
        <v>408</v>
      </c>
      <c r="Z12" t="s">
        <v>423</v>
      </c>
      <c r="AA12">
        <v>251.42</v>
      </c>
      <c r="AB12">
        <v>250.73</v>
      </c>
      <c r="AC12" s="121">
        <v>-2.8E-3</v>
      </c>
      <c r="AD12">
        <v>245.2</v>
      </c>
      <c r="AE12" s="121">
        <v>-2.4799999999999999E-2</v>
      </c>
      <c r="AF12">
        <v>242.82</v>
      </c>
      <c r="AG12" s="121">
        <v>-3.4200000000000001E-2</v>
      </c>
      <c r="AH12">
        <v>253.8</v>
      </c>
      <c r="AI12" s="121">
        <v>9.4999999999999998E-3</v>
      </c>
      <c r="AJ12">
        <v>253.76</v>
      </c>
      <c r="AK12" s="121">
        <v>9.2999999999999992E-3</v>
      </c>
      <c r="AL12">
        <v>196.48</v>
      </c>
      <c r="AM12" s="121">
        <v>-0.2185</v>
      </c>
      <c r="AN12">
        <v>187.98</v>
      </c>
      <c r="AO12" s="121">
        <v>-0.25230000000000002</v>
      </c>
      <c r="AP12">
        <v>150.13999999999999</v>
      </c>
      <c r="AQ12" s="121">
        <v>-0.40279999999999999</v>
      </c>
      <c r="AR12">
        <v>139.34</v>
      </c>
      <c r="AS12" s="121">
        <v>-0.44579999999999997</v>
      </c>
      <c r="AT12">
        <v>229.97</v>
      </c>
      <c r="AU12" s="121">
        <v>-8.5300000000000001E-2</v>
      </c>
      <c r="AV12">
        <v>228.4</v>
      </c>
      <c r="AW12" s="121">
        <v>-9.1499999999999998E-2</v>
      </c>
      <c r="AX12" t="s">
        <v>424</v>
      </c>
    </row>
    <row r="13" spans="1:50">
      <c r="A13" t="s">
        <v>407</v>
      </c>
      <c r="B13">
        <v>1</v>
      </c>
      <c r="C13" t="s">
        <v>408</v>
      </c>
      <c r="D13" t="s">
        <v>408</v>
      </c>
      <c r="F13" t="s">
        <v>425</v>
      </c>
      <c r="G13">
        <v>0</v>
      </c>
      <c r="H13">
        <v>0</v>
      </c>
      <c r="I13" s="121">
        <v>0</v>
      </c>
      <c r="J13">
        <v>0</v>
      </c>
      <c r="K13" s="121">
        <v>0</v>
      </c>
      <c r="L13">
        <v>0</v>
      </c>
      <c r="M13" s="121">
        <v>0</v>
      </c>
      <c r="N13">
        <v>0</v>
      </c>
      <c r="O13" s="121">
        <v>0</v>
      </c>
      <c r="P13">
        <v>0</v>
      </c>
      <c r="Q13" s="121">
        <v>0</v>
      </c>
      <c r="R13" t="s">
        <v>426</v>
      </c>
      <c r="U13" t="s">
        <v>407</v>
      </c>
      <c r="V13">
        <v>1</v>
      </c>
      <c r="W13" t="s">
        <v>408</v>
      </c>
      <c r="X13" t="s">
        <v>408</v>
      </c>
      <c r="Z13" t="s">
        <v>425</v>
      </c>
      <c r="AA13">
        <v>0</v>
      </c>
      <c r="AB13">
        <v>0</v>
      </c>
      <c r="AC13" s="121">
        <v>0</v>
      </c>
      <c r="AD13">
        <v>0</v>
      </c>
      <c r="AE13" s="121">
        <v>0</v>
      </c>
      <c r="AF13">
        <v>0</v>
      </c>
      <c r="AG13" s="121">
        <v>0</v>
      </c>
      <c r="AH13">
        <v>0</v>
      </c>
      <c r="AI13" s="121">
        <v>0</v>
      </c>
      <c r="AJ13">
        <v>0</v>
      </c>
      <c r="AK13" s="121">
        <v>0</v>
      </c>
      <c r="AL13">
        <v>0</v>
      </c>
      <c r="AM13" s="121">
        <v>0</v>
      </c>
      <c r="AN13">
        <v>0</v>
      </c>
      <c r="AO13" s="121">
        <v>0</v>
      </c>
      <c r="AP13">
        <v>0</v>
      </c>
      <c r="AQ13" s="121">
        <v>0</v>
      </c>
      <c r="AR13">
        <v>0</v>
      </c>
      <c r="AS13" s="121">
        <v>0</v>
      </c>
      <c r="AT13">
        <v>0</v>
      </c>
      <c r="AU13" s="121">
        <v>0</v>
      </c>
      <c r="AV13">
        <v>0</v>
      </c>
      <c r="AW13" s="121">
        <v>0</v>
      </c>
      <c r="AX13" t="s">
        <v>426</v>
      </c>
    </row>
    <row r="14" spans="1:50">
      <c r="A14" t="s">
        <v>407</v>
      </c>
      <c r="B14">
        <v>0</v>
      </c>
      <c r="C14" t="s">
        <v>408</v>
      </c>
      <c r="D14" t="s">
        <v>408</v>
      </c>
      <c r="F14" t="s">
        <v>427</v>
      </c>
      <c r="G14" s="159">
        <v>1000.36</v>
      </c>
      <c r="H14">
        <v>999.51</v>
      </c>
      <c r="I14" s="121">
        <v>-8.9999999999999998E-4</v>
      </c>
      <c r="J14" s="159">
        <v>1007.23</v>
      </c>
      <c r="K14" s="121">
        <v>6.8999999999999999E-3</v>
      </c>
      <c r="L14" s="159">
        <v>1006.71</v>
      </c>
      <c r="M14" s="121">
        <v>6.3E-3</v>
      </c>
      <c r="N14">
        <v>996</v>
      </c>
      <c r="O14" s="121">
        <v>-3.3999999999999998E-3</v>
      </c>
      <c r="P14">
        <v>996.65</v>
      </c>
      <c r="Q14" s="121">
        <v>-3.7000000000000002E-3</v>
      </c>
      <c r="R14" t="s">
        <v>421</v>
      </c>
      <c r="U14" t="s">
        <v>407</v>
      </c>
      <c r="V14">
        <v>0</v>
      </c>
      <c r="W14" t="s">
        <v>408</v>
      </c>
      <c r="X14" t="s">
        <v>408</v>
      </c>
      <c r="Z14" t="s">
        <v>427</v>
      </c>
      <c r="AA14">
        <v>296.42</v>
      </c>
      <c r="AB14">
        <v>295.08999999999997</v>
      </c>
      <c r="AC14" s="121">
        <v>-4.4999999999999997E-3</v>
      </c>
      <c r="AD14">
        <v>308.41000000000003</v>
      </c>
      <c r="AE14" s="121">
        <v>4.0500000000000001E-2</v>
      </c>
      <c r="AF14">
        <v>307.86</v>
      </c>
      <c r="AG14" s="121">
        <v>3.8600000000000002E-2</v>
      </c>
      <c r="AH14">
        <v>290.95</v>
      </c>
      <c r="AI14" s="121">
        <v>-1.84E-2</v>
      </c>
      <c r="AJ14">
        <v>290.33999999999997</v>
      </c>
      <c r="AK14" s="121">
        <v>-2.0500000000000001E-2</v>
      </c>
      <c r="AL14">
        <v>568.84</v>
      </c>
      <c r="AM14" s="121">
        <v>0.91900000000000004</v>
      </c>
      <c r="AN14">
        <v>602.88</v>
      </c>
      <c r="AO14" s="121">
        <v>1.0339</v>
      </c>
      <c r="AP14">
        <v>970.15</v>
      </c>
      <c r="AQ14" s="121">
        <v>2.2728999999999999</v>
      </c>
      <c r="AR14" s="159">
        <v>1166.4000000000001</v>
      </c>
      <c r="AS14" s="121">
        <v>2.9350000000000001</v>
      </c>
      <c r="AT14">
        <v>395.05</v>
      </c>
      <c r="AU14" s="121">
        <v>0.3327</v>
      </c>
      <c r="AV14">
        <v>405.84</v>
      </c>
      <c r="AW14" s="121">
        <v>0.36909999999999998</v>
      </c>
      <c r="AX14" t="s">
        <v>421</v>
      </c>
    </row>
    <row r="15" spans="1:50">
      <c r="A15" t="s">
        <v>407</v>
      </c>
      <c r="B15">
        <v>0</v>
      </c>
      <c r="C15" t="s">
        <v>408</v>
      </c>
      <c r="D15" t="s">
        <v>408</v>
      </c>
      <c r="F15" t="s">
        <v>428</v>
      </c>
      <c r="G15" s="159">
        <v>324784.83</v>
      </c>
      <c r="H15" s="159">
        <v>324784.83</v>
      </c>
      <c r="I15" s="121">
        <v>0</v>
      </c>
      <c r="J15" s="159">
        <v>324784.83</v>
      </c>
      <c r="K15" s="121">
        <v>0</v>
      </c>
      <c r="L15" s="159">
        <v>324784.83</v>
      </c>
      <c r="M15" s="121">
        <v>0</v>
      </c>
      <c r="N15" s="159">
        <v>324784.83</v>
      </c>
      <c r="O15" s="121">
        <v>0</v>
      </c>
      <c r="P15" s="159">
        <v>324784.83</v>
      </c>
      <c r="Q15" s="121">
        <v>0</v>
      </c>
      <c r="R15" t="s">
        <v>421</v>
      </c>
      <c r="U15" t="s">
        <v>407</v>
      </c>
      <c r="V15">
        <v>0</v>
      </c>
      <c r="W15" t="s">
        <v>408</v>
      </c>
      <c r="X15" t="s">
        <v>408</v>
      </c>
      <c r="Z15" t="s">
        <v>428</v>
      </c>
      <c r="AA15" s="159">
        <v>103334.87</v>
      </c>
      <c r="AB15" s="159">
        <v>103535.53</v>
      </c>
      <c r="AC15" s="121">
        <v>1.9E-3</v>
      </c>
      <c r="AD15" s="159">
        <v>104251.74</v>
      </c>
      <c r="AE15" s="121">
        <v>8.8999999999999999E-3</v>
      </c>
      <c r="AF15" s="159">
        <v>105011.46</v>
      </c>
      <c r="AG15" s="121">
        <v>1.6199999999999999E-2</v>
      </c>
      <c r="AH15" s="159">
        <v>102843.12</v>
      </c>
      <c r="AI15" s="121">
        <v>-4.7999999999999996E-3</v>
      </c>
      <c r="AJ15" s="159">
        <v>102903.73</v>
      </c>
      <c r="AK15" s="121">
        <v>-4.1999999999999997E-3</v>
      </c>
      <c r="AL15" s="159">
        <v>138678.62</v>
      </c>
      <c r="AM15" s="121">
        <v>0.34200000000000003</v>
      </c>
      <c r="AN15" s="159">
        <v>129191.67999999999</v>
      </c>
      <c r="AO15" s="121">
        <v>0.25019999999999998</v>
      </c>
      <c r="AP15" s="159">
        <v>185432.14</v>
      </c>
      <c r="AQ15" s="121">
        <v>0.79449999999999998</v>
      </c>
      <c r="AR15" s="159">
        <v>173056.55</v>
      </c>
      <c r="AS15" s="121">
        <v>0.67469999999999997</v>
      </c>
      <c r="AT15" s="159">
        <v>114325.42</v>
      </c>
      <c r="AU15" s="121">
        <v>0.10639999999999999</v>
      </c>
      <c r="AV15" s="159">
        <v>111109.86</v>
      </c>
      <c r="AW15" s="121">
        <v>7.5200000000000003E-2</v>
      </c>
      <c r="AX15" t="s">
        <v>421</v>
      </c>
    </row>
    <row r="16" spans="1:50">
      <c r="A16" t="s">
        <v>407</v>
      </c>
      <c r="B16">
        <v>0</v>
      </c>
      <c r="C16" t="s">
        <v>408</v>
      </c>
      <c r="D16" t="s">
        <v>408</v>
      </c>
      <c r="F16" t="s">
        <v>429</v>
      </c>
      <c r="G16" s="159">
        <v>1211703.46</v>
      </c>
      <c r="H16" s="159">
        <v>1211901.6299999999</v>
      </c>
      <c r="I16" s="121">
        <v>2.0000000000000001E-4</v>
      </c>
      <c r="J16" s="159">
        <v>1214190.83</v>
      </c>
      <c r="K16" s="121">
        <v>2.0999999999999999E-3</v>
      </c>
      <c r="L16" s="159">
        <v>1215487.6200000001</v>
      </c>
      <c r="M16" s="121">
        <v>3.0999999999999999E-3</v>
      </c>
      <c r="N16" s="159">
        <v>1209586.1599999999</v>
      </c>
      <c r="O16" s="121">
        <v>-1.6999999999999999E-3</v>
      </c>
      <c r="P16" s="159">
        <v>1209603.93</v>
      </c>
      <c r="Q16" s="121">
        <v>-1.6999999999999999E-3</v>
      </c>
      <c r="R16" t="s">
        <v>430</v>
      </c>
      <c r="U16" t="s">
        <v>407</v>
      </c>
      <c r="V16">
        <v>0</v>
      </c>
      <c r="W16" t="s">
        <v>408</v>
      </c>
      <c r="X16" t="s">
        <v>408</v>
      </c>
      <c r="Z16" t="s">
        <v>429</v>
      </c>
      <c r="AA16" s="159">
        <v>459101.29</v>
      </c>
      <c r="AB16" s="159">
        <v>459485.71</v>
      </c>
      <c r="AC16" s="121">
        <v>8.0000000000000004E-4</v>
      </c>
      <c r="AD16" s="159">
        <v>463926.14</v>
      </c>
      <c r="AE16" s="121">
        <v>1.0500000000000001E-2</v>
      </c>
      <c r="AF16" s="159">
        <v>466441.56</v>
      </c>
      <c r="AG16" s="121">
        <v>1.6E-2</v>
      </c>
      <c r="AH16" s="159">
        <v>454936.59</v>
      </c>
      <c r="AI16" s="121">
        <v>-9.1000000000000004E-3</v>
      </c>
      <c r="AJ16" s="159">
        <v>454969.38</v>
      </c>
      <c r="AK16" s="121">
        <v>-8.9999999999999993E-3</v>
      </c>
      <c r="AL16" s="159">
        <v>583646.65</v>
      </c>
      <c r="AM16" s="121">
        <v>0.27129999999999999</v>
      </c>
      <c r="AN16" s="159">
        <v>593071.51</v>
      </c>
      <c r="AO16" s="121">
        <v>0.2918</v>
      </c>
      <c r="AP16" s="159">
        <v>701935.55</v>
      </c>
      <c r="AQ16" s="121">
        <v>0.52890000000000004</v>
      </c>
      <c r="AR16" s="159">
        <v>763604.23</v>
      </c>
      <c r="AS16" s="121">
        <v>0.6633</v>
      </c>
      <c r="AT16" s="159">
        <v>481867.06</v>
      </c>
      <c r="AU16" s="121">
        <v>4.9599999999999998E-2</v>
      </c>
      <c r="AV16" s="159">
        <v>482798.96</v>
      </c>
      <c r="AW16" s="121">
        <v>5.16E-2</v>
      </c>
      <c r="AX16" t="s">
        <v>430</v>
      </c>
    </row>
    <row r="17" spans="1:50">
      <c r="A17" t="s">
        <v>407</v>
      </c>
      <c r="B17">
        <v>0</v>
      </c>
      <c r="C17" t="s">
        <v>408</v>
      </c>
      <c r="D17" t="s">
        <v>408</v>
      </c>
      <c r="F17" t="s">
        <v>431</v>
      </c>
      <c r="G17" s="159">
        <v>46749494.909999996</v>
      </c>
      <c r="H17" s="159">
        <v>46769993.939999998</v>
      </c>
      <c r="I17" s="121">
        <v>4.0000000000000002E-4</v>
      </c>
      <c r="J17" s="159">
        <v>46949683.82</v>
      </c>
      <c r="K17" s="121">
        <v>4.3E-3</v>
      </c>
      <c r="L17" s="159">
        <v>47055749.960000001</v>
      </c>
      <c r="M17" s="121">
        <v>6.6E-3</v>
      </c>
      <c r="N17" s="159">
        <v>46651187.920000002</v>
      </c>
      <c r="O17" s="121">
        <v>-2.0999999999999999E-3</v>
      </c>
      <c r="P17" s="159">
        <v>46656864.020000003</v>
      </c>
      <c r="Q17" s="121">
        <v>-2E-3</v>
      </c>
      <c r="R17" t="s">
        <v>410</v>
      </c>
      <c r="U17" t="s">
        <v>407</v>
      </c>
      <c r="V17">
        <v>0</v>
      </c>
      <c r="W17" t="s">
        <v>408</v>
      </c>
      <c r="X17" t="s">
        <v>408</v>
      </c>
      <c r="Z17" t="s">
        <v>431</v>
      </c>
      <c r="AA17" s="159">
        <v>16003407.9</v>
      </c>
      <c r="AB17" s="159">
        <v>16040904.630000001</v>
      </c>
      <c r="AC17" s="121">
        <v>2.3E-3</v>
      </c>
      <c r="AD17" s="159">
        <v>16346345.859999999</v>
      </c>
      <c r="AE17" s="121">
        <v>2.1399999999999999E-2</v>
      </c>
      <c r="AF17" s="159">
        <v>16534962.800000001</v>
      </c>
      <c r="AG17" s="121">
        <v>3.32E-2</v>
      </c>
      <c r="AH17" s="159">
        <v>15845453.73</v>
      </c>
      <c r="AI17" s="121">
        <v>-9.9000000000000008E-3</v>
      </c>
      <c r="AJ17" s="159">
        <v>15856578.710000001</v>
      </c>
      <c r="AK17" s="121">
        <v>-9.1999999999999998E-3</v>
      </c>
      <c r="AL17" s="159">
        <v>22640048.710000001</v>
      </c>
      <c r="AM17" s="121">
        <v>0.41470000000000001</v>
      </c>
      <c r="AN17" s="159">
        <v>23936230.039999999</v>
      </c>
      <c r="AO17" s="121">
        <v>0.49569999999999997</v>
      </c>
      <c r="AP17" s="159">
        <v>32434478.91</v>
      </c>
      <c r="AQ17" s="121">
        <v>1.0266999999999999</v>
      </c>
      <c r="AR17" s="159">
        <v>38590959.93</v>
      </c>
      <c r="AS17" s="121">
        <v>1.4114</v>
      </c>
      <c r="AT17" s="159">
        <v>18314807.25</v>
      </c>
      <c r="AU17" s="121">
        <v>0.1444</v>
      </c>
      <c r="AV17" s="159">
        <v>18755023.449999999</v>
      </c>
      <c r="AW17" s="121">
        <v>0.1719</v>
      </c>
      <c r="AX17" t="s">
        <v>410</v>
      </c>
    </row>
    <row r="18" spans="1:50">
      <c r="A18" t="s">
        <v>407</v>
      </c>
      <c r="B18">
        <v>0</v>
      </c>
      <c r="C18" t="s">
        <v>408</v>
      </c>
      <c r="D18" t="s">
        <v>408</v>
      </c>
      <c r="F18" t="s">
        <v>432</v>
      </c>
      <c r="G18" s="159">
        <v>74457767.200000003</v>
      </c>
      <c r="H18" s="159">
        <v>74482637.400000006</v>
      </c>
      <c r="I18" s="121">
        <v>2.9999999999999997E-4</v>
      </c>
      <c r="J18" s="159">
        <v>74578379.569999993</v>
      </c>
      <c r="K18" s="121">
        <v>1.6000000000000001E-3</v>
      </c>
      <c r="L18" s="159">
        <v>74685638.439999998</v>
      </c>
      <c r="M18" s="121">
        <v>3.0999999999999999E-3</v>
      </c>
      <c r="N18" s="159">
        <v>74433336.359999999</v>
      </c>
      <c r="O18" s="121">
        <v>-2.9999999999999997E-4</v>
      </c>
      <c r="P18" s="159">
        <v>74445459.530000001</v>
      </c>
      <c r="Q18" s="121">
        <v>-2.0000000000000001E-4</v>
      </c>
      <c r="R18" t="s">
        <v>415</v>
      </c>
      <c r="U18" t="s">
        <v>407</v>
      </c>
      <c r="V18">
        <v>0</v>
      </c>
      <c r="W18" t="s">
        <v>408</v>
      </c>
      <c r="X18" t="s">
        <v>408</v>
      </c>
      <c r="Z18" t="s">
        <v>432</v>
      </c>
      <c r="AA18" s="159">
        <v>13976576.369999999</v>
      </c>
      <c r="AB18" s="159">
        <v>14056795.23</v>
      </c>
      <c r="AC18" s="121">
        <v>5.7000000000000002E-3</v>
      </c>
      <c r="AD18" s="159">
        <v>14438707.109999999</v>
      </c>
      <c r="AE18" s="121">
        <v>3.3099999999999997E-2</v>
      </c>
      <c r="AF18" s="159">
        <v>14798653.1</v>
      </c>
      <c r="AG18" s="121">
        <v>5.8799999999999998E-2</v>
      </c>
      <c r="AH18" s="159">
        <v>13845359.08</v>
      </c>
      <c r="AI18" s="121">
        <v>-9.4000000000000004E-3</v>
      </c>
      <c r="AJ18" s="159">
        <v>13881447.140000001</v>
      </c>
      <c r="AK18" s="121">
        <v>-6.7999999999999996E-3</v>
      </c>
      <c r="AL18" s="159">
        <v>28460793.91</v>
      </c>
      <c r="AM18" s="121">
        <v>1.0363</v>
      </c>
      <c r="AN18" s="159">
        <v>32251907.41</v>
      </c>
      <c r="AO18" s="121">
        <v>1.3076000000000001</v>
      </c>
      <c r="AP18" s="159">
        <v>51842497.359999999</v>
      </c>
      <c r="AQ18" s="121">
        <v>2.7092000000000001</v>
      </c>
      <c r="AR18" s="159">
        <v>68760448.909999996</v>
      </c>
      <c r="AS18" s="121">
        <v>3.9197000000000002</v>
      </c>
      <c r="AT18" s="159">
        <v>20176556.25</v>
      </c>
      <c r="AU18" s="121">
        <v>0.44359999999999999</v>
      </c>
      <c r="AV18" s="159">
        <v>21713108.469999999</v>
      </c>
      <c r="AW18" s="121">
        <v>0.55349999999999999</v>
      </c>
      <c r="AX18" t="s">
        <v>415</v>
      </c>
    </row>
    <row r="19" spans="1:50">
      <c r="A19" t="s">
        <v>407</v>
      </c>
      <c r="B19">
        <v>0</v>
      </c>
      <c r="C19" t="s">
        <v>408</v>
      </c>
      <c r="D19" t="s">
        <v>408</v>
      </c>
      <c r="F19" t="s">
        <v>433</v>
      </c>
      <c r="G19" s="159">
        <v>1425633487.0999999</v>
      </c>
      <c r="H19" s="159">
        <v>1426211598.1099999</v>
      </c>
      <c r="I19" s="121">
        <v>4.0000000000000002E-4</v>
      </c>
      <c r="J19" s="159">
        <v>1431161074.9100001</v>
      </c>
      <c r="K19" s="121">
        <v>3.8999999999999998E-3</v>
      </c>
      <c r="L19" s="159">
        <v>1434131977.03</v>
      </c>
      <c r="M19" s="121">
        <v>6.0000000000000001E-3</v>
      </c>
      <c r="N19" s="159">
        <v>1422953848.52</v>
      </c>
      <c r="O19" s="121">
        <v>-1.9E-3</v>
      </c>
      <c r="P19" s="159">
        <v>1423119131.6300001</v>
      </c>
      <c r="Q19" s="121">
        <v>-1.8E-3</v>
      </c>
      <c r="R19" t="s">
        <v>434</v>
      </c>
      <c r="U19" t="s">
        <v>407</v>
      </c>
      <c r="V19">
        <v>0</v>
      </c>
      <c r="W19" t="s">
        <v>408</v>
      </c>
      <c r="X19" t="s">
        <v>408</v>
      </c>
      <c r="Z19" t="s">
        <v>433</v>
      </c>
      <c r="AA19" s="159">
        <v>474359931.01999998</v>
      </c>
      <c r="AB19" s="159">
        <v>475506980.48000002</v>
      </c>
      <c r="AC19" s="121">
        <v>2.3999999999999998E-3</v>
      </c>
      <c r="AD19" s="159">
        <v>484334964.74000001</v>
      </c>
      <c r="AE19" s="121">
        <v>2.1000000000000001E-2</v>
      </c>
      <c r="AF19" s="159">
        <v>489994824.22000003</v>
      </c>
      <c r="AG19" s="121">
        <v>3.3000000000000002E-2</v>
      </c>
      <c r="AH19" s="159">
        <v>469828211.52999997</v>
      </c>
      <c r="AI19" s="121">
        <v>-9.5999999999999992E-3</v>
      </c>
      <c r="AJ19" s="159">
        <v>470181052.67000002</v>
      </c>
      <c r="AK19" s="121">
        <v>-8.8000000000000005E-3</v>
      </c>
      <c r="AL19" s="159">
        <v>677756666.33000004</v>
      </c>
      <c r="AM19" s="121">
        <v>0.42880000000000001</v>
      </c>
      <c r="AN19" s="159">
        <v>713964035.79999995</v>
      </c>
      <c r="AO19" s="121">
        <v>0.50509999999999999</v>
      </c>
      <c r="AP19" s="159">
        <v>978461254.47000003</v>
      </c>
      <c r="AQ19" s="121">
        <v>1.0627</v>
      </c>
      <c r="AR19" s="159">
        <v>1158279231.6300001</v>
      </c>
      <c r="AS19" s="121">
        <v>1.4418</v>
      </c>
      <c r="AT19" s="159">
        <v>545995040.98000002</v>
      </c>
      <c r="AU19" s="121">
        <v>0.151</v>
      </c>
      <c r="AV19" s="159">
        <v>558542527.48000002</v>
      </c>
      <c r="AW19" s="121">
        <v>0.17749999999999999</v>
      </c>
      <c r="AX19" t="s">
        <v>434</v>
      </c>
    </row>
    <row r="20" spans="1:50">
      <c r="A20" t="s">
        <v>407</v>
      </c>
      <c r="B20">
        <v>0</v>
      </c>
      <c r="C20" t="s">
        <v>408</v>
      </c>
      <c r="D20" t="s">
        <v>408</v>
      </c>
      <c r="F20" t="s">
        <v>435</v>
      </c>
      <c r="G20" s="159">
        <v>325785.19</v>
      </c>
      <c r="H20" s="159">
        <v>325784.34000000003</v>
      </c>
      <c r="I20" s="121">
        <v>0</v>
      </c>
      <c r="J20" s="159">
        <v>325792.06</v>
      </c>
      <c r="K20" s="121">
        <v>0</v>
      </c>
      <c r="L20" s="159">
        <v>325791.53999999998</v>
      </c>
      <c r="M20" s="121">
        <v>0</v>
      </c>
      <c r="N20" s="159">
        <v>325781.83</v>
      </c>
      <c r="O20" s="121">
        <v>0</v>
      </c>
      <c r="P20" s="159">
        <v>325781.48</v>
      </c>
      <c r="Q20" s="121">
        <v>0</v>
      </c>
      <c r="R20" t="s">
        <v>421</v>
      </c>
      <c r="U20" t="s">
        <v>407</v>
      </c>
      <c r="V20">
        <v>0</v>
      </c>
      <c r="W20" t="s">
        <v>408</v>
      </c>
      <c r="X20" t="s">
        <v>408</v>
      </c>
      <c r="Z20" t="s">
        <v>435</v>
      </c>
      <c r="AA20" s="159">
        <v>103631.29</v>
      </c>
      <c r="AB20" s="159">
        <v>103830.62</v>
      </c>
      <c r="AC20" s="121">
        <v>1.9E-3</v>
      </c>
      <c r="AD20" s="159">
        <v>104560.14</v>
      </c>
      <c r="AE20" s="121">
        <v>8.9999999999999993E-3</v>
      </c>
      <c r="AF20" s="159">
        <v>105319.32</v>
      </c>
      <c r="AG20" s="121">
        <v>1.6299999999999999E-2</v>
      </c>
      <c r="AH20" s="159">
        <v>103134.07</v>
      </c>
      <c r="AI20" s="121">
        <v>-4.7999999999999996E-3</v>
      </c>
      <c r="AJ20" s="159">
        <v>103194.07</v>
      </c>
      <c r="AK20" s="121">
        <v>-4.1999999999999997E-3</v>
      </c>
      <c r="AL20" s="159">
        <v>139247.46</v>
      </c>
      <c r="AM20" s="121">
        <v>0.34370000000000001</v>
      </c>
      <c r="AN20" s="159">
        <v>129794.57</v>
      </c>
      <c r="AO20" s="121">
        <v>0.2525</v>
      </c>
      <c r="AP20" s="159">
        <v>186402.3</v>
      </c>
      <c r="AQ20" s="121">
        <v>0.79869999999999997</v>
      </c>
      <c r="AR20" s="159">
        <v>174222.95</v>
      </c>
      <c r="AS20" s="121">
        <v>0.68120000000000003</v>
      </c>
      <c r="AT20" s="159">
        <v>114720.47</v>
      </c>
      <c r="AU20" s="121">
        <v>0.107</v>
      </c>
      <c r="AV20" s="159">
        <v>111515.7</v>
      </c>
      <c r="AW20" s="121">
        <v>7.6100000000000001E-2</v>
      </c>
      <c r="AX20" t="s">
        <v>421</v>
      </c>
    </row>
    <row r="21" spans="1:50">
      <c r="A21" t="s">
        <v>407</v>
      </c>
      <c r="B21">
        <v>0</v>
      </c>
      <c r="C21" t="s">
        <v>436</v>
      </c>
      <c r="D21" t="s">
        <v>437</v>
      </c>
      <c r="F21" t="s">
        <v>409</v>
      </c>
      <c r="G21" s="159">
        <v>149949.53</v>
      </c>
      <c r="H21" s="159">
        <v>170319.23</v>
      </c>
      <c r="I21" s="121">
        <v>0.1358</v>
      </c>
      <c r="J21" s="159">
        <v>348591.88</v>
      </c>
      <c r="K21" s="121">
        <v>1.3247</v>
      </c>
      <c r="L21" s="159">
        <v>453914.76</v>
      </c>
      <c r="M21" s="121">
        <v>2.0270999999999999</v>
      </c>
      <c r="N21" s="159">
        <v>52402.04</v>
      </c>
      <c r="O21" s="121">
        <v>-0.65049999999999997</v>
      </c>
      <c r="P21" s="159">
        <v>58044.35</v>
      </c>
      <c r="Q21" s="121">
        <v>-0.6129</v>
      </c>
      <c r="R21" t="s">
        <v>410</v>
      </c>
      <c r="U21" t="s">
        <v>407</v>
      </c>
      <c r="V21">
        <v>0</v>
      </c>
      <c r="W21" t="s">
        <v>438</v>
      </c>
      <c r="X21" t="s">
        <v>437</v>
      </c>
      <c r="Z21" t="s">
        <v>409</v>
      </c>
      <c r="AA21" s="159">
        <v>244220.18</v>
      </c>
      <c r="AB21" s="159">
        <v>280783.40000000002</v>
      </c>
      <c r="AC21" s="121">
        <v>0.1497</v>
      </c>
      <c r="AD21" s="159">
        <v>576926.56000000006</v>
      </c>
      <c r="AE21" s="121">
        <v>1.3623000000000001</v>
      </c>
      <c r="AF21" s="159">
        <v>760416.01</v>
      </c>
      <c r="AG21" s="121">
        <v>2.1135999999999999</v>
      </c>
      <c r="AH21" s="159">
        <v>90976.55</v>
      </c>
      <c r="AI21" s="121">
        <v>-0.62749999999999995</v>
      </c>
      <c r="AJ21" s="159">
        <v>101839.88</v>
      </c>
      <c r="AK21" s="121">
        <v>-0.58299999999999996</v>
      </c>
      <c r="AL21" s="159">
        <v>5652565.79</v>
      </c>
      <c r="AM21" s="121">
        <v>22.145399999999999</v>
      </c>
      <c r="AN21" s="159">
        <v>6675141.2000000002</v>
      </c>
      <c r="AO21" s="121">
        <v>26.3325</v>
      </c>
      <c r="AP21" s="159">
        <v>13689918.01</v>
      </c>
      <c r="AQ21" s="121">
        <v>55.055599999999998</v>
      </c>
      <c r="AR21" s="159">
        <v>18627085.739999998</v>
      </c>
      <c r="AS21" s="121">
        <v>75.271699999999996</v>
      </c>
      <c r="AT21" s="159">
        <v>2103464.86</v>
      </c>
      <c r="AU21" s="121">
        <v>7.6130000000000004</v>
      </c>
      <c r="AV21" s="159">
        <v>2449794.2000000002</v>
      </c>
      <c r="AW21" s="121">
        <v>9.0311000000000003</v>
      </c>
      <c r="AX21" t="s">
        <v>410</v>
      </c>
    </row>
    <row r="22" spans="1:50">
      <c r="A22" t="s">
        <v>407</v>
      </c>
      <c r="B22">
        <v>0</v>
      </c>
      <c r="C22" t="s">
        <v>436</v>
      </c>
      <c r="D22" t="s">
        <v>437</v>
      </c>
      <c r="F22" t="s">
        <v>411</v>
      </c>
      <c r="G22" s="159">
        <v>1167.3699999999999</v>
      </c>
      <c r="H22" s="159">
        <v>1296.7</v>
      </c>
      <c r="I22" s="121">
        <v>0.1108</v>
      </c>
      <c r="J22" s="159">
        <v>2713.92</v>
      </c>
      <c r="K22" s="121">
        <v>1.3248</v>
      </c>
      <c r="L22" s="159">
        <v>3457.19</v>
      </c>
      <c r="M22" s="121">
        <v>1.9615</v>
      </c>
      <c r="N22">
        <v>407.87</v>
      </c>
      <c r="O22" s="121">
        <v>-0.65059999999999996</v>
      </c>
      <c r="P22">
        <v>441.66</v>
      </c>
      <c r="Q22" s="121">
        <v>-0.62170000000000003</v>
      </c>
      <c r="R22" t="s">
        <v>410</v>
      </c>
      <c r="U22" t="s">
        <v>407</v>
      </c>
      <c r="V22">
        <v>0</v>
      </c>
      <c r="W22" t="s">
        <v>438</v>
      </c>
      <c r="X22" t="s">
        <v>437</v>
      </c>
      <c r="Z22" t="s">
        <v>411</v>
      </c>
      <c r="AA22" s="159">
        <v>7510.71</v>
      </c>
      <c r="AB22" s="159">
        <v>8444.2199999999993</v>
      </c>
      <c r="AC22" s="121">
        <v>0.12429999999999999</v>
      </c>
      <c r="AD22" s="159">
        <v>17742.29</v>
      </c>
      <c r="AE22" s="121">
        <v>1.3623000000000001</v>
      </c>
      <c r="AF22" s="159">
        <v>22869.78</v>
      </c>
      <c r="AG22" s="121">
        <v>2.0449999999999999</v>
      </c>
      <c r="AH22" s="159">
        <v>2800.17</v>
      </c>
      <c r="AI22" s="121">
        <v>-0.62719999999999998</v>
      </c>
      <c r="AJ22" s="159">
        <v>3061.82</v>
      </c>
      <c r="AK22" s="121">
        <v>-0.59230000000000005</v>
      </c>
      <c r="AL22" s="159">
        <v>1235805.9099999999</v>
      </c>
      <c r="AM22" s="121">
        <v>163.53919999999999</v>
      </c>
      <c r="AN22" s="159">
        <v>1509411.83</v>
      </c>
      <c r="AO22" s="121">
        <v>199.96799999999999</v>
      </c>
      <c r="AP22" s="159">
        <v>2992883.89</v>
      </c>
      <c r="AQ22" s="121">
        <v>397.48230000000001</v>
      </c>
      <c r="AR22" s="159">
        <v>4212197.18</v>
      </c>
      <c r="AS22" s="121">
        <v>559.82560000000001</v>
      </c>
      <c r="AT22" s="159">
        <v>459665.38</v>
      </c>
      <c r="AU22" s="121">
        <v>60.201300000000003</v>
      </c>
      <c r="AV22" s="159">
        <v>553552.24</v>
      </c>
      <c r="AW22" s="121">
        <v>72.701700000000002</v>
      </c>
      <c r="AX22" t="s">
        <v>410</v>
      </c>
    </row>
    <row r="23" spans="1:50">
      <c r="A23" t="s">
        <v>407</v>
      </c>
      <c r="B23">
        <v>0</v>
      </c>
      <c r="C23" t="s">
        <v>436</v>
      </c>
      <c r="D23" t="s">
        <v>437</v>
      </c>
      <c r="F23" t="s">
        <v>439</v>
      </c>
      <c r="G23">
        <v>0</v>
      </c>
      <c r="H23">
        <v>0</v>
      </c>
      <c r="I23" s="121">
        <v>0</v>
      </c>
      <c r="J23">
        <v>0</v>
      </c>
      <c r="K23" s="121">
        <v>0</v>
      </c>
      <c r="L23">
        <v>0</v>
      </c>
      <c r="M23" s="121">
        <v>0</v>
      </c>
      <c r="N23">
        <v>0</v>
      </c>
      <c r="O23" s="121">
        <v>0</v>
      </c>
      <c r="P23">
        <v>0</v>
      </c>
      <c r="Q23" s="121">
        <v>0</v>
      </c>
      <c r="R23" t="s">
        <v>415</v>
      </c>
      <c r="U23" t="s">
        <v>407</v>
      </c>
      <c r="V23">
        <v>0</v>
      </c>
      <c r="W23" t="s">
        <v>438</v>
      </c>
      <c r="X23" t="s">
        <v>437</v>
      </c>
      <c r="Z23" t="s">
        <v>439</v>
      </c>
      <c r="AA23">
        <v>0</v>
      </c>
      <c r="AB23">
        <v>0</v>
      </c>
      <c r="AC23" s="121">
        <v>0</v>
      </c>
      <c r="AD23">
        <v>0</v>
      </c>
      <c r="AE23" s="121">
        <v>0</v>
      </c>
      <c r="AF23">
        <v>0</v>
      </c>
      <c r="AG23" s="121">
        <v>0</v>
      </c>
      <c r="AH23">
        <v>0</v>
      </c>
      <c r="AI23" s="121">
        <v>0</v>
      </c>
      <c r="AJ23">
        <v>0</v>
      </c>
      <c r="AK23" s="121">
        <v>0</v>
      </c>
      <c r="AL23">
        <v>0</v>
      </c>
      <c r="AM23" s="121">
        <v>0</v>
      </c>
      <c r="AN23">
        <v>0</v>
      </c>
      <c r="AO23" s="121">
        <v>0</v>
      </c>
      <c r="AP23">
        <v>0</v>
      </c>
      <c r="AQ23" s="121">
        <v>0</v>
      </c>
      <c r="AR23">
        <v>0</v>
      </c>
      <c r="AS23" s="121">
        <v>0</v>
      </c>
      <c r="AT23">
        <v>0</v>
      </c>
      <c r="AU23" s="121">
        <v>0</v>
      </c>
      <c r="AV23">
        <v>0</v>
      </c>
      <c r="AW23" s="121">
        <v>0</v>
      </c>
      <c r="AX23" t="s">
        <v>415</v>
      </c>
    </row>
    <row r="24" spans="1:50">
      <c r="A24" t="s">
        <v>407</v>
      </c>
      <c r="B24">
        <v>0</v>
      </c>
      <c r="C24" t="s">
        <v>436</v>
      </c>
      <c r="D24" t="s">
        <v>437</v>
      </c>
      <c r="F24" t="s">
        <v>414</v>
      </c>
      <c r="G24" s="159">
        <v>44466.720000000001</v>
      </c>
      <c r="H24" s="159">
        <v>68235.820000000007</v>
      </c>
      <c r="I24" s="121">
        <v>0.53449999999999998</v>
      </c>
      <c r="J24" s="159">
        <v>142554.79999999999</v>
      </c>
      <c r="K24" s="121">
        <v>2.2059000000000002</v>
      </c>
      <c r="L24" s="159">
        <v>240279.87</v>
      </c>
      <c r="M24" s="121">
        <v>4.4036</v>
      </c>
      <c r="N24" s="159">
        <v>30776.47</v>
      </c>
      <c r="O24" s="121">
        <v>-0.30790000000000001</v>
      </c>
      <c r="P24" s="159">
        <v>42751.98</v>
      </c>
      <c r="Q24" s="121">
        <v>-3.8600000000000002E-2</v>
      </c>
      <c r="R24" t="s">
        <v>415</v>
      </c>
      <c r="U24" t="s">
        <v>407</v>
      </c>
      <c r="V24">
        <v>0</v>
      </c>
      <c r="W24" t="s">
        <v>438</v>
      </c>
      <c r="X24" t="s">
        <v>437</v>
      </c>
      <c r="Z24" t="s">
        <v>414</v>
      </c>
      <c r="AA24" s="159">
        <v>116441.83</v>
      </c>
      <c r="AB24" s="159">
        <v>178684.65</v>
      </c>
      <c r="AC24" s="121">
        <v>0.53449999999999998</v>
      </c>
      <c r="AD24" s="159">
        <v>373299.22</v>
      </c>
      <c r="AE24" s="121">
        <v>2.2059000000000002</v>
      </c>
      <c r="AF24" s="159">
        <v>629205.65</v>
      </c>
      <c r="AG24" s="121">
        <v>4.4036</v>
      </c>
      <c r="AH24" s="159">
        <v>80591.899999999994</v>
      </c>
      <c r="AI24" s="121">
        <v>-0.30790000000000001</v>
      </c>
      <c r="AJ24" s="159">
        <v>111952.01</v>
      </c>
      <c r="AK24" s="121">
        <v>-3.8600000000000002E-2</v>
      </c>
      <c r="AL24" s="159">
        <v>2854756.72</v>
      </c>
      <c r="AM24" s="121">
        <v>23.5166</v>
      </c>
      <c r="AN24" s="159">
        <v>4380736.3899999997</v>
      </c>
      <c r="AO24" s="121">
        <v>36.621699999999997</v>
      </c>
      <c r="AP24" s="159">
        <v>9152018.3699999992</v>
      </c>
      <c r="AQ24" s="121">
        <v>77.597300000000004</v>
      </c>
      <c r="AR24" s="159">
        <v>15425937.869999999</v>
      </c>
      <c r="AS24" s="121">
        <v>131.4776</v>
      </c>
      <c r="AT24" s="159">
        <v>1975821.17</v>
      </c>
      <c r="AU24" s="121">
        <v>15.968299999999999</v>
      </c>
      <c r="AV24" s="159">
        <v>2744681.27</v>
      </c>
      <c r="AW24" s="121">
        <v>22.571300000000001</v>
      </c>
      <c r="AX24" t="s">
        <v>415</v>
      </c>
    </row>
    <row r="25" spans="1:50">
      <c r="A25" t="s">
        <v>407</v>
      </c>
      <c r="B25">
        <v>0</v>
      </c>
      <c r="C25" t="s">
        <v>436</v>
      </c>
      <c r="D25" t="s">
        <v>437</v>
      </c>
      <c r="F25" t="s">
        <v>416</v>
      </c>
      <c r="G25" s="159">
        <v>3230.66</v>
      </c>
      <c r="H25" s="159">
        <v>3710.25</v>
      </c>
      <c r="I25" s="121">
        <v>0.14849999999999999</v>
      </c>
      <c r="J25" s="159">
        <v>8525.5</v>
      </c>
      <c r="K25" s="121">
        <v>1.6389</v>
      </c>
      <c r="L25" s="159">
        <v>10644.4</v>
      </c>
      <c r="M25" s="121">
        <v>2.2948</v>
      </c>
      <c r="N25" s="159">
        <v>1071.29</v>
      </c>
      <c r="O25" s="121">
        <v>-0.66839999999999999</v>
      </c>
      <c r="P25" s="159">
        <v>1102.33</v>
      </c>
      <c r="Q25" s="121">
        <v>-0.65880000000000005</v>
      </c>
      <c r="R25" t="s">
        <v>415</v>
      </c>
      <c r="U25" t="s">
        <v>407</v>
      </c>
      <c r="V25">
        <v>0</v>
      </c>
      <c r="W25" t="s">
        <v>438</v>
      </c>
      <c r="X25" t="s">
        <v>437</v>
      </c>
      <c r="Z25" t="s">
        <v>416</v>
      </c>
      <c r="AA25" s="159">
        <v>11124.63</v>
      </c>
      <c r="AB25" s="159">
        <v>12776.11</v>
      </c>
      <c r="AC25" s="121">
        <v>0.14849999999999999</v>
      </c>
      <c r="AD25" s="159">
        <v>29357.27</v>
      </c>
      <c r="AE25" s="121">
        <v>1.6389</v>
      </c>
      <c r="AF25" s="159">
        <v>36653.61</v>
      </c>
      <c r="AG25" s="121">
        <v>2.2948</v>
      </c>
      <c r="AH25" s="159">
        <v>3778.84</v>
      </c>
      <c r="AI25" s="121">
        <v>-0.6603</v>
      </c>
      <c r="AJ25" s="159">
        <v>3888.36</v>
      </c>
      <c r="AK25" s="121">
        <v>-0.65049999999999997</v>
      </c>
      <c r="AL25" s="159">
        <v>272737.84000000003</v>
      </c>
      <c r="AM25" s="121">
        <v>23.5166</v>
      </c>
      <c r="AN25" s="159">
        <v>313226.73</v>
      </c>
      <c r="AO25" s="121">
        <v>27.156199999999998</v>
      </c>
      <c r="AP25" s="159">
        <v>719739.89</v>
      </c>
      <c r="AQ25" s="121">
        <v>63.697899999999997</v>
      </c>
      <c r="AR25" s="159">
        <v>898619.31</v>
      </c>
      <c r="AS25" s="121">
        <v>79.777500000000003</v>
      </c>
      <c r="AT25" s="159">
        <v>85831.34</v>
      </c>
      <c r="AU25" s="121">
        <v>6.7153999999999998</v>
      </c>
      <c r="AV25" s="159">
        <v>90952.71</v>
      </c>
      <c r="AW25" s="121">
        <v>7.1757999999999997</v>
      </c>
      <c r="AX25" t="s">
        <v>415</v>
      </c>
    </row>
    <row r="26" spans="1:50">
      <c r="A26" t="s">
        <v>407</v>
      </c>
      <c r="B26">
        <v>0</v>
      </c>
      <c r="C26" t="s">
        <v>436</v>
      </c>
      <c r="D26" t="s">
        <v>437</v>
      </c>
      <c r="F26" t="s">
        <v>417</v>
      </c>
      <c r="G26" s="159">
        <v>12216.03</v>
      </c>
      <c r="H26" s="159">
        <v>12818.54</v>
      </c>
      <c r="I26" s="121">
        <v>4.9299999999999997E-2</v>
      </c>
      <c r="J26" s="159">
        <v>28918.46</v>
      </c>
      <c r="K26" s="121">
        <v>1.3673</v>
      </c>
      <c r="L26" s="159">
        <v>36106.58</v>
      </c>
      <c r="M26" s="121">
        <v>1.9557</v>
      </c>
      <c r="N26" s="159">
        <v>3897.31</v>
      </c>
      <c r="O26" s="121">
        <v>-0.68100000000000005</v>
      </c>
      <c r="P26" s="159">
        <v>4010.36</v>
      </c>
      <c r="Q26" s="121">
        <v>-0.67169999999999996</v>
      </c>
      <c r="R26" t="s">
        <v>415</v>
      </c>
      <c r="U26" t="s">
        <v>407</v>
      </c>
      <c r="V26">
        <v>0</v>
      </c>
      <c r="W26" t="s">
        <v>438</v>
      </c>
      <c r="X26" t="s">
        <v>437</v>
      </c>
      <c r="Z26" t="s">
        <v>417</v>
      </c>
      <c r="AA26" s="159">
        <v>128548.62</v>
      </c>
      <c r="AB26" s="159">
        <v>144579.54999999999</v>
      </c>
      <c r="AC26" s="121">
        <v>0.12470000000000001</v>
      </c>
      <c r="AD26" s="159">
        <v>307900.45</v>
      </c>
      <c r="AE26" s="121">
        <v>1.3952</v>
      </c>
      <c r="AF26" s="159">
        <v>401346.25</v>
      </c>
      <c r="AG26" s="121">
        <v>2.1221000000000001</v>
      </c>
      <c r="AH26" s="159">
        <v>44515.16</v>
      </c>
      <c r="AI26" s="121">
        <v>-0.65369999999999995</v>
      </c>
      <c r="AJ26" s="159">
        <v>49087.47</v>
      </c>
      <c r="AK26" s="121">
        <v>-0.61809999999999998</v>
      </c>
      <c r="AL26" s="159">
        <v>11485068.25</v>
      </c>
      <c r="AM26" s="121">
        <v>88.344200000000001</v>
      </c>
      <c r="AN26" s="159">
        <v>13702617.109999999</v>
      </c>
      <c r="AO26" s="121">
        <v>105.59480000000001</v>
      </c>
      <c r="AP26" s="159">
        <v>27938458.93</v>
      </c>
      <c r="AQ26" s="121">
        <v>216.33770000000001</v>
      </c>
      <c r="AR26" s="159">
        <v>38324727.700000003</v>
      </c>
      <c r="AS26" s="121">
        <v>297.13409999999999</v>
      </c>
      <c r="AT26" s="159">
        <v>4361227.5199999996</v>
      </c>
      <c r="AU26" s="121">
        <v>32.926699999999997</v>
      </c>
      <c r="AV26" s="159">
        <v>5122135.91</v>
      </c>
      <c r="AW26" s="121">
        <v>38.8459</v>
      </c>
      <c r="AX26" t="s">
        <v>415</v>
      </c>
    </row>
    <row r="27" spans="1:50">
      <c r="A27" t="s">
        <v>407</v>
      </c>
      <c r="B27">
        <v>0</v>
      </c>
      <c r="C27" t="s">
        <v>436</v>
      </c>
      <c r="D27" t="s">
        <v>437</v>
      </c>
      <c r="F27" t="s">
        <v>418</v>
      </c>
      <c r="G27">
        <v>170.4</v>
      </c>
      <c r="H27">
        <v>178.8</v>
      </c>
      <c r="I27" s="121">
        <v>4.9299999999999997E-2</v>
      </c>
      <c r="J27">
        <v>403.39</v>
      </c>
      <c r="K27" s="121">
        <v>1.3673</v>
      </c>
      <c r="L27">
        <v>503.64</v>
      </c>
      <c r="M27" s="121">
        <v>1.9556</v>
      </c>
      <c r="N27">
        <v>54.36</v>
      </c>
      <c r="O27" s="121">
        <v>-0.68100000000000005</v>
      </c>
      <c r="P27">
        <v>55.94</v>
      </c>
      <c r="Q27" s="121">
        <v>-0.67169999999999996</v>
      </c>
      <c r="R27" t="s">
        <v>415</v>
      </c>
      <c r="U27" t="s">
        <v>407</v>
      </c>
      <c r="V27">
        <v>0</v>
      </c>
      <c r="W27" t="s">
        <v>438</v>
      </c>
      <c r="X27" t="s">
        <v>437</v>
      </c>
      <c r="Z27" t="s">
        <v>418</v>
      </c>
      <c r="AA27">
        <v>650.24</v>
      </c>
      <c r="AB27">
        <v>684.46</v>
      </c>
      <c r="AC27" s="121">
        <v>5.2600000000000001E-2</v>
      </c>
      <c r="AD27" s="159">
        <v>1546.46</v>
      </c>
      <c r="AE27" s="121">
        <v>1.3783000000000001</v>
      </c>
      <c r="AF27" s="159">
        <v>1930.81</v>
      </c>
      <c r="AG27" s="121">
        <v>1.9694</v>
      </c>
      <c r="AH27">
        <v>185.38</v>
      </c>
      <c r="AI27" s="121">
        <v>-0.71489999999999998</v>
      </c>
      <c r="AJ27">
        <v>190.76</v>
      </c>
      <c r="AK27" s="121">
        <v>-0.70660000000000001</v>
      </c>
      <c r="AL27" s="159">
        <v>15543.17</v>
      </c>
      <c r="AM27" s="121">
        <v>22.9038</v>
      </c>
      <c r="AN27" s="159">
        <v>16370.29</v>
      </c>
      <c r="AO27" s="121">
        <v>24.175799999999999</v>
      </c>
      <c r="AP27" s="159">
        <v>36996.050000000003</v>
      </c>
      <c r="AQ27" s="121">
        <v>55.8962</v>
      </c>
      <c r="AR27" s="159">
        <v>46190.8</v>
      </c>
      <c r="AS27" s="121">
        <v>70.036799999999999</v>
      </c>
      <c r="AT27" s="159">
        <v>4521.79</v>
      </c>
      <c r="AU27" s="121">
        <v>5.9541000000000004</v>
      </c>
      <c r="AV27" s="159">
        <v>4715.5600000000004</v>
      </c>
      <c r="AW27" s="121">
        <v>6.2519999999999998</v>
      </c>
      <c r="AX27" t="s">
        <v>415</v>
      </c>
    </row>
    <row r="28" spans="1:50">
      <c r="A28" t="s">
        <v>407</v>
      </c>
      <c r="B28">
        <v>0</v>
      </c>
      <c r="C28" t="s">
        <v>436</v>
      </c>
      <c r="D28" t="s">
        <v>437</v>
      </c>
      <c r="F28" t="s">
        <v>419</v>
      </c>
      <c r="G28">
        <v>215.06</v>
      </c>
      <c r="H28">
        <v>225.66</v>
      </c>
      <c r="I28" s="121">
        <v>4.9299999999999997E-2</v>
      </c>
      <c r="J28">
        <v>509.1</v>
      </c>
      <c r="K28" s="121">
        <v>1.3673</v>
      </c>
      <c r="L28">
        <v>635.63</v>
      </c>
      <c r="M28" s="121">
        <v>1.9556</v>
      </c>
      <c r="N28">
        <v>68.61</v>
      </c>
      <c r="O28" s="121">
        <v>-0.68100000000000005</v>
      </c>
      <c r="P28">
        <v>70.599999999999994</v>
      </c>
      <c r="Q28" s="121">
        <v>-0.67169999999999996</v>
      </c>
      <c r="R28" t="s">
        <v>415</v>
      </c>
      <c r="U28" t="s">
        <v>407</v>
      </c>
      <c r="V28">
        <v>0</v>
      </c>
      <c r="W28" t="s">
        <v>438</v>
      </c>
      <c r="X28" t="s">
        <v>437</v>
      </c>
      <c r="Z28" t="s">
        <v>419</v>
      </c>
      <c r="AA28" s="159">
        <v>4928.3</v>
      </c>
      <c r="AB28" s="159">
        <v>5187.7</v>
      </c>
      <c r="AC28" s="121">
        <v>5.2600000000000001E-2</v>
      </c>
      <c r="AD28" s="159">
        <v>11720.96</v>
      </c>
      <c r="AE28" s="121">
        <v>1.3783000000000001</v>
      </c>
      <c r="AF28" s="159">
        <v>14634.03</v>
      </c>
      <c r="AG28" s="121">
        <v>1.9694</v>
      </c>
      <c r="AH28" s="159">
        <v>1405.06</v>
      </c>
      <c r="AI28" s="121">
        <v>-0.71489999999999998</v>
      </c>
      <c r="AJ28" s="159">
        <v>1445.79</v>
      </c>
      <c r="AK28" s="121">
        <v>-0.70660000000000001</v>
      </c>
      <c r="AL28" s="159">
        <v>117805.18</v>
      </c>
      <c r="AM28" s="121">
        <v>22.9038</v>
      </c>
      <c r="AN28" s="159">
        <v>124074.14</v>
      </c>
      <c r="AO28" s="121">
        <v>24.175799999999999</v>
      </c>
      <c r="AP28" s="159">
        <v>280401.37</v>
      </c>
      <c r="AQ28" s="121">
        <v>55.8962</v>
      </c>
      <c r="AR28" s="159">
        <v>350090.47</v>
      </c>
      <c r="AS28" s="121">
        <v>70.036799999999999</v>
      </c>
      <c r="AT28" s="159">
        <v>34271.68</v>
      </c>
      <c r="AU28" s="121">
        <v>5.9541000000000004</v>
      </c>
      <c r="AV28" s="159">
        <v>35740.269999999997</v>
      </c>
      <c r="AW28" s="121">
        <v>6.2519999999999998</v>
      </c>
      <c r="AX28" t="s">
        <v>415</v>
      </c>
    </row>
    <row r="29" spans="1:50">
      <c r="A29" t="s">
        <v>407</v>
      </c>
      <c r="B29">
        <v>0</v>
      </c>
      <c r="C29" t="s">
        <v>436</v>
      </c>
      <c r="D29" t="s">
        <v>437</v>
      </c>
      <c r="F29" t="s">
        <v>420</v>
      </c>
      <c r="G29">
        <v>727.51</v>
      </c>
      <c r="H29">
        <v>831</v>
      </c>
      <c r="I29" s="121">
        <v>0.14230000000000001</v>
      </c>
      <c r="J29" s="159">
        <v>1690.44</v>
      </c>
      <c r="K29" s="121">
        <v>1.3236000000000001</v>
      </c>
      <c r="L29" s="159">
        <v>2211.5500000000002</v>
      </c>
      <c r="M29" s="121">
        <v>2.0398999999999998</v>
      </c>
      <c r="N29">
        <v>254.82</v>
      </c>
      <c r="O29" s="121">
        <v>-0.64970000000000006</v>
      </c>
      <c r="P29">
        <v>283.77999999999997</v>
      </c>
      <c r="Q29" s="121">
        <v>-0.6099</v>
      </c>
      <c r="R29" t="s">
        <v>421</v>
      </c>
      <c r="U29" t="s">
        <v>407</v>
      </c>
      <c r="V29">
        <v>0</v>
      </c>
      <c r="W29" t="s">
        <v>438</v>
      </c>
      <c r="X29" t="s">
        <v>437</v>
      </c>
      <c r="Z29" t="s">
        <v>420</v>
      </c>
      <c r="AA29" s="159">
        <v>1215.45</v>
      </c>
      <c r="AB29" s="159">
        <v>1402.53</v>
      </c>
      <c r="AC29" s="121">
        <v>0.15390000000000001</v>
      </c>
      <c r="AD29" s="159">
        <v>2871.28</v>
      </c>
      <c r="AE29" s="121">
        <v>1.3623000000000001</v>
      </c>
      <c r="AF29" s="159">
        <v>3798.16</v>
      </c>
      <c r="AG29" s="121">
        <v>2.1248999999999998</v>
      </c>
      <c r="AH29">
        <v>452.82</v>
      </c>
      <c r="AI29" s="121">
        <v>-0.62749999999999995</v>
      </c>
      <c r="AJ29">
        <v>508.82</v>
      </c>
      <c r="AK29" s="121">
        <v>-0.58140000000000003</v>
      </c>
      <c r="AL29" s="159">
        <v>38570.65</v>
      </c>
      <c r="AM29" s="121">
        <v>30.733599999999999</v>
      </c>
      <c r="AN29" s="159">
        <v>45913.82</v>
      </c>
      <c r="AO29" s="121">
        <v>36.775100000000002</v>
      </c>
      <c r="AP29" s="159">
        <v>93513.83</v>
      </c>
      <c r="AQ29" s="121">
        <v>75.937600000000003</v>
      </c>
      <c r="AR29" s="159">
        <v>128044.43</v>
      </c>
      <c r="AS29" s="121">
        <v>104.3473</v>
      </c>
      <c r="AT29" s="159">
        <v>14547.55</v>
      </c>
      <c r="AU29" s="121">
        <v>10.9689</v>
      </c>
      <c r="AV29" s="159">
        <v>17050.5</v>
      </c>
      <c r="AW29" s="121">
        <v>13.0281</v>
      </c>
      <c r="AX29" t="s">
        <v>421</v>
      </c>
    </row>
    <row r="30" spans="1:50">
      <c r="A30" t="s">
        <v>407</v>
      </c>
      <c r="B30">
        <v>0</v>
      </c>
      <c r="C30" t="s">
        <v>436</v>
      </c>
      <c r="D30" t="s">
        <v>437</v>
      </c>
      <c r="F30" t="s">
        <v>422</v>
      </c>
      <c r="G30" s="159">
        <v>6633.12</v>
      </c>
      <c r="H30" s="159">
        <v>8533.39</v>
      </c>
      <c r="I30" s="121">
        <v>0.28649999999999998</v>
      </c>
      <c r="J30" s="159">
        <v>14692.95</v>
      </c>
      <c r="K30" s="121">
        <v>1.2151000000000001</v>
      </c>
      <c r="L30" s="159">
        <v>21554.62</v>
      </c>
      <c r="M30" s="121">
        <v>2.2494999999999998</v>
      </c>
      <c r="N30" s="159">
        <v>2107.58</v>
      </c>
      <c r="O30" s="121">
        <v>-0.68230000000000002</v>
      </c>
      <c r="P30" s="159">
        <v>2635.98</v>
      </c>
      <c r="Q30" s="121">
        <v>-0.60260000000000002</v>
      </c>
      <c r="R30" t="s">
        <v>421</v>
      </c>
      <c r="U30" t="s">
        <v>407</v>
      </c>
      <c r="V30">
        <v>0</v>
      </c>
      <c r="W30" t="s">
        <v>438</v>
      </c>
      <c r="X30" t="s">
        <v>437</v>
      </c>
      <c r="Z30" t="s">
        <v>422</v>
      </c>
      <c r="AA30" s="159">
        <v>10488.51</v>
      </c>
      <c r="AB30" s="159">
        <v>13688.41</v>
      </c>
      <c r="AC30" s="121">
        <v>0.30509999999999998</v>
      </c>
      <c r="AD30" s="159">
        <v>23513.39</v>
      </c>
      <c r="AE30" s="121">
        <v>1.2418</v>
      </c>
      <c r="AF30" s="159">
        <v>35067.160000000003</v>
      </c>
      <c r="AG30" s="121">
        <v>2.3433999999999999</v>
      </c>
      <c r="AH30" s="159">
        <v>3614.46</v>
      </c>
      <c r="AI30" s="121">
        <v>-0.65539999999999998</v>
      </c>
      <c r="AJ30" s="159">
        <v>4591.08</v>
      </c>
      <c r="AK30" s="121">
        <v>-0.56230000000000002</v>
      </c>
      <c r="AL30" s="159">
        <v>100913.04</v>
      </c>
      <c r="AM30" s="121">
        <v>8.6212999999999997</v>
      </c>
      <c r="AN30" s="159">
        <v>129586.78</v>
      </c>
      <c r="AO30" s="121">
        <v>11.3551</v>
      </c>
      <c r="AP30" s="159">
        <v>240791.56</v>
      </c>
      <c r="AQ30" s="121">
        <v>21.957599999999999</v>
      </c>
      <c r="AR30" s="159">
        <v>360008.08</v>
      </c>
      <c r="AS30" s="121">
        <v>33.323999999999998</v>
      </c>
      <c r="AT30" s="159">
        <v>33491.35</v>
      </c>
      <c r="AU30" s="121">
        <v>2.1930999999999998</v>
      </c>
      <c r="AV30" s="159">
        <v>42208.95</v>
      </c>
      <c r="AW30" s="121">
        <v>3.0243000000000002</v>
      </c>
      <c r="AX30" t="s">
        <v>421</v>
      </c>
    </row>
    <row r="31" spans="1:50">
      <c r="A31" t="s">
        <v>407</v>
      </c>
      <c r="B31">
        <v>0</v>
      </c>
      <c r="C31" t="s">
        <v>436</v>
      </c>
      <c r="D31" t="s">
        <v>437</v>
      </c>
      <c r="F31" t="s">
        <v>440</v>
      </c>
      <c r="G31">
        <v>0</v>
      </c>
      <c r="H31">
        <v>0</v>
      </c>
      <c r="I31" s="121">
        <v>0</v>
      </c>
      <c r="J31">
        <v>0</v>
      </c>
      <c r="K31" s="121">
        <v>0</v>
      </c>
      <c r="L31">
        <v>0</v>
      </c>
      <c r="M31" s="121">
        <v>0</v>
      </c>
      <c r="N31">
        <v>0</v>
      </c>
      <c r="O31" s="121">
        <v>0</v>
      </c>
      <c r="P31">
        <v>0</v>
      </c>
      <c r="Q31" s="121">
        <v>0</v>
      </c>
      <c r="R31" t="s">
        <v>413</v>
      </c>
      <c r="U31" t="s">
        <v>407</v>
      </c>
      <c r="V31">
        <v>0</v>
      </c>
      <c r="W31" t="s">
        <v>438</v>
      </c>
      <c r="X31" t="s">
        <v>437</v>
      </c>
      <c r="Z31" t="s">
        <v>440</v>
      </c>
      <c r="AA31">
        <v>0</v>
      </c>
      <c r="AB31">
        <v>0</v>
      </c>
      <c r="AC31" s="121">
        <v>0</v>
      </c>
      <c r="AD31">
        <v>0</v>
      </c>
      <c r="AE31" s="121">
        <v>0</v>
      </c>
      <c r="AF31">
        <v>0</v>
      </c>
      <c r="AG31" s="121">
        <v>0</v>
      </c>
      <c r="AH31">
        <v>0</v>
      </c>
      <c r="AI31" s="121">
        <v>0</v>
      </c>
      <c r="AJ31">
        <v>0</v>
      </c>
      <c r="AK31" s="121">
        <v>0</v>
      </c>
      <c r="AL31">
        <v>0</v>
      </c>
      <c r="AM31" s="121">
        <v>0</v>
      </c>
      <c r="AN31">
        <v>0</v>
      </c>
      <c r="AO31" s="121">
        <v>0</v>
      </c>
      <c r="AP31">
        <v>0</v>
      </c>
      <c r="AQ31" s="121">
        <v>0</v>
      </c>
      <c r="AR31">
        <v>0</v>
      </c>
      <c r="AS31" s="121">
        <v>0</v>
      </c>
      <c r="AT31">
        <v>0</v>
      </c>
      <c r="AU31" s="121">
        <v>0</v>
      </c>
      <c r="AV31">
        <v>0</v>
      </c>
      <c r="AW31" s="121">
        <v>0</v>
      </c>
      <c r="AX31" t="s">
        <v>413</v>
      </c>
    </row>
    <row r="32" spans="1:50">
      <c r="A32" t="s">
        <v>407</v>
      </c>
      <c r="B32">
        <v>0</v>
      </c>
      <c r="C32" t="s">
        <v>436</v>
      </c>
      <c r="D32" t="s">
        <v>437</v>
      </c>
      <c r="F32" t="s">
        <v>441</v>
      </c>
      <c r="G32" s="159">
        <v>882531.48</v>
      </c>
      <c r="H32" s="159">
        <v>913849.97</v>
      </c>
      <c r="I32" s="121">
        <v>3.5499999999999997E-2</v>
      </c>
      <c r="J32" s="159">
        <v>2060987.69</v>
      </c>
      <c r="K32" s="121">
        <v>1.3352999999999999</v>
      </c>
      <c r="L32" s="159">
        <v>2534475.92</v>
      </c>
      <c r="M32" s="121">
        <v>1.8717999999999999</v>
      </c>
      <c r="N32" s="159">
        <v>269181.26</v>
      </c>
      <c r="O32" s="121">
        <v>-0.69499999999999995</v>
      </c>
      <c r="P32" s="159">
        <v>274864.57</v>
      </c>
      <c r="Q32" s="121">
        <v>-0.6885</v>
      </c>
      <c r="R32" t="s">
        <v>415</v>
      </c>
      <c r="U32" t="s">
        <v>407</v>
      </c>
      <c r="V32">
        <v>0</v>
      </c>
      <c r="W32" t="s">
        <v>438</v>
      </c>
      <c r="X32" t="s">
        <v>437</v>
      </c>
      <c r="Z32" t="s">
        <v>441</v>
      </c>
      <c r="AA32" s="159">
        <v>1450573.04</v>
      </c>
      <c r="AB32" s="159">
        <v>1508347.54</v>
      </c>
      <c r="AC32" s="121">
        <v>3.9800000000000002E-2</v>
      </c>
      <c r="AD32" s="159">
        <v>3403930.32</v>
      </c>
      <c r="AE32" s="121">
        <v>1.3466</v>
      </c>
      <c r="AF32" s="159">
        <v>4195590.12</v>
      </c>
      <c r="AG32" s="121">
        <v>1.8924000000000001</v>
      </c>
      <c r="AH32" s="159">
        <v>402794.13</v>
      </c>
      <c r="AI32" s="121">
        <v>-0.72230000000000005</v>
      </c>
      <c r="AJ32" s="159">
        <v>410682.74</v>
      </c>
      <c r="AK32" s="121">
        <v>-0.71689999999999998</v>
      </c>
      <c r="AL32" s="159">
        <v>41685166.299999997</v>
      </c>
      <c r="AM32" s="121">
        <v>27.736999999999998</v>
      </c>
      <c r="AN32" s="159">
        <v>42965893.240000002</v>
      </c>
      <c r="AO32" s="121">
        <v>28.619900000000001</v>
      </c>
      <c r="AP32" s="159">
        <v>98006472.060000002</v>
      </c>
      <c r="AQ32" s="121">
        <v>66.563999999999993</v>
      </c>
      <c r="AR32" s="159">
        <v>119703310.43000001</v>
      </c>
      <c r="AS32" s="121">
        <v>81.5214</v>
      </c>
      <c r="AT32" s="159">
        <v>11593886.1</v>
      </c>
      <c r="AU32" s="121">
        <v>6.9926000000000004</v>
      </c>
      <c r="AV32" s="159">
        <v>11951979.369999999</v>
      </c>
      <c r="AW32" s="121">
        <v>7.2394999999999996</v>
      </c>
      <c r="AX32" t="s">
        <v>415</v>
      </c>
    </row>
    <row r="33" spans="1:50">
      <c r="A33" t="s">
        <v>407</v>
      </c>
      <c r="B33">
        <v>0</v>
      </c>
      <c r="C33" t="s">
        <v>436</v>
      </c>
      <c r="D33" t="s">
        <v>437</v>
      </c>
      <c r="F33" t="s">
        <v>442</v>
      </c>
      <c r="G33" s="159">
        <v>3259334.18</v>
      </c>
      <c r="H33" s="159">
        <v>3806125.69</v>
      </c>
      <c r="I33" s="121">
        <v>0.1678</v>
      </c>
      <c r="J33" s="159">
        <v>7608448.3200000003</v>
      </c>
      <c r="K33" s="121">
        <v>1.3344</v>
      </c>
      <c r="L33" s="159">
        <v>10105856.9</v>
      </c>
      <c r="M33" s="121">
        <v>2.1006</v>
      </c>
      <c r="N33" s="159">
        <v>1193053.73</v>
      </c>
      <c r="O33" s="121">
        <v>-0.63400000000000001</v>
      </c>
      <c r="P33" s="159">
        <v>1352653.58</v>
      </c>
      <c r="Q33" s="121">
        <v>-0.58499999999999996</v>
      </c>
      <c r="R33" t="s">
        <v>415</v>
      </c>
      <c r="U33" t="s">
        <v>407</v>
      </c>
      <c r="V33">
        <v>0</v>
      </c>
      <c r="W33" t="s">
        <v>438</v>
      </c>
      <c r="X33" t="s">
        <v>437</v>
      </c>
      <c r="Z33" t="s">
        <v>442</v>
      </c>
      <c r="AA33" s="159">
        <v>5674533.4299999997</v>
      </c>
      <c r="AB33" s="159">
        <v>6750020.8499999996</v>
      </c>
      <c r="AC33" s="121">
        <v>0.1895</v>
      </c>
      <c r="AD33" s="159">
        <v>13466620.859999999</v>
      </c>
      <c r="AE33" s="121">
        <v>1.3732</v>
      </c>
      <c r="AF33" s="159">
        <v>18262971.52</v>
      </c>
      <c r="AG33" s="121">
        <v>2.2183999999999999</v>
      </c>
      <c r="AH33" s="159">
        <v>2293373.67</v>
      </c>
      <c r="AI33" s="121">
        <v>-0.5958</v>
      </c>
      <c r="AJ33" s="159">
        <v>2638838.5099999998</v>
      </c>
      <c r="AK33" s="121">
        <v>-0.53500000000000003</v>
      </c>
      <c r="AL33" s="159">
        <v>164986681.62</v>
      </c>
      <c r="AM33" s="121">
        <v>28.0749</v>
      </c>
      <c r="AN33" s="159">
        <v>199451144.52000001</v>
      </c>
      <c r="AO33" s="121">
        <v>34.148499999999999</v>
      </c>
      <c r="AP33" s="159">
        <v>402694029.69</v>
      </c>
      <c r="AQ33" s="121">
        <v>69.965100000000007</v>
      </c>
      <c r="AR33" s="159">
        <v>558548598.47000003</v>
      </c>
      <c r="AS33" s="121">
        <v>97.430800000000005</v>
      </c>
      <c r="AT33" s="159">
        <v>66297442.710000001</v>
      </c>
      <c r="AU33" s="121">
        <v>10.683299999999999</v>
      </c>
      <c r="AV33" s="159">
        <v>78491363.930000007</v>
      </c>
      <c r="AW33" s="121">
        <v>12.8322</v>
      </c>
      <c r="AX33" t="s">
        <v>415</v>
      </c>
    </row>
    <row r="34" spans="1:50">
      <c r="A34" t="s">
        <v>407</v>
      </c>
      <c r="B34">
        <v>0</v>
      </c>
      <c r="C34" t="s">
        <v>436</v>
      </c>
      <c r="D34" t="s">
        <v>437</v>
      </c>
      <c r="F34" t="s">
        <v>423</v>
      </c>
      <c r="G34">
        <v>79.95</v>
      </c>
      <c r="H34">
        <v>72.09</v>
      </c>
      <c r="I34" s="121">
        <v>-9.8400000000000001E-2</v>
      </c>
      <c r="J34">
        <v>70.75</v>
      </c>
      <c r="K34" s="121">
        <v>-0.11509999999999999</v>
      </c>
      <c r="L34">
        <v>69.69</v>
      </c>
      <c r="M34" s="121">
        <v>-0.12839999999999999</v>
      </c>
      <c r="N34">
        <v>73.540000000000006</v>
      </c>
      <c r="O34" s="121">
        <v>-8.0199999999999994E-2</v>
      </c>
      <c r="P34">
        <v>72.98</v>
      </c>
      <c r="Q34" s="121">
        <v>-8.72E-2</v>
      </c>
      <c r="R34" t="s">
        <v>424</v>
      </c>
      <c r="U34" t="s">
        <v>407</v>
      </c>
      <c r="V34">
        <v>0</v>
      </c>
      <c r="W34" t="s">
        <v>438</v>
      </c>
      <c r="X34" t="s">
        <v>437</v>
      </c>
      <c r="Z34" t="s">
        <v>423</v>
      </c>
      <c r="AA34">
        <v>69.11</v>
      </c>
      <c r="AB34">
        <v>62.72</v>
      </c>
      <c r="AC34" s="121">
        <v>-9.2499999999999999E-2</v>
      </c>
      <c r="AD34">
        <v>61.7</v>
      </c>
      <c r="AE34" s="121">
        <v>-0.10730000000000001</v>
      </c>
      <c r="AF34">
        <v>60.91</v>
      </c>
      <c r="AG34" s="121">
        <v>-0.1188</v>
      </c>
      <c r="AH34">
        <v>56.37</v>
      </c>
      <c r="AI34" s="121">
        <v>-0.18440000000000001</v>
      </c>
      <c r="AJ34">
        <v>55.85</v>
      </c>
      <c r="AK34" s="121">
        <v>-0.19189999999999999</v>
      </c>
      <c r="AL34">
        <v>81.010000000000005</v>
      </c>
      <c r="AM34" s="121">
        <v>0.1721</v>
      </c>
      <c r="AN34">
        <v>72.88</v>
      </c>
      <c r="AO34" s="121">
        <v>5.4399999999999997E-2</v>
      </c>
      <c r="AP34">
        <v>72.459999999999994</v>
      </c>
      <c r="AQ34" s="121">
        <v>4.8300000000000003E-2</v>
      </c>
      <c r="AR34">
        <v>70.88</v>
      </c>
      <c r="AS34" s="121">
        <v>2.5499999999999998E-2</v>
      </c>
      <c r="AT34">
        <v>71.48</v>
      </c>
      <c r="AU34" s="121">
        <v>3.4299999999999997E-2</v>
      </c>
      <c r="AV34">
        <v>69.53</v>
      </c>
      <c r="AW34" s="121">
        <v>6.0000000000000001E-3</v>
      </c>
      <c r="AX34" t="s">
        <v>424</v>
      </c>
    </row>
    <row r="35" spans="1:50">
      <c r="A35" t="s">
        <v>407</v>
      </c>
      <c r="B35">
        <v>1</v>
      </c>
      <c r="C35" t="s">
        <v>436</v>
      </c>
      <c r="D35" t="s">
        <v>437</v>
      </c>
      <c r="F35" t="s">
        <v>443</v>
      </c>
      <c r="G35">
        <v>0</v>
      </c>
      <c r="H35">
        <v>0</v>
      </c>
      <c r="I35" s="121">
        <v>0</v>
      </c>
      <c r="J35">
        <v>0</v>
      </c>
      <c r="K35" s="121">
        <v>0</v>
      </c>
      <c r="L35">
        <v>0</v>
      </c>
      <c r="M35" s="121">
        <v>0</v>
      </c>
      <c r="N35">
        <v>0</v>
      </c>
      <c r="O35" s="121">
        <v>0</v>
      </c>
      <c r="P35">
        <v>0</v>
      </c>
      <c r="Q35" s="121">
        <v>0</v>
      </c>
      <c r="R35" t="s">
        <v>426</v>
      </c>
      <c r="U35" t="s">
        <v>407</v>
      </c>
      <c r="V35">
        <v>1</v>
      </c>
      <c r="W35" t="s">
        <v>438</v>
      </c>
      <c r="X35" t="s">
        <v>437</v>
      </c>
      <c r="Z35" t="s">
        <v>443</v>
      </c>
      <c r="AA35">
        <v>0</v>
      </c>
      <c r="AB35">
        <v>0</v>
      </c>
      <c r="AC35" s="121">
        <v>0</v>
      </c>
      <c r="AD35">
        <v>0</v>
      </c>
      <c r="AE35" s="121">
        <v>0</v>
      </c>
      <c r="AF35">
        <v>0</v>
      </c>
      <c r="AG35" s="121">
        <v>0</v>
      </c>
      <c r="AH35">
        <v>0</v>
      </c>
      <c r="AI35" s="121">
        <v>0</v>
      </c>
      <c r="AJ35">
        <v>0</v>
      </c>
      <c r="AK35" s="121">
        <v>0</v>
      </c>
      <c r="AL35">
        <v>0</v>
      </c>
      <c r="AM35" s="121">
        <v>0</v>
      </c>
      <c r="AN35">
        <v>0</v>
      </c>
      <c r="AO35" s="121">
        <v>0</v>
      </c>
      <c r="AP35">
        <v>0</v>
      </c>
      <c r="AQ35" s="121">
        <v>0</v>
      </c>
      <c r="AR35">
        <v>0</v>
      </c>
      <c r="AS35" s="121">
        <v>0</v>
      </c>
      <c r="AT35">
        <v>0</v>
      </c>
      <c r="AU35" s="121">
        <v>0</v>
      </c>
      <c r="AV35">
        <v>0</v>
      </c>
      <c r="AW35" s="121">
        <v>0</v>
      </c>
      <c r="AX35" t="s">
        <v>426</v>
      </c>
    </row>
    <row r="36" spans="1:50">
      <c r="A36" t="s">
        <v>407</v>
      </c>
      <c r="B36">
        <v>1</v>
      </c>
      <c r="C36" t="s">
        <v>436</v>
      </c>
      <c r="D36" t="s">
        <v>437</v>
      </c>
      <c r="F36" t="s">
        <v>444</v>
      </c>
      <c r="G36">
        <v>0</v>
      </c>
      <c r="H36">
        <v>0</v>
      </c>
      <c r="I36" s="121">
        <v>0</v>
      </c>
      <c r="J36">
        <v>0</v>
      </c>
      <c r="K36" s="121">
        <v>0</v>
      </c>
      <c r="L36">
        <v>0</v>
      </c>
      <c r="M36" s="121">
        <v>0</v>
      </c>
      <c r="N36">
        <v>0</v>
      </c>
      <c r="O36" s="121">
        <v>0</v>
      </c>
      <c r="P36">
        <v>0</v>
      </c>
      <c r="Q36" s="121">
        <v>0</v>
      </c>
      <c r="R36" t="s">
        <v>426</v>
      </c>
      <c r="U36" t="s">
        <v>407</v>
      </c>
      <c r="V36">
        <v>1</v>
      </c>
      <c r="W36" t="s">
        <v>438</v>
      </c>
      <c r="X36" t="s">
        <v>437</v>
      </c>
      <c r="Z36" t="s">
        <v>444</v>
      </c>
      <c r="AA36">
        <v>0</v>
      </c>
      <c r="AB36">
        <v>0</v>
      </c>
      <c r="AC36" s="121">
        <v>0</v>
      </c>
      <c r="AD36">
        <v>0</v>
      </c>
      <c r="AE36" s="121">
        <v>0</v>
      </c>
      <c r="AF36">
        <v>0</v>
      </c>
      <c r="AG36" s="121">
        <v>0</v>
      </c>
      <c r="AH36">
        <v>0</v>
      </c>
      <c r="AI36" s="121">
        <v>0</v>
      </c>
      <c r="AJ36">
        <v>0</v>
      </c>
      <c r="AK36" s="121">
        <v>0</v>
      </c>
      <c r="AL36">
        <v>0</v>
      </c>
      <c r="AM36" s="121">
        <v>0</v>
      </c>
      <c r="AN36">
        <v>0</v>
      </c>
      <c r="AO36" s="121">
        <v>0</v>
      </c>
      <c r="AP36">
        <v>0</v>
      </c>
      <c r="AQ36" s="121">
        <v>0</v>
      </c>
      <c r="AR36">
        <v>0</v>
      </c>
      <c r="AS36" s="121">
        <v>0</v>
      </c>
      <c r="AT36">
        <v>0</v>
      </c>
      <c r="AU36" s="121">
        <v>0</v>
      </c>
      <c r="AV36">
        <v>0</v>
      </c>
      <c r="AW36" s="121">
        <v>0</v>
      </c>
      <c r="AX36" t="s">
        <v>426</v>
      </c>
    </row>
    <row r="37" spans="1:50">
      <c r="A37" t="s">
        <v>407</v>
      </c>
      <c r="B37">
        <v>1</v>
      </c>
      <c r="C37" t="s">
        <v>436</v>
      </c>
      <c r="D37" t="s">
        <v>437</v>
      </c>
      <c r="F37" t="s">
        <v>445</v>
      </c>
      <c r="G37" s="159">
        <v>21780.25</v>
      </c>
      <c r="H37" s="159">
        <v>25125.02</v>
      </c>
      <c r="I37" s="121">
        <v>0.15359999999999999</v>
      </c>
      <c r="J37" s="159">
        <v>61247.6</v>
      </c>
      <c r="K37" s="121">
        <v>1.8121</v>
      </c>
      <c r="L37" s="159">
        <v>76469.83</v>
      </c>
      <c r="M37" s="121">
        <v>2.5110000000000001</v>
      </c>
      <c r="N37" s="159">
        <v>7946.22</v>
      </c>
      <c r="O37" s="121">
        <v>-0.63519999999999999</v>
      </c>
      <c r="P37" s="159">
        <v>8176.5</v>
      </c>
      <c r="Q37" s="121">
        <v>-0.62460000000000004</v>
      </c>
      <c r="R37" t="s">
        <v>426</v>
      </c>
      <c r="U37" t="s">
        <v>407</v>
      </c>
      <c r="V37">
        <v>1</v>
      </c>
      <c r="W37" t="s">
        <v>438</v>
      </c>
      <c r="X37" t="s">
        <v>437</v>
      </c>
      <c r="Z37" t="s">
        <v>445</v>
      </c>
      <c r="AA37" s="159">
        <v>42247.69</v>
      </c>
      <c r="AB37" s="159">
        <v>48735.73</v>
      </c>
      <c r="AC37" s="121">
        <v>0.15359999999999999</v>
      </c>
      <c r="AD37" s="159">
        <v>118803.87</v>
      </c>
      <c r="AE37" s="121">
        <v>1.8121</v>
      </c>
      <c r="AF37" s="159">
        <v>148330.88</v>
      </c>
      <c r="AG37" s="121">
        <v>2.5110000000000001</v>
      </c>
      <c r="AH37" s="159">
        <v>15527.63</v>
      </c>
      <c r="AI37" s="121">
        <v>-0.63249999999999995</v>
      </c>
      <c r="AJ37" s="159">
        <v>15977.72</v>
      </c>
      <c r="AK37" s="121">
        <v>-0.62180000000000002</v>
      </c>
      <c r="AL37" s="159">
        <v>1035769.24</v>
      </c>
      <c r="AM37" s="121">
        <v>23.5166</v>
      </c>
      <c r="AN37" s="159">
        <v>1194833.48</v>
      </c>
      <c r="AO37" s="121">
        <v>27.281600000000001</v>
      </c>
      <c r="AP37" s="159">
        <v>2912663.85</v>
      </c>
      <c r="AQ37" s="121">
        <v>67.942599999999999</v>
      </c>
      <c r="AR37" s="159">
        <v>3636558.14</v>
      </c>
      <c r="AS37" s="121">
        <v>85.077100000000002</v>
      </c>
      <c r="AT37" s="159">
        <v>361174.85</v>
      </c>
      <c r="AU37" s="121">
        <v>7.5490000000000004</v>
      </c>
      <c r="AV37" s="159">
        <v>380082.71</v>
      </c>
      <c r="AW37" s="121">
        <v>7.9965000000000002</v>
      </c>
      <c r="AX37" t="s">
        <v>426</v>
      </c>
    </row>
    <row r="38" spans="1:50">
      <c r="A38" t="s">
        <v>407</v>
      </c>
      <c r="B38">
        <v>1</v>
      </c>
      <c r="C38" t="s">
        <v>436</v>
      </c>
      <c r="D38" t="s">
        <v>437</v>
      </c>
      <c r="F38" t="s">
        <v>446</v>
      </c>
      <c r="G38" s="159">
        <v>36526.44</v>
      </c>
      <c r="H38" s="159">
        <v>41729.31</v>
      </c>
      <c r="I38" s="121">
        <v>0.1424</v>
      </c>
      <c r="J38" s="159">
        <v>91754.45</v>
      </c>
      <c r="K38" s="121">
        <v>1.512</v>
      </c>
      <c r="L38" s="159">
        <v>114558.41</v>
      </c>
      <c r="M38" s="121">
        <v>2.1362999999999999</v>
      </c>
      <c r="N38" s="159">
        <v>11908.38</v>
      </c>
      <c r="O38" s="121">
        <v>-0.67400000000000004</v>
      </c>
      <c r="P38" s="159">
        <v>12253.37</v>
      </c>
      <c r="Q38" s="121">
        <v>-0.66449999999999998</v>
      </c>
      <c r="R38" t="s">
        <v>426</v>
      </c>
      <c r="U38" t="s">
        <v>407</v>
      </c>
      <c r="V38">
        <v>1</v>
      </c>
      <c r="W38" t="s">
        <v>438</v>
      </c>
      <c r="X38" t="s">
        <v>437</v>
      </c>
      <c r="Z38" t="s">
        <v>446</v>
      </c>
      <c r="AA38" s="159">
        <v>70851.22</v>
      </c>
      <c r="AB38" s="159">
        <v>80943.47</v>
      </c>
      <c r="AC38" s="121">
        <v>0.1424</v>
      </c>
      <c r="AD38" s="159">
        <v>177978.83</v>
      </c>
      <c r="AE38" s="121">
        <v>1.512</v>
      </c>
      <c r="AF38" s="159">
        <v>222212.71</v>
      </c>
      <c r="AG38" s="121">
        <v>2.1362999999999999</v>
      </c>
      <c r="AH38" s="159">
        <v>23293.48</v>
      </c>
      <c r="AI38" s="121">
        <v>-0.67120000000000002</v>
      </c>
      <c r="AJ38" s="159">
        <v>23968.880000000001</v>
      </c>
      <c r="AK38" s="121">
        <v>-0.66169999999999995</v>
      </c>
      <c r="AL38" s="159">
        <v>1737032.91</v>
      </c>
      <c r="AM38" s="121">
        <v>23.5166</v>
      </c>
      <c r="AN38" s="159">
        <v>1984453.36</v>
      </c>
      <c r="AO38" s="121">
        <v>27.008700000000001</v>
      </c>
      <c r="AP38" s="159">
        <v>4363427.5599999996</v>
      </c>
      <c r="AQ38" s="121">
        <v>60.585799999999999</v>
      </c>
      <c r="AR38" s="159">
        <v>5447884.9699999997</v>
      </c>
      <c r="AS38" s="121">
        <v>75.891900000000007</v>
      </c>
      <c r="AT38" s="159">
        <v>554884.76</v>
      </c>
      <c r="AU38" s="121">
        <v>6.8316999999999997</v>
      </c>
      <c r="AV38" s="159">
        <v>579137.21</v>
      </c>
      <c r="AW38" s="121">
        <v>7.1740000000000004</v>
      </c>
      <c r="AX38" t="s">
        <v>426</v>
      </c>
    </row>
    <row r="39" spans="1:50">
      <c r="A39" t="s">
        <v>407</v>
      </c>
      <c r="B39">
        <v>0</v>
      </c>
      <c r="C39" t="s">
        <v>436</v>
      </c>
      <c r="D39" t="s">
        <v>437</v>
      </c>
      <c r="F39" t="s">
        <v>447</v>
      </c>
      <c r="G39">
        <v>41.18</v>
      </c>
      <c r="H39">
        <v>31.34</v>
      </c>
      <c r="I39" s="121">
        <v>-0.23899999999999999</v>
      </c>
      <c r="J39">
        <v>29.98</v>
      </c>
      <c r="K39" s="121">
        <v>-0.27189999999999998</v>
      </c>
      <c r="L39">
        <v>23.63</v>
      </c>
      <c r="M39" s="121">
        <v>-0.42620000000000002</v>
      </c>
      <c r="N39">
        <v>21.78</v>
      </c>
      <c r="O39" s="121">
        <v>-0.47110000000000002</v>
      </c>
      <c r="P39">
        <v>17.78</v>
      </c>
      <c r="Q39" s="121">
        <v>-0.56830000000000003</v>
      </c>
      <c r="R39" t="s">
        <v>424</v>
      </c>
      <c r="U39" t="s">
        <v>407</v>
      </c>
      <c r="V39">
        <v>0</v>
      </c>
      <c r="W39" t="s">
        <v>438</v>
      </c>
      <c r="X39" t="s">
        <v>437</v>
      </c>
      <c r="Z39" t="s">
        <v>447</v>
      </c>
      <c r="AA39">
        <v>36.96</v>
      </c>
      <c r="AB39">
        <v>28.65</v>
      </c>
      <c r="AC39" s="121">
        <v>-0.2248</v>
      </c>
      <c r="AD39">
        <v>27.36</v>
      </c>
      <c r="AE39" s="121">
        <v>-0.25969999999999999</v>
      </c>
      <c r="AF39">
        <v>22.01</v>
      </c>
      <c r="AG39" s="121">
        <v>-0.40439999999999998</v>
      </c>
      <c r="AH39">
        <v>21.58</v>
      </c>
      <c r="AI39" s="121">
        <v>-0.41610000000000003</v>
      </c>
      <c r="AJ39">
        <v>17.88</v>
      </c>
      <c r="AK39" s="121">
        <v>-0.51629999999999998</v>
      </c>
      <c r="AL39">
        <v>43.83</v>
      </c>
      <c r="AM39" s="121">
        <v>0.18590000000000001</v>
      </c>
      <c r="AN39">
        <v>34.53</v>
      </c>
      <c r="AO39" s="121">
        <v>-6.5699999999999995E-2</v>
      </c>
      <c r="AP39">
        <v>33.369999999999997</v>
      </c>
      <c r="AQ39" s="121">
        <v>-9.7100000000000006E-2</v>
      </c>
      <c r="AR39">
        <v>27.46</v>
      </c>
      <c r="AS39" s="121">
        <v>-0.25700000000000001</v>
      </c>
      <c r="AT39">
        <v>25.45</v>
      </c>
      <c r="AU39" s="121">
        <v>-0.3115</v>
      </c>
      <c r="AV39">
        <v>21.69</v>
      </c>
      <c r="AW39" s="121">
        <v>-0.41320000000000001</v>
      </c>
      <c r="AX39" t="s">
        <v>424</v>
      </c>
    </row>
    <row r="40" spans="1:50">
      <c r="A40" t="s">
        <v>407</v>
      </c>
      <c r="B40">
        <v>1</v>
      </c>
      <c r="C40" t="s">
        <v>436</v>
      </c>
      <c r="D40" t="s">
        <v>437</v>
      </c>
      <c r="F40" t="s">
        <v>448</v>
      </c>
      <c r="G40" s="159">
        <v>2223336.21</v>
      </c>
      <c r="H40" s="159">
        <v>3411790.93</v>
      </c>
      <c r="I40" s="121">
        <v>0.53449999999999998</v>
      </c>
      <c r="J40" s="159">
        <v>7127740.1600000001</v>
      </c>
      <c r="K40" s="121">
        <v>2.2059000000000002</v>
      </c>
      <c r="L40" s="159">
        <v>12013993.6</v>
      </c>
      <c r="M40" s="121">
        <v>4.4036</v>
      </c>
      <c r="N40" s="159">
        <v>1538823.41</v>
      </c>
      <c r="O40" s="121">
        <v>-0.30790000000000001</v>
      </c>
      <c r="P40" s="159">
        <v>2137599.0099999998</v>
      </c>
      <c r="Q40" s="121">
        <v>-3.8600000000000002E-2</v>
      </c>
      <c r="R40" t="s">
        <v>426</v>
      </c>
      <c r="U40" t="s">
        <v>407</v>
      </c>
      <c r="V40">
        <v>1</v>
      </c>
      <c r="W40" t="s">
        <v>438</v>
      </c>
      <c r="X40" t="s">
        <v>437</v>
      </c>
      <c r="Z40" t="s">
        <v>448</v>
      </c>
      <c r="AA40" s="159">
        <v>4312660.3499999996</v>
      </c>
      <c r="AB40" s="159">
        <v>6617950.04</v>
      </c>
      <c r="AC40" s="121">
        <v>0.53449999999999998</v>
      </c>
      <c r="AD40" s="159">
        <v>13825897.199999999</v>
      </c>
      <c r="AE40" s="121">
        <v>2.2059000000000002</v>
      </c>
      <c r="AF40" s="159">
        <v>23303912.91</v>
      </c>
      <c r="AG40" s="121">
        <v>4.4036</v>
      </c>
      <c r="AH40" s="159">
        <v>2984885.08</v>
      </c>
      <c r="AI40" s="121">
        <v>-0.30790000000000001</v>
      </c>
      <c r="AJ40" s="159">
        <v>4146370.71</v>
      </c>
      <c r="AK40" s="121">
        <v>-3.8600000000000002E-2</v>
      </c>
      <c r="AL40" s="159">
        <v>105731730.33</v>
      </c>
      <c r="AM40" s="121">
        <v>23.5166</v>
      </c>
      <c r="AN40" s="159">
        <v>162249495.81999999</v>
      </c>
      <c r="AO40" s="121">
        <v>36.621699999999997</v>
      </c>
      <c r="AP40" s="159">
        <v>338963643.20999998</v>
      </c>
      <c r="AQ40" s="121">
        <v>77.597300000000004</v>
      </c>
      <c r="AR40" s="159">
        <v>571331032.23000002</v>
      </c>
      <c r="AS40" s="121">
        <v>131.4776</v>
      </c>
      <c r="AT40" s="159">
        <v>73178561.780000001</v>
      </c>
      <c r="AU40" s="121">
        <v>15.968299999999999</v>
      </c>
      <c r="AV40" s="159">
        <v>101654861.84999999</v>
      </c>
      <c r="AW40" s="121">
        <v>22.571300000000001</v>
      </c>
      <c r="AX40" t="s">
        <v>426</v>
      </c>
    </row>
    <row r="41" spans="1:50">
      <c r="A41" t="s">
        <v>407</v>
      </c>
      <c r="B41">
        <v>0</v>
      </c>
      <c r="C41" t="s">
        <v>436</v>
      </c>
      <c r="D41" t="s">
        <v>437</v>
      </c>
      <c r="F41" t="s">
        <v>427</v>
      </c>
      <c r="G41">
        <v>5.2</v>
      </c>
      <c r="H41">
        <v>4.3499999999999996</v>
      </c>
      <c r="I41" s="121">
        <v>-0.16389999999999999</v>
      </c>
      <c r="J41">
        <v>12.07</v>
      </c>
      <c r="K41" s="121">
        <v>1.3196000000000001</v>
      </c>
      <c r="L41">
        <v>11.55</v>
      </c>
      <c r="M41" s="121">
        <v>1.2192000000000001</v>
      </c>
      <c r="N41">
        <v>1.84</v>
      </c>
      <c r="O41" s="121">
        <v>-0.64690000000000003</v>
      </c>
      <c r="P41">
        <v>1.49</v>
      </c>
      <c r="Q41" s="121">
        <v>-0.71340000000000003</v>
      </c>
      <c r="R41" t="s">
        <v>421</v>
      </c>
      <c r="U41" t="s">
        <v>407</v>
      </c>
      <c r="V41">
        <v>0</v>
      </c>
      <c r="W41" t="s">
        <v>438</v>
      </c>
      <c r="X41" t="s">
        <v>437</v>
      </c>
      <c r="Z41" t="s">
        <v>427</v>
      </c>
      <c r="AA41">
        <v>8.81</v>
      </c>
      <c r="AB41">
        <v>7.49</v>
      </c>
      <c r="AC41" s="121">
        <v>-0.1502</v>
      </c>
      <c r="AD41">
        <v>20.8</v>
      </c>
      <c r="AE41" s="121">
        <v>1.3611</v>
      </c>
      <c r="AF41">
        <v>20.25</v>
      </c>
      <c r="AG41" s="121">
        <v>1.2988</v>
      </c>
      <c r="AH41">
        <v>3.34</v>
      </c>
      <c r="AI41" s="121">
        <v>-0.62060000000000004</v>
      </c>
      <c r="AJ41">
        <v>2.73</v>
      </c>
      <c r="AK41" s="121">
        <v>-0.68989999999999996</v>
      </c>
      <c r="AL41">
        <v>281.23</v>
      </c>
      <c r="AM41" s="121">
        <v>30.922799999999999</v>
      </c>
      <c r="AN41">
        <v>315.27999999999997</v>
      </c>
      <c r="AO41" s="121">
        <v>34.787300000000002</v>
      </c>
      <c r="AP41">
        <v>682.54</v>
      </c>
      <c r="AQ41" s="121">
        <v>76.476100000000002</v>
      </c>
      <c r="AR41">
        <v>878.79</v>
      </c>
      <c r="AS41" s="121">
        <v>98.752200000000002</v>
      </c>
      <c r="AT41">
        <v>107.44</v>
      </c>
      <c r="AU41" s="121">
        <v>11.1959</v>
      </c>
      <c r="AV41">
        <v>118.23</v>
      </c>
      <c r="AW41" s="121">
        <v>12.420400000000001</v>
      </c>
      <c r="AX41" t="s">
        <v>421</v>
      </c>
    </row>
    <row r="42" spans="1:50">
      <c r="A42" t="s">
        <v>407</v>
      </c>
      <c r="B42">
        <v>0</v>
      </c>
      <c r="C42" t="s">
        <v>436</v>
      </c>
      <c r="D42" t="s">
        <v>437</v>
      </c>
      <c r="F42" t="s">
        <v>428</v>
      </c>
      <c r="G42">
        <v>0</v>
      </c>
      <c r="H42">
        <v>0</v>
      </c>
      <c r="I42" s="121">
        <v>0</v>
      </c>
      <c r="J42">
        <v>0</v>
      </c>
      <c r="K42" s="121">
        <v>0</v>
      </c>
      <c r="L42">
        <v>0</v>
      </c>
      <c r="M42" s="121">
        <v>0</v>
      </c>
      <c r="N42">
        <v>0</v>
      </c>
      <c r="O42" s="121">
        <v>0</v>
      </c>
      <c r="P42">
        <v>0</v>
      </c>
      <c r="Q42" s="121">
        <v>0</v>
      </c>
      <c r="R42" t="s">
        <v>421</v>
      </c>
      <c r="U42" t="s">
        <v>407</v>
      </c>
      <c r="V42">
        <v>0</v>
      </c>
      <c r="W42" t="s">
        <v>438</v>
      </c>
      <c r="X42" t="s">
        <v>437</v>
      </c>
      <c r="Z42" t="s">
        <v>428</v>
      </c>
      <c r="AA42">
        <v>737.71</v>
      </c>
      <c r="AB42">
        <v>938.37</v>
      </c>
      <c r="AC42" s="121">
        <v>0.27200000000000002</v>
      </c>
      <c r="AD42" s="159">
        <v>1654.58</v>
      </c>
      <c r="AE42" s="121">
        <v>1.2428999999999999</v>
      </c>
      <c r="AF42" s="159">
        <v>2414.3000000000002</v>
      </c>
      <c r="AG42" s="121">
        <v>2.2726999999999999</v>
      </c>
      <c r="AH42">
        <v>245.96</v>
      </c>
      <c r="AI42" s="121">
        <v>-0.66659999999999997</v>
      </c>
      <c r="AJ42">
        <v>306.57</v>
      </c>
      <c r="AK42" s="121">
        <v>-0.58440000000000003</v>
      </c>
      <c r="AL42" s="159">
        <v>36081.46</v>
      </c>
      <c r="AM42" s="121">
        <v>47.9101</v>
      </c>
      <c r="AN42" s="159">
        <v>26594.52</v>
      </c>
      <c r="AO42" s="121">
        <v>35.0501</v>
      </c>
      <c r="AP42" s="159">
        <v>82834.98</v>
      </c>
      <c r="AQ42" s="121">
        <v>111.2868</v>
      </c>
      <c r="AR42" s="159">
        <v>70459.39</v>
      </c>
      <c r="AS42" s="121">
        <v>94.511099999999999</v>
      </c>
      <c r="AT42" s="159">
        <v>11728.26</v>
      </c>
      <c r="AU42" s="121">
        <v>14.898199999999999</v>
      </c>
      <c r="AV42" s="159">
        <v>8512.7000000000007</v>
      </c>
      <c r="AW42" s="121">
        <v>10.539400000000001</v>
      </c>
      <c r="AX42" t="s">
        <v>421</v>
      </c>
    </row>
    <row r="43" spans="1:50">
      <c r="A43" t="s">
        <v>407</v>
      </c>
      <c r="B43">
        <v>1</v>
      </c>
      <c r="C43" t="s">
        <v>436</v>
      </c>
      <c r="D43" t="s">
        <v>437</v>
      </c>
      <c r="F43" t="s">
        <v>449</v>
      </c>
      <c r="G43">
        <v>0</v>
      </c>
      <c r="H43">
        <v>0</v>
      </c>
      <c r="I43" s="121">
        <v>0</v>
      </c>
      <c r="J43">
        <v>0</v>
      </c>
      <c r="K43" s="121">
        <v>0</v>
      </c>
      <c r="L43">
        <v>0</v>
      </c>
      <c r="M43" s="121">
        <v>0</v>
      </c>
      <c r="N43">
        <v>0</v>
      </c>
      <c r="O43" s="121">
        <v>0</v>
      </c>
      <c r="P43">
        <v>0</v>
      </c>
      <c r="Q43" s="121">
        <v>0</v>
      </c>
      <c r="R43" t="s">
        <v>430</v>
      </c>
      <c r="U43" t="s">
        <v>407</v>
      </c>
      <c r="V43">
        <v>1</v>
      </c>
      <c r="W43" t="s">
        <v>438</v>
      </c>
      <c r="X43" t="s">
        <v>437</v>
      </c>
      <c r="Z43" t="s">
        <v>449</v>
      </c>
      <c r="AA43">
        <v>0</v>
      </c>
      <c r="AB43">
        <v>0</v>
      </c>
      <c r="AC43" s="121">
        <v>0</v>
      </c>
      <c r="AD43">
        <v>0</v>
      </c>
      <c r="AE43" s="121">
        <v>0</v>
      </c>
      <c r="AF43">
        <v>0</v>
      </c>
      <c r="AG43" s="121">
        <v>0</v>
      </c>
      <c r="AH43">
        <v>0</v>
      </c>
      <c r="AI43" s="121">
        <v>0</v>
      </c>
      <c r="AJ43">
        <v>0</v>
      </c>
      <c r="AK43" s="121">
        <v>0</v>
      </c>
      <c r="AL43">
        <v>0</v>
      </c>
      <c r="AM43" s="121">
        <v>0</v>
      </c>
      <c r="AN43">
        <v>0</v>
      </c>
      <c r="AO43" s="121">
        <v>0</v>
      </c>
      <c r="AP43">
        <v>0</v>
      </c>
      <c r="AQ43" s="121">
        <v>0</v>
      </c>
      <c r="AR43">
        <v>0</v>
      </c>
      <c r="AS43" s="121">
        <v>0</v>
      </c>
      <c r="AT43">
        <v>0</v>
      </c>
      <c r="AU43" s="121">
        <v>0</v>
      </c>
      <c r="AV43">
        <v>0</v>
      </c>
      <c r="AW43" s="121">
        <v>0</v>
      </c>
      <c r="AX43" t="s">
        <v>430</v>
      </c>
    </row>
    <row r="44" spans="1:50">
      <c r="A44" t="s">
        <v>407</v>
      </c>
      <c r="B44">
        <v>1</v>
      </c>
      <c r="C44" t="s">
        <v>436</v>
      </c>
      <c r="D44" t="s">
        <v>437</v>
      </c>
      <c r="F44" t="s">
        <v>450</v>
      </c>
      <c r="G44">
        <v>0</v>
      </c>
      <c r="H44">
        <v>0</v>
      </c>
      <c r="I44" s="121">
        <v>0</v>
      </c>
      <c r="J44">
        <v>0</v>
      </c>
      <c r="K44" s="121">
        <v>0</v>
      </c>
      <c r="L44">
        <v>0</v>
      </c>
      <c r="M44" s="121">
        <v>0</v>
      </c>
      <c r="N44">
        <v>0</v>
      </c>
      <c r="O44" s="121">
        <v>0</v>
      </c>
      <c r="P44">
        <v>0</v>
      </c>
      <c r="Q44" s="121">
        <v>0</v>
      </c>
      <c r="R44" t="s">
        <v>430</v>
      </c>
      <c r="U44" t="s">
        <v>407</v>
      </c>
      <c r="V44">
        <v>1</v>
      </c>
      <c r="W44" t="s">
        <v>438</v>
      </c>
      <c r="X44" t="s">
        <v>437</v>
      </c>
      <c r="Z44" t="s">
        <v>450</v>
      </c>
      <c r="AA44">
        <v>0</v>
      </c>
      <c r="AB44">
        <v>0</v>
      </c>
      <c r="AC44" s="121">
        <v>0</v>
      </c>
      <c r="AD44">
        <v>0</v>
      </c>
      <c r="AE44" s="121">
        <v>0</v>
      </c>
      <c r="AF44">
        <v>0</v>
      </c>
      <c r="AG44" s="121">
        <v>0</v>
      </c>
      <c r="AH44">
        <v>0</v>
      </c>
      <c r="AI44" s="121">
        <v>0</v>
      </c>
      <c r="AJ44">
        <v>0</v>
      </c>
      <c r="AK44" s="121">
        <v>0</v>
      </c>
      <c r="AL44">
        <v>0</v>
      </c>
      <c r="AM44" s="121">
        <v>0</v>
      </c>
      <c r="AN44">
        <v>0</v>
      </c>
      <c r="AO44" s="121">
        <v>0</v>
      </c>
      <c r="AP44">
        <v>0</v>
      </c>
      <c r="AQ44" s="121">
        <v>0</v>
      </c>
      <c r="AR44">
        <v>0</v>
      </c>
      <c r="AS44" s="121">
        <v>0</v>
      </c>
      <c r="AT44">
        <v>0</v>
      </c>
      <c r="AU44" s="121">
        <v>0</v>
      </c>
      <c r="AV44">
        <v>0</v>
      </c>
      <c r="AW44" s="121">
        <v>0</v>
      </c>
      <c r="AX44" t="s">
        <v>430</v>
      </c>
    </row>
    <row r="45" spans="1:50">
      <c r="A45" t="s">
        <v>407</v>
      </c>
      <c r="B45">
        <v>1</v>
      </c>
      <c r="C45" t="s">
        <v>436</v>
      </c>
      <c r="D45" t="s">
        <v>437</v>
      </c>
      <c r="F45" t="s">
        <v>451</v>
      </c>
      <c r="G45">
        <v>416.73</v>
      </c>
      <c r="H45">
        <v>423.28</v>
      </c>
      <c r="I45" s="121">
        <v>1.5699999999999999E-2</v>
      </c>
      <c r="J45">
        <v>912.57</v>
      </c>
      <c r="K45" s="121">
        <v>1.1898</v>
      </c>
      <c r="L45" s="159">
        <v>1139.3699999999999</v>
      </c>
      <c r="M45" s="121">
        <v>1.7341</v>
      </c>
      <c r="N45">
        <v>100.28</v>
      </c>
      <c r="O45" s="121">
        <v>-0.75939999999999996</v>
      </c>
      <c r="P45">
        <v>103.19</v>
      </c>
      <c r="Q45" s="121">
        <v>-0.75239999999999996</v>
      </c>
      <c r="R45" t="s">
        <v>430</v>
      </c>
      <c r="U45" t="s">
        <v>407</v>
      </c>
      <c r="V45">
        <v>1</v>
      </c>
      <c r="W45" t="s">
        <v>438</v>
      </c>
      <c r="X45" t="s">
        <v>437</v>
      </c>
      <c r="Z45" t="s">
        <v>451</v>
      </c>
      <c r="AA45">
        <v>808.34</v>
      </c>
      <c r="AB45">
        <v>821.04</v>
      </c>
      <c r="AC45" s="121">
        <v>1.5699999999999999E-2</v>
      </c>
      <c r="AD45" s="159">
        <v>1770.13</v>
      </c>
      <c r="AE45" s="121">
        <v>1.1899</v>
      </c>
      <c r="AF45" s="159">
        <v>2210.08</v>
      </c>
      <c r="AG45" s="121">
        <v>1.7341</v>
      </c>
      <c r="AH45">
        <v>171.69</v>
      </c>
      <c r="AI45" s="121">
        <v>-0.78759999999999997</v>
      </c>
      <c r="AJ45">
        <v>176.67</v>
      </c>
      <c r="AK45" s="121">
        <v>-0.78139999999999998</v>
      </c>
      <c r="AL45" s="159">
        <v>19817.62</v>
      </c>
      <c r="AM45" s="121">
        <v>23.5166</v>
      </c>
      <c r="AN45" s="159">
        <v>20129.150000000001</v>
      </c>
      <c r="AO45" s="121">
        <v>23.902000000000001</v>
      </c>
      <c r="AP45" s="159">
        <v>43397.65</v>
      </c>
      <c r="AQ45" s="121">
        <v>52.6877</v>
      </c>
      <c r="AR45" s="159">
        <v>54183.41</v>
      </c>
      <c r="AS45" s="121">
        <v>66.030900000000003</v>
      </c>
      <c r="AT45" s="159">
        <v>4596.2</v>
      </c>
      <c r="AU45" s="121">
        <v>4.6859999999999999</v>
      </c>
      <c r="AV45" s="159">
        <v>4816.8599999999997</v>
      </c>
      <c r="AW45" s="121">
        <v>4.9589999999999996</v>
      </c>
      <c r="AX45" t="s">
        <v>430</v>
      </c>
    </row>
    <row r="46" spans="1:50">
      <c r="A46" t="s">
        <v>407</v>
      </c>
      <c r="B46">
        <v>1</v>
      </c>
      <c r="C46" t="s">
        <v>436</v>
      </c>
      <c r="D46" t="s">
        <v>437</v>
      </c>
      <c r="F46" t="s">
        <v>452</v>
      </c>
      <c r="G46">
        <v>605.58000000000004</v>
      </c>
      <c r="H46">
        <v>610</v>
      </c>
      <c r="I46" s="121">
        <v>8.8999999999999999E-3</v>
      </c>
      <c r="J46" s="159">
        <v>1208.1400000000001</v>
      </c>
      <c r="K46" s="121">
        <v>0.995</v>
      </c>
      <c r="L46" s="159">
        <v>1508.4</v>
      </c>
      <c r="M46" s="121">
        <v>1.4907999999999999</v>
      </c>
      <c r="N46">
        <v>153.9</v>
      </c>
      <c r="O46" s="121">
        <v>-0.74590000000000001</v>
      </c>
      <c r="P46">
        <v>158.36000000000001</v>
      </c>
      <c r="Q46" s="121">
        <v>-0.73850000000000005</v>
      </c>
      <c r="R46" t="s">
        <v>430</v>
      </c>
      <c r="U46" t="s">
        <v>407</v>
      </c>
      <c r="V46">
        <v>1</v>
      </c>
      <c r="W46" t="s">
        <v>438</v>
      </c>
      <c r="X46" t="s">
        <v>437</v>
      </c>
      <c r="Z46" t="s">
        <v>452</v>
      </c>
      <c r="AA46" s="159">
        <v>1174.67</v>
      </c>
      <c r="AB46" s="159">
        <v>1185.17</v>
      </c>
      <c r="AC46" s="121">
        <v>8.8999999999999999E-3</v>
      </c>
      <c r="AD46" s="159">
        <v>2343.4699999999998</v>
      </c>
      <c r="AE46" s="121">
        <v>0.995</v>
      </c>
      <c r="AF46" s="159">
        <v>2925.9</v>
      </c>
      <c r="AG46" s="121">
        <v>1.4907999999999999</v>
      </c>
      <c r="AH46">
        <v>263.63</v>
      </c>
      <c r="AI46" s="121">
        <v>-0.77559999999999996</v>
      </c>
      <c r="AJ46">
        <v>271.27</v>
      </c>
      <c r="AK46" s="121">
        <v>-0.76910000000000001</v>
      </c>
      <c r="AL46" s="159">
        <v>28798.880000000001</v>
      </c>
      <c r="AM46" s="121">
        <v>23.5166</v>
      </c>
      <c r="AN46" s="159">
        <v>29056.29</v>
      </c>
      <c r="AO46" s="121">
        <v>23.735800000000001</v>
      </c>
      <c r="AP46" s="159">
        <v>57453.8</v>
      </c>
      <c r="AQ46" s="121">
        <v>47.910699999999999</v>
      </c>
      <c r="AR46" s="159">
        <v>71732.98</v>
      </c>
      <c r="AS46" s="121">
        <v>60.066600000000001</v>
      </c>
      <c r="AT46" s="159">
        <v>6332.65</v>
      </c>
      <c r="AU46" s="121">
        <v>4.391</v>
      </c>
      <c r="AV46" s="159">
        <v>6582.18</v>
      </c>
      <c r="AW46" s="121">
        <v>4.6033999999999997</v>
      </c>
      <c r="AX46" t="s">
        <v>430</v>
      </c>
    </row>
    <row r="47" spans="1:50">
      <c r="A47" t="s">
        <v>407</v>
      </c>
      <c r="B47">
        <v>1</v>
      </c>
      <c r="C47" t="s">
        <v>436</v>
      </c>
      <c r="D47" t="s">
        <v>437</v>
      </c>
      <c r="F47" t="s">
        <v>453</v>
      </c>
      <c r="G47">
        <v>389.84</v>
      </c>
      <c r="H47">
        <v>396.16</v>
      </c>
      <c r="I47" s="121">
        <v>1.6199999999999999E-2</v>
      </c>
      <c r="J47">
        <v>643.03</v>
      </c>
      <c r="K47" s="121">
        <v>0.64949999999999997</v>
      </c>
      <c r="L47">
        <v>802.85</v>
      </c>
      <c r="M47" s="121">
        <v>1.0593999999999999</v>
      </c>
      <c r="N47">
        <v>74.23</v>
      </c>
      <c r="O47" s="121">
        <v>-0.80959999999999999</v>
      </c>
      <c r="P47">
        <v>76.38</v>
      </c>
      <c r="Q47" s="121">
        <v>-0.80410000000000004</v>
      </c>
      <c r="R47" t="s">
        <v>430</v>
      </c>
      <c r="U47" t="s">
        <v>407</v>
      </c>
      <c r="V47">
        <v>1</v>
      </c>
      <c r="W47" t="s">
        <v>438</v>
      </c>
      <c r="X47" t="s">
        <v>437</v>
      </c>
      <c r="Z47" t="s">
        <v>453</v>
      </c>
      <c r="AA47">
        <v>756.19</v>
      </c>
      <c r="AB47">
        <v>768.45</v>
      </c>
      <c r="AC47" s="121">
        <v>1.6199999999999999E-2</v>
      </c>
      <c r="AD47" s="159">
        <v>1247.31</v>
      </c>
      <c r="AE47" s="121">
        <v>0.64949999999999997</v>
      </c>
      <c r="AF47" s="159">
        <v>1557.31</v>
      </c>
      <c r="AG47" s="121">
        <v>1.0593999999999999</v>
      </c>
      <c r="AH47">
        <v>143.99</v>
      </c>
      <c r="AI47" s="121">
        <v>-0.80959999999999999</v>
      </c>
      <c r="AJ47">
        <v>148.16</v>
      </c>
      <c r="AK47" s="121">
        <v>-0.80410000000000004</v>
      </c>
      <c r="AL47" s="159">
        <v>18539.189999999999</v>
      </c>
      <c r="AM47" s="121">
        <v>23.5166</v>
      </c>
      <c r="AN47" s="159">
        <v>18839.830000000002</v>
      </c>
      <c r="AO47" s="121">
        <v>23.914200000000001</v>
      </c>
      <c r="AP47" s="159">
        <v>30579.82</v>
      </c>
      <c r="AQ47" s="121">
        <v>39.439399999999999</v>
      </c>
      <c r="AR47" s="159">
        <v>38179.919999999998</v>
      </c>
      <c r="AS47" s="121">
        <v>49.489899999999999</v>
      </c>
      <c r="AT47" s="159">
        <v>3592.83</v>
      </c>
      <c r="AU47" s="121">
        <v>3.7511999999999999</v>
      </c>
      <c r="AV47" s="159">
        <v>3664.85</v>
      </c>
      <c r="AW47" s="121">
        <v>3.8464999999999998</v>
      </c>
      <c r="AX47" t="s">
        <v>430</v>
      </c>
    </row>
    <row r="48" spans="1:50">
      <c r="A48" t="s">
        <v>407</v>
      </c>
      <c r="B48">
        <v>1</v>
      </c>
      <c r="C48" t="s">
        <v>436</v>
      </c>
      <c r="D48" t="s">
        <v>437</v>
      </c>
      <c r="F48" t="s">
        <v>454</v>
      </c>
      <c r="G48">
        <v>34.21</v>
      </c>
      <c r="H48">
        <v>38.6</v>
      </c>
      <c r="I48" s="121">
        <v>0.1283</v>
      </c>
      <c r="J48">
        <v>80.56</v>
      </c>
      <c r="K48" s="121">
        <v>1.3545</v>
      </c>
      <c r="L48">
        <v>100.58</v>
      </c>
      <c r="M48" s="121">
        <v>1.9399</v>
      </c>
      <c r="N48">
        <v>6.9</v>
      </c>
      <c r="O48" s="121">
        <v>-0.79830000000000001</v>
      </c>
      <c r="P48">
        <v>7.1</v>
      </c>
      <c r="Q48" s="121">
        <v>-0.79239999999999999</v>
      </c>
      <c r="R48" t="s">
        <v>430</v>
      </c>
      <c r="U48" t="s">
        <v>407</v>
      </c>
      <c r="V48">
        <v>1</v>
      </c>
      <c r="W48" t="s">
        <v>438</v>
      </c>
      <c r="X48" t="s">
        <v>437</v>
      </c>
      <c r="Z48" t="s">
        <v>454</v>
      </c>
      <c r="AA48">
        <v>66.37</v>
      </c>
      <c r="AB48">
        <v>74.88</v>
      </c>
      <c r="AC48" s="121">
        <v>0.1283</v>
      </c>
      <c r="AD48">
        <v>156.26</v>
      </c>
      <c r="AE48" s="121">
        <v>1.3545</v>
      </c>
      <c r="AF48">
        <v>195.1</v>
      </c>
      <c r="AG48" s="121">
        <v>1.9398</v>
      </c>
      <c r="AH48">
        <v>13.39</v>
      </c>
      <c r="AI48" s="121">
        <v>-0.79830000000000001</v>
      </c>
      <c r="AJ48">
        <v>13.77</v>
      </c>
      <c r="AK48" s="121">
        <v>-0.79249999999999998</v>
      </c>
      <c r="AL48" s="159">
        <v>1626</v>
      </c>
      <c r="AM48" s="121">
        <v>23.5154</v>
      </c>
      <c r="AN48" s="159">
        <v>1835.95</v>
      </c>
      <c r="AO48" s="121">
        <v>26.663900000000002</v>
      </c>
      <c r="AP48" s="159">
        <v>3831.03</v>
      </c>
      <c r="AQ48" s="121">
        <v>56.7256</v>
      </c>
      <c r="AR48" s="159">
        <v>4783.18</v>
      </c>
      <c r="AS48" s="121">
        <v>71.072299999999998</v>
      </c>
      <c r="AT48">
        <v>333.78</v>
      </c>
      <c r="AU48" s="121">
        <v>4.0293999999999999</v>
      </c>
      <c r="AV48">
        <v>340.55</v>
      </c>
      <c r="AW48" s="121">
        <v>4.1313000000000004</v>
      </c>
      <c r="AX48" t="s">
        <v>430</v>
      </c>
    </row>
    <row r="49" spans="1:50">
      <c r="A49" t="s">
        <v>407</v>
      </c>
      <c r="B49">
        <v>0</v>
      </c>
      <c r="C49" t="s">
        <v>436</v>
      </c>
      <c r="D49" t="s">
        <v>437</v>
      </c>
      <c r="F49" t="s">
        <v>429</v>
      </c>
      <c r="G49" s="159">
        <v>2730.32</v>
      </c>
      <c r="H49" s="159">
        <v>2928.49</v>
      </c>
      <c r="I49" s="121">
        <v>7.2599999999999998E-2</v>
      </c>
      <c r="J49" s="159">
        <v>5217.6899999999996</v>
      </c>
      <c r="K49" s="121">
        <v>0.91100000000000003</v>
      </c>
      <c r="L49" s="159">
        <v>6514.48</v>
      </c>
      <c r="M49" s="121">
        <v>1.3859999999999999</v>
      </c>
      <c r="N49">
        <v>613.02</v>
      </c>
      <c r="O49" s="121">
        <v>-0.77549999999999997</v>
      </c>
      <c r="P49">
        <v>630.79</v>
      </c>
      <c r="Q49" s="121">
        <v>-0.76900000000000002</v>
      </c>
      <c r="R49" t="s">
        <v>430</v>
      </c>
      <c r="U49" t="s">
        <v>407</v>
      </c>
      <c r="V49">
        <v>0</v>
      </c>
      <c r="W49" t="s">
        <v>438</v>
      </c>
      <c r="X49" t="s">
        <v>437</v>
      </c>
      <c r="Z49" t="s">
        <v>429</v>
      </c>
      <c r="AA49" s="159">
        <v>5296.07</v>
      </c>
      <c r="AB49" s="159">
        <v>5680.49</v>
      </c>
      <c r="AC49" s="121">
        <v>7.2599999999999998E-2</v>
      </c>
      <c r="AD49" s="159">
        <v>10120.92</v>
      </c>
      <c r="AE49" s="121">
        <v>0.91100000000000003</v>
      </c>
      <c r="AF49" s="159">
        <v>12636.33</v>
      </c>
      <c r="AG49" s="121">
        <v>1.3859999999999999</v>
      </c>
      <c r="AH49" s="159">
        <v>1131.3699999999999</v>
      </c>
      <c r="AI49" s="121">
        <v>-0.78639999999999999</v>
      </c>
      <c r="AJ49" s="159">
        <v>1164.1600000000001</v>
      </c>
      <c r="AK49" s="121">
        <v>-0.7802</v>
      </c>
      <c r="AL49" s="159">
        <v>129841.43</v>
      </c>
      <c r="AM49" s="121">
        <v>23.5166</v>
      </c>
      <c r="AN49" s="159">
        <v>139266.28</v>
      </c>
      <c r="AO49" s="121">
        <v>25.296199999999999</v>
      </c>
      <c r="AP49" s="159">
        <v>248130.32</v>
      </c>
      <c r="AQ49" s="121">
        <v>45.851799999999997</v>
      </c>
      <c r="AR49" s="159">
        <v>309799</v>
      </c>
      <c r="AS49" s="121">
        <v>57.496000000000002</v>
      </c>
      <c r="AT49" s="159">
        <v>28061.83</v>
      </c>
      <c r="AU49" s="121">
        <v>4.2986000000000004</v>
      </c>
      <c r="AV49" s="159">
        <v>28993.74</v>
      </c>
      <c r="AW49" s="121">
        <v>4.4745999999999997</v>
      </c>
      <c r="AX49" t="s">
        <v>430</v>
      </c>
    </row>
    <row r="50" spans="1:50">
      <c r="A50" t="s">
        <v>407</v>
      </c>
      <c r="B50">
        <v>0</v>
      </c>
      <c r="C50" t="s">
        <v>436</v>
      </c>
      <c r="D50" t="s">
        <v>437</v>
      </c>
      <c r="F50" t="s">
        <v>455</v>
      </c>
      <c r="G50">
        <v>455.94</v>
      </c>
      <c r="H50">
        <v>518.26</v>
      </c>
      <c r="I50" s="121">
        <v>0.13669999999999999</v>
      </c>
      <c r="J50">
        <v>983.07</v>
      </c>
      <c r="K50" s="121">
        <v>1.1561999999999999</v>
      </c>
      <c r="L50" s="159">
        <v>1227.4000000000001</v>
      </c>
      <c r="M50" s="121">
        <v>1.6920999999999999</v>
      </c>
      <c r="N50">
        <v>114.72</v>
      </c>
      <c r="O50" s="121">
        <v>-0.74839999999999995</v>
      </c>
      <c r="P50">
        <v>118.04</v>
      </c>
      <c r="Q50" s="121">
        <v>-0.74109999999999998</v>
      </c>
      <c r="R50" t="s">
        <v>430</v>
      </c>
      <c r="U50" t="s">
        <v>407</v>
      </c>
      <c r="V50">
        <v>0</v>
      </c>
      <c r="W50" t="s">
        <v>438</v>
      </c>
      <c r="X50" t="s">
        <v>437</v>
      </c>
      <c r="Z50" t="s">
        <v>455</v>
      </c>
      <c r="AA50">
        <v>884.39</v>
      </c>
      <c r="AB50" s="159">
        <v>1005.28</v>
      </c>
      <c r="AC50" s="121">
        <v>0.13669999999999999</v>
      </c>
      <c r="AD50" s="159">
        <v>1906.9</v>
      </c>
      <c r="AE50" s="121">
        <v>1.1561999999999999</v>
      </c>
      <c r="AF50" s="159">
        <v>2380.83</v>
      </c>
      <c r="AG50" s="121">
        <v>1.6920999999999999</v>
      </c>
      <c r="AH50">
        <v>222.52</v>
      </c>
      <c r="AI50" s="121">
        <v>-0.74839999999999995</v>
      </c>
      <c r="AJ50">
        <v>228.97</v>
      </c>
      <c r="AK50" s="121">
        <v>-0.74109999999999998</v>
      </c>
      <c r="AL50" s="159">
        <v>21682.22</v>
      </c>
      <c r="AM50" s="121">
        <v>23.5166</v>
      </c>
      <c r="AN50" s="159">
        <v>24646.04</v>
      </c>
      <c r="AO50" s="121">
        <v>26.867799999999999</v>
      </c>
      <c r="AP50" s="159">
        <v>46750.65</v>
      </c>
      <c r="AQ50" s="121">
        <v>51.862000000000002</v>
      </c>
      <c r="AR50" s="159">
        <v>58369.75</v>
      </c>
      <c r="AS50" s="121">
        <v>65</v>
      </c>
      <c r="AT50" s="159">
        <v>5393.23</v>
      </c>
      <c r="AU50" s="121">
        <v>5.0982000000000003</v>
      </c>
      <c r="AV50" s="159">
        <v>5581</v>
      </c>
      <c r="AW50" s="121">
        <v>5.3106</v>
      </c>
      <c r="AX50" t="s">
        <v>430</v>
      </c>
    </row>
    <row r="51" spans="1:50">
      <c r="A51" t="s">
        <v>407</v>
      </c>
      <c r="B51">
        <v>0</v>
      </c>
      <c r="C51" t="s">
        <v>436</v>
      </c>
      <c r="D51" t="s">
        <v>437</v>
      </c>
      <c r="F51" t="s">
        <v>456</v>
      </c>
      <c r="G51">
        <v>455.94</v>
      </c>
      <c r="H51">
        <v>518.26</v>
      </c>
      <c r="I51" s="121">
        <v>0.13669999999999999</v>
      </c>
      <c r="J51">
        <v>983.07</v>
      </c>
      <c r="K51" s="121">
        <v>1.1561999999999999</v>
      </c>
      <c r="L51" s="159">
        <v>1227.4000000000001</v>
      </c>
      <c r="M51" s="121">
        <v>1.6920999999999999</v>
      </c>
      <c r="N51">
        <v>114.72</v>
      </c>
      <c r="O51" s="121">
        <v>-0.74839999999999995</v>
      </c>
      <c r="P51">
        <v>118.04</v>
      </c>
      <c r="Q51" s="121">
        <v>-0.74109999999999998</v>
      </c>
      <c r="R51" t="s">
        <v>430</v>
      </c>
      <c r="U51" t="s">
        <v>407</v>
      </c>
      <c r="V51">
        <v>0</v>
      </c>
      <c r="W51" t="s">
        <v>438</v>
      </c>
      <c r="X51" t="s">
        <v>437</v>
      </c>
      <c r="Z51" t="s">
        <v>456</v>
      </c>
      <c r="AA51">
        <v>884.39</v>
      </c>
      <c r="AB51" s="159">
        <v>1005.28</v>
      </c>
      <c r="AC51" s="121">
        <v>0.13669999999999999</v>
      </c>
      <c r="AD51" s="159">
        <v>1906.9</v>
      </c>
      <c r="AE51" s="121">
        <v>1.1561999999999999</v>
      </c>
      <c r="AF51" s="159">
        <v>2380.83</v>
      </c>
      <c r="AG51" s="121">
        <v>1.6920999999999999</v>
      </c>
      <c r="AH51">
        <v>222.52</v>
      </c>
      <c r="AI51" s="121">
        <v>-0.74839999999999995</v>
      </c>
      <c r="AJ51">
        <v>228.97</v>
      </c>
      <c r="AK51" s="121">
        <v>-0.74109999999999998</v>
      </c>
      <c r="AL51" s="159">
        <v>21682.22</v>
      </c>
      <c r="AM51" s="121">
        <v>23.5166</v>
      </c>
      <c r="AN51" s="159">
        <v>24646.04</v>
      </c>
      <c r="AO51" s="121">
        <v>26.867799999999999</v>
      </c>
      <c r="AP51" s="159">
        <v>46750.65</v>
      </c>
      <c r="AQ51" s="121">
        <v>51.862000000000002</v>
      </c>
      <c r="AR51" s="159">
        <v>58369.75</v>
      </c>
      <c r="AS51" s="121">
        <v>65</v>
      </c>
      <c r="AT51" s="159">
        <v>5393.23</v>
      </c>
      <c r="AU51" s="121">
        <v>5.0982000000000003</v>
      </c>
      <c r="AV51" s="159">
        <v>5581</v>
      </c>
      <c r="AW51" s="121">
        <v>5.3106</v>
      </c>
      <c r="AX51" t="s">
        <v>430</v>
      </c>
    </row>
    <row r="52" spans="1:50">
      <c r="A52" t="s">
        <v>407</v>
      </c>
      <c r="B52">
        <v>1</v>
      </c>
      <c r="C52" t="s">
        <v>436</v>
      </c>
      <c r="D52" t="s">
        <v>437</v>
      </c>
      <c r="F52" t="s">
        <v>457</v>
      </c>
      <c r="G52" s="159">
        <v>69651.78</v>
      </c>
      <c r="H52" s="159">
        <v>79991.61</v>
      </c>
      <c r="I52" s="121">
        <v>0.14849999999999999</v>
      </c>
      <c r="J52" s="159">
        <v>183806.57</v>
      </c>
      <c r="K52" s="121">
        <v>1.6389</v>
      </c>
      <c r="L52" s="159">
        <v>229489.27</v>
      </c>
      <c r="M52" s="121">
        <v>2.2948</v>
      </c>
      <c r="N52" s="159">
        <v>23096.560000000001</v>
      </c>
      <c r="O52" s="121">
        <v>-0.66839999999999999</v>
      </c>
      <c r="P52" s="159">
        <v>23765.919999999998</v>
      </c>
      <c r="Q52" s="121">
        <v>-0.65880000000000005</v>
      </c>
      <c r="R52" t="s">
        <v>426</v>
      </c>
      <c r="U52" t="s">
        <v>407</v>
      </c>
      <c r="V52">
        <v>1</v>
      </c>
      <c r="W52" t="s">
        <v>438</v>
      </c>
      <c r="X52" t="s">
        <v>437</v>
      </c>
      <c r="Z52" t="s">
        <v>457</v>
      </c>
      <c r="AA52" s="159">
        <v>135105.29999999999</v>
      </c>
      <c r="AB52" s="159">
        <v>155162.09</v>
      </c>
      <c r="AC52" s="121">
        <v>0.14849999999999999</v>
      </c>
      <c r="AD52" s="159">
        <v>356535.32</v>
      </c>
      <c r="AE52" s="121">
        <v>1.6389</v>
      </c>
      <c r="AF52" s="159">
        <v>445147.25</v>
      </c>
      <c r="AG52" s="121">
        <v>2.2948</v>
      </c>
      <c r="AH52" s="159">
        <v>45892.85</v>
      </c>
      <c r="AI52" s="121">
        <v>-0.6603</v>
      </c>
      <c r="AJ52" s="159">
        <v>47223</v>
      </c>
      <c r="AK52" s="121">
        <v>-0.65049999999999997</v>
      </c>
      <c r="AL52" s="159">
        <v>3312320.03</v>
      </c>
      <c r="AM52" s="121">
        <v>23.5166</v>
      </c>
      <c r="AN52" s="159">
        <v>3804045.59</v>
      </c>
      <c r="AO52" s="121">
        <v>27.156199999999998</v>
      </c>
      <c r="AP52" s="159">
        <v>8741027.1099999994</v>
      </c>
      <c r="AQ52" s="121">
        <v>63.697899999999997</v>
      </c>
      <c r="AR52" s="159">
        <v>10913464.5</v>
      </c>
      <c r="AS52" s="121">
        <v>79.777500000000003</v>
      </c>
      <c r="AT52" s="159">
        <v>1042396.13</v>
      </c>
      <c r="AU52" s="121">
        <v>6.7153999999999998</v>
      </c>
      <c r="AV52" s="159">
        <v>1104593.5900000001</v>
      </c>
      <c r="AW52" s="121">
        <v>7.1757999999999997</v>
      </c>
      <c r="AX52" t="s">
        <v>426</v>
      </c>
    </row>
    <row r="53" spans="1:50">
      <c r="A53" t="s">
        <v>407</v>
      </c>
      <c r="B53">
        <v>0</v>
      </c>
      <c r="C53" t="s">
        <v>436</v>
      </c>
      <c r="D53" t="s">
        <v>437</v>
      </c>
      <c r="F53" t="s">
        <v>431</v>
      </c>
      <c r="G53" s="159">
        <v>151116.9</v>
      </c>
      <c r="H53" s="159">
        <v>171615.92</v>
      </c>
      <c r="I53" s="121">
        <v>0.13569999999999999</v>
      </c>
      <c r="J53" s="159">
        <v>351305.81</v>
      </c>
      <c r="K53" s="121">
        <v>1.3247</v>
      </c>
      <c r="L53" s="159">
        <v>457371.95</v>
      </c>
      <c r="M53" s="121">
        <v>2.0266000000000002</v>
      </c>
      <c r="N53" s="159">
        <v>52809.91</v>
      </c>
      <c r="O53" s="121">
        <v>-0.65049999999999997</v>
      </c>
      <c r="P53" s="159">
        <v>58486</v>
      </c>
      <c r="Q53" s="121">
        <v>-0.61299999999999999</v>
      </c>
      <c r="R53" t="s">
        <v>410</v>
      </c>
      <c r="U53" t="s">
        <v>407</v>
      </c>
      <c r="V53">
        <v>0</v>
      </c>
      <c r="W53" t="s">
        <v>438</v>
      </c>
      <c r="X53" t="s">
        <v>437</v>
      </c>
      <c r="Z53" t="s">
        <v>431</v>
      </c>
      <c r="AA53" s="159">
        <v>251730.89</v>
      </c>
      <c r="AB53" s="159">
        <v>289227.61</v>
      </c>
      <c r="AC53" s="121">
        <v>0.14899999999999999</v>
      </c>
      <c r="AD53" s="159">
        <v>594668.85</v>
      </c>
      <c r="AE53" s="121">
        <v>1.3623000000000001</v>
      </c>
      <c r="AF53" s="159">
        <v>783285.79</v>
      </c>
      <c r="AG53" s="121">
        <v>2.1116000000000001</v>
      </c>
      <c r="AH53" s="159">
        <v>93776.72</v>
      </c>
      <c r="AI53" s="121">
        <v>-0.62749999999999995</v>
      </c>
      <c r="AJ53" s="159">
        <v>104901.7</v>
      </c>
      <c r="AK53" s="121">
        <v>-0.58330000000000004</v>
      </c>
      <c r="AL53" s="159">
        <v>6888371.7000000002</v>
      </c>
      <c r="AM53" s="121">
        <v>26.364000000000001</v>
      </c>
      <c r="AN53" s="159">
        <v>8184553.0300000003</v>
      </c>
      <c r="AO53" s="121">
        <v>31.513100000000001</v>
      </c>
      <c r="AP53" s="159">
        <v>16682801.9</v>
      </c>
      <c r="AQ53" s="121">
        <v>65.272400000000005</v>
      </c>
      <c r="AR53" s="159">
        <v>22839282.920000002</v>
      </c>
      <c r="AS53" s="121">
        <v>89.728999999999999</v>
      </c>
      <c r="AT53" s="159">
        <v>2563130.2400000002</v>
      </c>
      <c r="AU53" s="121">
        <v>9.1820000000000004</v>
      </c>
      <c r="AV53" s="159">
        <v>3003346.44</v>
      </c>
      <c r="AW53" s="121">
        <v>10.9308</v>
      </c>
      <c r="AX53" t="s">
        <v>410</v>
      </c>
    </row>
    <row r="54" spans="1:50">
      <c r="A54" t="s">
        <v>407</v>
      </c>
      <c r="B54">
        <v>0</v>
      </c>
      <c r="C54" t="s">
        <v>436</v>
      </c>
      <c r="D54" t="s">
        <v>437</v>
      </c>
      <c r="F54" t="s">
        <v>432</v>
      </c>
      <c r="G54" s="159">
        <v>60298.879999999997</v>
      </c>
      <c r="H54" s="159">
        <v>85169.07</v>
      </c>
      <c r="I54" s="121">
        <v>0.41239999999999999</v>
      </c>
      <c r="J54" s="159">
        <v>180911.24</v>
      </c>
      <c r="K54" s="121">
        <v>2.0002</v>
      </c>
      <c r="L54" s="159">
        <v>288170.12</v>
      </c>
      <c r="M54" s="121">
        <v>3.7789999999999999</v>
      </c>
      <c r="N54" s="159">
        <v>35868.04</v>
      </c>
      <c r="O54" s="121">
        <v>-0.4052</v>
      </c>
      <c r="P54" s="159">
        <v>47991.21</v>
      </c>
      <c r="Q54" s="121">
        <v>-0.2041</v>
      </c>
      <c r="R54" t="s">
        <v>415</v>
      </c>
      <c r="U54" t="s">
        <v>407</v>
      </c>
      <c r="V54">
        <v>0</v>
      </c>
      <c r="W54" t="s">
        <v>438</v>
      </c>
      <c r="X54" t="s">
        <v>437</v>
      </c>
      <c r="Z54" t="s">
        <v>432</v>
      </c>
      <c r="AA54" s="159">
        <v>261693.62</v>
      </c>
      <c r="AB54" s="159">
        <v>341912.48</v>
      </c>
      <c r="AC54" s="121">
        <v>0.30649999999999999</v>
      </c>
      <c r="AD54" s="159">
        <v>723824.36</v>
      </c>
      <c r="AE54" s="121">
        <v>1.7659</v>
      </c>
      <c r="AF54" s="159">
        <v>1083770.3500000001</v>
      </c>
      <c r="AG54" s="121">
        <v>3.1414</v>
      </c>
      <c r="AH54" s="159">
        <v>130476.33</v>
      </c>
      <c r="AI54" s="121">
        <v>-0.50139999999999996</v>
      </c>
      <c r="AJ54" s="159">
        <v>166564.39000000001</v>
      </c>
      <c r="AK54" s="121">
        <v>-0.36349999999999999</v>
      </c>
      <c r="AL54" s="159">
        <v>14745911.16</v>
      </c>
      <c r="AM54" s="121">
        <v>55.347999999999999</v>
      </c>
      <c r="AN54" s="159">
        <v>18537024.66</v>
      </c>
      <c r="AO54" s="121">
        <v>69.834800000000001</v>
      </c>
      <c r="AP54" s="159">
        <v>38127614.609999999</v>
      </c>
      <c r="AQ54" s="121">
        <v>144.69560000000001</v>
      </c>
      <c r="AR54" s="159">
        <v>55045566.159999996</v>
      </c>
      <c r="AS54" s="121">
        <v>209.34360000000001</v>
      </c>
      <c r="AT54" s="159">
        <v>6461673.5</v>
      </c>
      <c r="AU54" s="121">
        <v>23.691800000000001</v>
      </c>
      <c r="AV54" s="159">
        <v>7998225.7199999997</v>
      </c>
      <c r="AW54" s="121">
        <v>29.563300000000002</v>
      </c>
      <c r="AX54" t="s">
        <v>415</v>
      </c>
    </row>
    <row r="55" spans="1:50">
      <c r="A55" t="s">
        <v>407</v>
      </c>
      <c r="B55">
        <v>0</v>
      </c>
      <c r="C55" t="s">
        <v>436</v>
      </c>
      <c r="D55" t="s">
        <v>437</v>
      </c>
      <c r="F55" t="s">
        <v>458</v>
      </c>
      <c r="G55">
        <v>0</v>
      </c>
      <c r="H55">
        <v>0</v>
      </c>
      <c r="I55" s="121">
        <v>0</v>
      </c>
      <c r="J55">
        <v>0</v>
      </c>
      <c r="K55" s="121">
        <v>0</v>
      </c>
      <c r="L55">
        <v>0</v>
      </c>
      <c r="M55" s="121">
        <v>0</v>
      </c>
      <c r="N55">
        <v>0</v>
      </c>
      <c r="O55" s="121">
        <v>0</v>
      </c>
      <c r="P55">
        <v>0</v>
      </c>
      <c r="Q55" s="121">
        <v>0</v>
      </c>
      <c r="R55" t="s">
        <v>426</v>
      </c>
      <c r="U55" t="s">
        <v>407</v>
      </c>
      <c r="V55">
        <v>0</v>
      </c>
      <c r="W55" t="s">
        <v>438</v>
      </c>
      <c r="X55" t="s">
        <v>437</v>
      </c>
      <c r="Z55" t="s">
        <v>458</v>
      </c>
      <c r="AA55">
        <v>0</v>
      </c>
      <c r="AB55">
        <v>0</v>
      </c>
      <c r="AC55" s="121">
        <v>0</v>
      </c>
      <c r="AD55">
        <v>0</v>
      </c>
      <c r="AE55" s="121">
        <v>0</v>
      </c>
      <c r="AF55">
        <v>0</v>
      </c>
      <c r="AG55" s="121">
        <v>0</v>
      </c>
      <c r="AH55">
        <v>0</v>
      </c>
      <c r="AI55" s="121">
        <v>0</v>
      </c>
      <c r="AJ55">
        <v>0</v>
      </c>
      <c r="AK55" s="121">
        <v>0</v>
      </c>
      <c r="AL55">
        <v>0</v>
      </c>
      <c r="AM55" s="121">
        <v>0</v>
      </c>
      <c r="AN55">
        <v>0</v>
      </c>
      <c r="AO55" s="121">
        <v>0</v>
      </c>
      <c r="AP55">
        <v>0</v>
      </c>
      <c r="AQ55" s="121">
        <v>0</v>
      </c>
      <c r="AR55">
        <v>0</v>
      </c>
      <c r="AS55" s="121">
        <v>0</v>
      </c>
      <c r="AT55">
        <v>0</v>
      </c>
      <c r="AU55" s="121">
        <v>0</v>
      </c>
      <c r="AV55">
        <v>0</v>
      </c>
      <c r="AW55" s="121">
        <v>0</v>
      </c>
      <c r="AX55" t="s">
        <v>426</v>
      </c>
    </row>
    <row r="56" spans="1:50">
      <c r="A56" t="s">
        <v>407</v>
      </c>
      <c r="B56">
        <v>0</v>
      </c>
      <c r="C56" t="s">
        <v>436</v>
      </c>
      <c r="D56" t="s">
        <v>437</v>
      </c>
      <c r="F56" t="s">
        <v>459</v>
      </c>
      <c r="G56">
        <v>0</v>
      </c>
      <c r="H56">
        <v>0</v>
      </c>
      <c r="I56" s="121">
        <v>0</v>
      </c>
      <c r="J56">
        <v>0</v>
      </c>
      <c r="K56" s="121">
        <v>0</v>
      </c>
      <c r="L56">
        <v>0</v>
      </c>
      <c r="M56" s="121">
        <v>0</v>
      </c>
      <c r="N56">
        <v>0</v>
      </c>
      <c r="O56" s="121">
        <v>0</v>
      </c>
      <c r="P56">
        <v>0</v>
      </c>
      <c r="Q56" s="121">
        <v>0</v>
      </c>
      <c r="R56" t="s">
        <v>426</v>
      </c>
      <c r="U56" t="s">
        <v>407</v>
      </c>
      <c r="V56">
        <v>0</v>
      </c>
      <c r="W56" t="s">
        <v>438</v>
      </c>
      <c r="X56" t="s">
        <v>437</v>
      </c>
      <c r="Z56" t="s">
        <v>459</v>
      </c>
      <c r="AA56">
        <v>0</v>
      </c>
      <c r="AB56">
        <v>0</v>
      </c>
      <c r="AC56" s="121">
        <v>0</v>
      </c>
      <c r="AD56">
        <v>0</v>
      </c>
      <c r="AE56" s="121">
        <v>0</v>
      </c>
      <c r="AF56">
        <v>0</v>
      </c>
      <c r="AG56" s="121">
        <v>0</v>
      </c>
      <c r="AH56">
        <v>0</v>
      </c>
      <c r="AI56" s="121">
        <v>0</v>
      </c>
      <c r="AJ56">
        <v>0</v>
      </c>
      <c r="AK56" s="121">
        <v>0</v>
      </c>
      <c r="AL56">
        <v>0</v>
      </c>
      <c r="AM56" s="121">
        <v>0</v>
      </c>
      <c r="AN56">
        <v>0</v>
      </c>
      <c r="AO56" s="121">
        <v>0</v>
      </c>
      <c r="AP56">
        <v>0</v>
      </c>
      <c r="AQ56" s="121">
        <v>0</v>
      </c>
      <c r="AR56">
        <v>0</v>
      </c>
      <c r="AS56" s="121">
        <v>0</v>
      </c>
      <c r="AT56">
        <v>0</v>
      </c>
      <c r="AU56" s="121">
        <v>0</v>
      </c>
      <c r="AV56">
        <v>0</v>
      </c>
      <c r="AW56" s="121">
        <v>0</v>
      </c>
      <c r="AX56" t="s">
        <v>426</v>
      </c>
    </row>
    <row r="57" spans="1:50">
      <c r="A57" t="s">
        <v>407</v>
      </c>
      <c r="B57">
        <v>0</v>
      </c>
      <c r="C57" t="s">
        <v>436</v>
      </c>
      <c r="D57" t="s">
        <v>437</v>
      </c>
      <c r="F57" t="s">
        <v>460</v>
      </c>
      <c r="G57" s="159">
        <v>503465.16</v>
      </c>
      <c r="H57" s="159">
        <v>533603.28</v>
      </c>
      <c r="I57" s="121">
        <v>5.9900000000000002E-2</v>
      </c>
      <c r="J57" s="159">
        <v>1281100.04</v>
      </c>
      <c r="K57" s="121">
        <v>1.5446</v>
      </c>
      <c r="L57" s="159">
        <v>1599499.31</v>
      </c>
      <c r="M57" s="121">
        <v>2.177</v>
      </c>
      <c r="N57" s="159">
        <v>159846.39000000001</v>
      </c>
      <c r="O57" s="121">
        <v>-0.6825</v>
      </c>
      <c r="P57" s="159">
        <v>164478.59</v>
      </c>
      <c r="Q57" s="121">
        <v>-0.67330000000000001</v>
      </c>
      <c r="R57" t="s">
        <v>426</v>
      </c>
      <c r="U57" t="s">
        <v>407</v>
      </c>
      <c r="V57">
        <v>0</v>
      </c>
      <c r="W57" t="s">
        <v>438</v>
      </c>
      <c r="X57" t="s">
        <v>437</v>
      </c>
      <c r="Z57" t="s">
        <v>460</v>
      </c>
      <c r="AA57" s="159">
        <v>775621.05</v>
      </c>
      <c r="AB57" s="159">
        <v>825057.65</v>
      </c>
      <c r="AC57" s="121">
        <v>6.3700000000000007E-2</v>
      </c>
      <c r="AD57" s="159">
        <v>1983753.71</v>
      </c>
      <c r="AE57" s="121">
        <v>1.5576000000000001</v>
      </c>
      <c r="AF57" s="159">
        <v>2476787.52</v>
      </c>
      <c r="AG57" s="121">
        <v>2.1932999999999998</v>
      </c>
      <c r="AH57" s="159">
        <v>220748.81</v>
      </c>
      <c r="AI57" s="121">
        <v>-0.71540000000000004</v>
      </c>
      <c r="AJ57" s="159">
        <v>227147.51</v>
      </c>
      <c r="AK57" s="121">
        <v>-0.70709999999999995</v>
      </c>
      <c r="AL57" s="159">
        <v>18570068.289999999</v>
      </c>
      <c r="AM57" s="121">
        <v>22.9422</v>
      </c>
      <c r="AN57" s="159">
        <v>19766075.199999999</v>
      </c>
      <c r="AO57" s="121">
        <v>24.484200000000001</v>
      </c>
      <c r="AP57" s="159">
        <v>47537164.409999996</v>
      </c>
      <c r="AQ57" s="121">
        <v>60.289200000000001</v>
      </c>
      <c r="AR57" s="159">
        <v>59351738.130000003</v>
      </c>
      <c r="AS57" s="121">
        <v>75.521600000000007</v>
      </c>
      <c r="AT57" s="159">
        <v>5739552.4500000002</v>
      </c>
      <c r="AU57" s="121">
        <v>6.3998999999999997</v>
      </c>
      <c r="AV57" s="159">
        <v>6015108.8600000003</v>
      </c>
      <c r="AW57" s="121">
        <v>6.7552000000000003</v>
      </c>
      <c r="AX57" t="s">
        <v>426</v>
      </c>
    </row>
    <row r="58" spans="1:50">
      <c r="A58" t="s">
        <v>407</v>
      </c>
      <c r="B58">
        <v>0</v>
      </c>
      <c r="C58" t="s">
        <v>436</v>
      </c>
      <c r="D58" t="s">
        <v>437</v>
      </c>
      <c r="F58" t="s">
        <v>461</v>
      </c>
      <c r="G58" s="159">
        <v>846268.59</v>
      </c>
      <c r="H58" s="159">
        <v>882659.08</v>
      </c>
      <c r="I58" s="121">
        <v>4.2999999999999997E-2</v>
      </c>
      <c r="J58" s="159">
        <v>1914067.7</v>
      </c>
      <c r="K58" s="121">
        <v>1.2618</v>
      </c>
      <c r="L58" s="159">
        <v>2389775.7200000002</v>
      </c>
      <c r="M58" s="121">
        <v>1.8239000000000001</v>
      </c>
      <c r="N58" s="159">
        <v>270758.96999999997</v>
      </c>
      <c r="O58" s="121">
        <v>-0.68010000000000004</v>
      </c>
      <c r="P58" s="159">
        <v>278602.89</v>
      </c>
      <c r="Q58" s="121">
        <v>-0.67079999999999995</v>
      </c>
      <c r="R58" t="s">
        <v>426</v>
      </c>
      <c r="U58" t="s">
        <v>407</v>
      </c>
      <c r="V58">
        <v>0</v>
      </c>
      <c r="W58" t="s">
        <v>438</v>
      </c>
      <c r="X58" t="s">
        <v>437</v>
      </c>
      <c r="Z58" t="s">
        <v>461</v>
      </c>
      <c r="AA58" s="159">
        <v>1284554.44</v>
      </c>
      <c r="AB58" s="159">
        <v>1343555.08</v>
      </c>
      <c r="AC58" s="121">
        <v>4.5900000000000003E-2</v>
      </c>
      <c r="AD58" s="159">
        <v>2915953.63</v>
      </c>
      <c r="AE58" s="121">
        <v>1.27</v>
      </c>
      <c r="AF58" s="159">
        <v>3640668.63</v>
      </c>
      <c r="AG58" s="121">
        <v>1.8342000000000001</v>
      </c>
      <c r="AH58" s="159">
        <v>366605.86</v>
      </c>
      <c r="AI58" s="121">
        <v>-0.71460000000000001</v>
      </c>
      <c r="AJ58" s="159">
        <v>377235.75</v>
      </c>
      <c r="AK58" s="121">
        <v>-0.70630000000000004</v>
      </c>
      <c r="AL58" s="159">
        <v>30675984.5</v>
      </c>
      <c r="AM58" s="121">
        <v>22.880600000000001</v>
      </c>
      <c r="AN58" s="159">
        <v>32100586.77</v>
      </c>
      <c r="AO58" s="121">
        <v>23.989699999999999</v>
      </c>
      <c r="AP58" s="159">
        <v>69678908.400000006</v>
      </c>
      <c r="AQ58" s="121">
        <v>53.243600000000001</v>
      </c>
      <c r="AR58" s="159">
        <v>86996443.209999993</v>
      </c>
      <c r="AS58" s="121">
        <v>66.724999999999994</v>
      </c>
      <c r="AT58" s="159">
        <v>8587025.6699999999</v>
      </c>
      <c r="AU58" s="121">
        <v>5.6848000000000001</v>
      </c>
      <c r="AV58" s="159">
        <v>8925383.6600000001</v>
      </c>
      <c r="AW58" s="121">
        <v>5.9481999999999999</v>
      </c>
      <c r="AX58" t="s">
        <v>426</v>
      </c>
    </row>
    <row r="59" spans="1:50">
      <c r="A59" t="s">
        <v>407</v>
      </c>
      <c r="B59">
        <v>0</v>
      </c>
      <c r="C59" t="s">
        <v>436</v>
      </c>
      <c r="D59" t="s">
        <v>437</v>
      </c>
      <c r="F59" t="s">
        <v>462</v>
      </c>
      <c r="G59" s="159">
        <v>6936061.5599999996</v>
      </c>
      <c r="H59" s="159">
        <v>7906148.3600000003</v>
      </c>
      <c r="I59" s="121">
        <v>0.1399</v>
      </c>
      <c r="J59" s="159">
        <v>16124545.859999999</v>
      </c>
      <c r="K59" s="121">
        <v>1.3247</v>
      </c>
      <c r="L59" s="159">
        <v>21069937.379999999</v>
      </c>
      <c r="M59" s="121">
        <v>2.0377000000000001</v>
      </c>
      <c r="N59" s="159">
        <v>2423843.7000000002</v>
      </c>
      <c r="O59" s="121">
        <v>-0.65049999999999997</v>
      </c>
      <c r="P59" s="159">
        <v>2694504.97</v>
      </c>
      <c r="Q59" s="121">
        <v>-0.61150000000000004</v>
      </c>
      <c r="R59" t="s">
        <v>463</v>
      </c>
      <c r="U59" t="s">
        <v>407</v>
      </c>
      <c r="V59">
        <v>0</v>
      </c>
      <c r="W59" t="s">
        <v>438</v>
      </c>
      <c r="X59" t="s">
        <v>437</v>
      </c>
      <c r="Z59" t="s">
        <v>462</v>
      </c>
      <c r="AA59" s="159">
        <v>11320563.109999999</v>
      </c>
      <c r="AB59" s="159">
        <v>13059827.970000001</v>
      </c>
      <c r="AC59" s="121">
        <v>0.15359999999999999</v>
      </c>
      <c r="AD59" s="159">
        <v>26743245</v>
      </c>
      <c r="AE59" s="121">
        <v>1.3624000000000001</v>
      </c>
      <c r="AF59" s="159">
        <v>35370746.799999997</v>
      </c>
      <c r="AG59" s="121">
        <v>2.1244999999999998</v>
      </c>
      <c r="AH59" s="159">
        <v>4214731.66</v>
      </c>
      <c r="AI59" s="121">
        <v>-0.62770000000000004</v>
      </c>
      <c r="AJ59" s="159">
        <v>4735152.0599999996</v>
      </c>
      <c r="AK59" s="121">
        <v>-0.58169999999999999</v>
      </c>
      <c r="AL59" s="159">
        <v>261825029.94999999</v>
      </c>
      <c r="AM59" s="121">
        <v>22.128299999999999</v>
      </c>
      <c r="AN59" s="159">
        <v>309482296.16000003</v>
      </c>
      <c r="AO59" s="121">
        <v>26.338100000000001</v>
      </c>
      <c r="AP59" s="159">
        <v>634083340.10000002</v>
      </c>
      <c r="AQ59" s="121">
        <v>55.011600000000001</v>
      </c>
      <c r="AR59" s="159">
        <v>863635819.57000005</v>
      </c>
      <c r="AS59" s="121">
        <v>75.289100000000005</v>
      </c>
      <c r="AT59" s="159">
        <v>97374808.810000002</v>
      </c>
      <c r="AU59" s="121">
        <v>7.6016000000000004</v>
      </c>
      <c r="AV59" s="159">
        <v>113528425.84</v>
      </c>
      <c r="AW59" s="121">
        <v>9.0284999999999993</v>
      </c>
      <c r="AX59" t="s">
        <v>463</v>
      </c>
    </row>
    <row r="60" spans="1:50">
      <c r="A60" t="s">
        <v>407</v>
      </c>
      <c r="B60">
        <v>0</v>
      </c>
      <c r="C60" t="s">
        <v>436</v>
      </c>
      <c r="D60" t="s">
        <v>437</v>
      </c>
      <c r="F60" t="s">
        <v>433</v>
      </c>
      <c r="G60" s="159">
        <v>4141875.92</v>
      </c>
      <c r="H60" s="159">
        <v>4719986.93</v>
      </c>
      <c r="I60" s="121">
        <v>0.1396</v>
      </c>
      <c r="J60" s="159">
        <v>9669463.7400000002</v>
      </c>
      <c r="K60" s="121">
        <v>1.3346</v>
      </c>
      <c r="L60" s="159">
        <v>12640365.85</v>
      </c>
      <c r="M60" s="121">
        <v>2.0518000000000001</v>
      </c>
      <c r="N60" s="159">
        <v>1462237.34</v>
      </c>
      <c r="O60" s="121">
        <v>-0.64700000000000002</v>
      </c>
      <c r="P60" s="159">
        <v>1627520.46</v>
      </c>
      <c r="Q60" s="121">
        <v>-0.60709999999999997</v>
      </c>
      <c r="R60" t="s">
        <v>434</v>
      </c>
      <c r="U60" t="s">
        <v>407</v>
      </c>
      <c r="V60">
        <v>0</v>
      </c>
      <c r="W60" t="s">
        <v>438</v>
      </c>
      <c r="X60" t="s">
        <v>437</v>
      </c>
      <c r="Z60" t="s">
        <v>433</v>
      </c>
      <c r="AA60" s="159">
        <v>7262227.2199999997</v>
      </c>
      <c r="AB60" s="159">
        <v>8409276.6799999997</v>
      </c>
      <c r="AC60" s="121">
        <v>0.15790000000000001</v>
      </c>
      <c r="AD60" s="159">
        <v>17237260.940000001</v>
      </c>
      <c r="AE60" s="121">
        <v>1.3735999999999999</v>
      </c>
      <c r="AF60" s="159">
        <v>22897120.43</v>
      </c>
      <c r="AG60" s="121">
        <v>2.1528999999999998</v>
      </c>
      <c r="AH60" s="159">
        <v>2730507.73</v>
      </c>
      <c r="AI60" s="121">
        <v>-0.624</v>
      </c>
      <c r="AJ60" s="159">
        <v>3083348.87</v>
      </c>
      <c r="AK60" s="121">
        <v>-0.57540000000000002</v>
      </c>
      <c r="AL60" s="159">
        <v>210658962.53999999</v>
      </c>
      <c r="AM60" s="121">
        <v>28.0075</v>
      </c>
      <c r="AN60" s="159">
        <v>246866331</v>
      </c>
      <c r="AO60" s="121">
        <v>32.993200000000002</v>
      </c>
      <c r="AP60" s="159">
        <v>511363550.67000002</v>
      </c>
      <c r="AQ60" s="121">
        <v>69.414100000000005</v>
      </c>
      <c r="AR60" s="159">
        <v>691181527.83000004</v>
      </c>
      <c r="AS60" s="121">
        <v>94.174899999999994</v>
      </c>
      <c r="AT60" s="159">
        <v>78897337.180000007</v>
      </c>
      <c r="AU60" s="121">
        <v>9.8641000000000005</v>
      </c>
      <c r="AV60" s="159">
        <v>91444823.680000007</v>
      </c>
      <c r="AW60" s="121">
        <v>11.591799999999999</v>
      </c>
      <c r="AX60" t="s">
        <v>434</v>
      </c>
    </row>
    <row r="61" spans="1:50">
      <c r="A61" t="s">
        <v>407</v>
      </c>
      <c r="B61">
        <v>0</v>
      </c>
      <c r="C61" t="s">
        <v>436</v>
      </c>
      <c r="D61" t="s">
        <v>437</v>
      </c>
      <c r="F61" t="s">
        <v>464</v>
      </c>
      <c r="G61" s="159">
        <v>2805914.49</v>
      </c>
      <c r="H61" s="159">
        <v>3332824.19</v>
      </c>
      <c r="I61" s="121">
        <v>0.18779999999999999</v>
      </c>
      <c r="J61" s="159">
        <v>6667424.0999999996</v>
      </c>
      <c r="K61" s="121">
        <v>1.3762000000000001</v>
      </c>
      <c r="L61" s="159">
        <v>8958611.6199999992</v>
      </c>
      <c r="M61" s="121">
        <v>2.1928000000000001</v>
      </c>
      <c r="N61" s="159">
        <v>1073458.9099999999</v>
      </c>
      <c r="O61" s="121">
        <v>-0.61739999999999995</v>
      </c>
      <c r="P61" s="159">
        <v>1234127.3400000001</v>
      </c>
      <c r="Q61" s="121">
        <v>-0.56020000000000003</v>
      </c>
      <c r="R61" t="s">
        <v>434</v>
      </c>
      <c r="U61" t="s">
        <v>407</v>
      </c>
      <c r="V61">
        <v>0</v>
      </c>
      <c r="W61" t="s">
        <v>438</v>
      </c>
      <c r="X61" t="s">
        <v>437</v>
      </c>
      <c r="Z61" t="s">
        <v>464</v>
      </c>
      <c r="AA61" s="159">
        <v>5010470.84</v>
      </c>
      <c r="AB61" s="159">
        <v>6060730.6399999997</v>
      </c>
      <c r="AC61" s="121">
        <v>0.20960000000000001</v>
      </c>
      <c r="AD61" s="159">
        <v>12165463.6</v>
      </c>
      <c r="AE61" s="121">
        <v>1.4279999999999999</v>
      </c>
      <c r="AF61" s="159">
        <v>16672196.27</v>
      </c>
      <c r="AG61" s="121">
        <v>2.3275000000000001</v>
      </c>
      <c r="AH61" s="159">
        <v>2096945.02</v>
      </c>
      <c r="AI61" s="121">
        <v>-0.58150000000000002</v>
      </c>
      <c r="AJ61" s="159">
        <v>2443458.7599999998</v>
      </c>
      <c r="AK61" s="121">
        <v>-0.51229999999999998</v>
      </c>
      <c r="AL61" s="159">
        <v>145627669.66999999</v>
      </c>
      <c r="AM61" s="121">
        <v>28.064699999999998</v>
      </c>
      <c r="AN61" s="159">
        <v>178987275.80000001</v>
      </c>
      <c r="AO61" s="121">
        <v>34.7226</v>
      </c>
      <c r="AP61" s="159">
        <v>364940708.92000002</v>
      </c>
      <c r="AQ61" s="121">
        <v>71.835599999999999</v>
      </c>
      <c r="AR61" s="159">
        <v>511547826.36000001</v>
      </c>
      <c r="AS61" s="121">
        <v>101.0958</v>
      </c>
      <c r="AT61" s="159">
        <v>60855773.659999996</v>
      </c>
      <c r="AU61" s="121">
        <v>11.1457</v>
      </c>
      <c r="AV61" s="159">
        <v>73103501.799999997</v>
      </c>
      <c r="AW61" s="121">
        <v>13.5901</v>
      </c>
      <c r="AX61" t="s">
        <v>434</v>
      </c>
    </row>
    <row r="62" spans="1:50">
      <c r="A62" t="s">
        <v>407</v>
      </c>
      <c r="B62">
        <v>0</v>
      </c>
      <c r="C62" t="s">
        <v>436</v>
      </c>
      <c r="D62" t="s">
        <v>437</v>
      </c>
      <c r="F62" t="s">
        <v>465</v>
      </c>
      <c r="G62" s="159">
        <v>53812.99</v>
      </c>
      <c r="H62" s="159">
        <v>58454.73</v>
      </c>
      <c r="I62" s="121">
        <v>8.6300000000000002E-2</v>
      </c>
      <c r="J62" s="159">
        <v>143530.21</v>
      </c>
      <c r="K62" s="121">
        <v>1.6672</v>
      </c>
      <c r="L62" s="159">
        <v>171258.83</v>
      </c>
      <c r="M62" s="121">
        <v>2.1825000000000001</v>
      </c>
      <c r="N62" s="159">
        <v>12101.04</v>
      </c>
      <c r="O62" s="121">
        <v>-0.77510000000000001</v>
      </c>
      <c r="P62" s="159">
        <v>11902.78</v>
      </c>
      <c r="Q62" s="121">
        <v>-0.77880000000000005</v>
      </c>
      <c r="R62" t="s">
        <v>434</v>
      </c>
      <c r="U62" t="s">
        <v>407</v>
      </c>
      <c r="V62">
        <v>0</v>
      </c>
      <c r="W62" t="s">
        <v>438</v>
      </c>
      <c r="X62" t="s">
        <v>437</v>
      </c>
      <c r="Z62" t="s">
        <v>465</v>
      </c>
      <c r="AA62" s="159">
        <v>88407.8</v>
      </c>
      <c r="AB62" s="159">
        <v>96501.32</v>
      </c>
      <c r="AC62" s="121">
        <v>9.1499999999999998E-2</v>
      </c>
      <c r="AD62" s="159">
        <v>235868.65</v>
      </c>
      <c r="AE62" s="121">
        <v>1.6679999999999999</v>
      </c>
      <c r="AF62" s="159">
        <v>282730.96999999997</v>
      </c>
      <c r="AG62" s="121">
        <v>2.198</v>
      </c>
      <c r="AH62" s="159">
        <v>21725.82</v>
      </c>
      <c r="AI62" s="121">
        <v>-0.75429999999999997</v>
      </c>
      <c r="AJ62" s="159">
        <v>21455.09</v>
      </c>
      <c r="AK62" s="121">
        <v>-0.75729999999999997</v>
      </c>
      <c r="AL62" s="159">
        <v>2572026.16</v>
      </c>
      <c r="AM62" s="121">
        <v>28.0928</v>
      </c>
      <c r="AN62" s="159">
        <v>2838311.81</v>
      </c>
      <c r="AO62" s="121">
        <v>31.104800000000001</v>
      </c>
      <c r="AP62" s="159">
        <v>6862019.9000000004</v>
      </c>
      <c r="AQ62" s="121">
        <v>76.617800000000003</v>
      </c>
      <c r="AR62" s="159">
        <v>8314993.5800000001</v>
      </c>
      <c r="AS62" s="121">
        <v>93.052700000000002</v>
      </c>
      <c r="AT62" s="159">
        <v>631732.85</v>
      </c>
      <c r="AU62" s="121">
        <v>6.1456999999999997</v>
      </c>
      <c r="AV62" s="159">
        <v>630942.4</v>
      </c>
      <c r="AW62" s="121">
        <v>6.1367000000000003</v>
      </c>
      <c r="AX62" t="s">
        <v>434</v>
      </c>
    </row>
    <row r="63" spans="1:50">
      <c r="A63" t="s">
        <v>407</v>
      </c>
      <c r="B63">
        <v>0</v>
      </c>
      <c r="C63" t="s">
        <v>436</v>
      </c>
      <c r="D63" t="s">
        <v>437</v>
      </c>
      <c r="F63" t="s">
        <v>466</v>
      </c>
      <c r="G63">
        <v>0</v>
      </c>
      <c r="H63">
        <v>0</v>
      </c>
      <c r="I63" s="121">
        <v>0</v>
      </c>
      <c r="J63">
        <v>0</v>
      </c>
      <c r="K63" s="121">
        <v>0</v>
      </c>
      <c r="L63">
        <v>0</v>
      </c>
      <c r="M63" s="121">
        <v>0</v>
      </c>
      <c r="N63">
        <v>0</v>
      </c>
      <c r="O63" s="121">
        <v>0</v>
      </c>
      <c r="P63">
        <v>0</v>
      </c>
      <c r="Q63" s="121">
        <v>0</v>
      </c>
      <c r="R63" t="s">
        <v>434</v>
      </c>
      <c r="U63" t="s">
        <v>407</v>
      </c>
      <c r="V63">
        <v>0</v>
      </c>
      <c r="W63" t="s">
        <v>438</v>
      </c>
      <c r="X63" t="s">
        <v>437</v>
      </c>
      <c r="Z63" t="s">
        <v>466</v>
      </c>
      <c r="AA63">
        <v>0</v>
      </c>
      <c r="AB63">
        <v>0</v>
      </c>
      <c r="AC63" s="121">
        <v>0</v>
      </c>
      <c r="AD63">
        <v>0</v>
      </c>
      <c r="AE63" s="121">
        <v>0</v>
      </c>
      <c r="AF63">
        <v>0</v>
      </c>
      <c r="AG63" s="121">
        <v>0</v>
      </c>
      <c r="AH63">
        <v>0</v>
      </c>
      <c r="AI63" s="121">
        <v>0</v>
      </c>
      <c r="AJ63">
        <v>0</v>
      </c>
      <c r="AK63" s="121">
        <v>0</v>
      </c>
      <c r="AL63">
        <v>0</v>
      </c>
      <c r="AM63" s="121">
        <v>0</v>
      </c>
      <c r="AN63">
        <v>0</v>
      </c>
      <c r="AO63" s="121">
        <v>0</v>
      </c>
      <c r="AP63">
        <v>0</v>
      </c>
      <c r="AQ63" s="121">
        <v>0</v>
      </c>
      <c r="AR63">
        <v>0</v>
      </c>
      <c r="AS63" s="121">
        <v>0</v>
      </c>
      <c r="AT63">
        <v>0</v>
      </c>
      <c r="AU63" s="121">
        <v>0</v>
      </c>
      <c r="AV63">
        <v>0</v>
      </c>
      <c r="AW63" s="121">
        <v>0</v>
      </c>
      <c r="AX63" t="s">
        <v>434</v>
      </c>
    </row>
    <row r="64" spans="1:50">
      <c r="A64" t="s">
        <v>407</v>
      </c>
      <c r="B64">
        <v>0</v>
      </c>
      <c r="C64" t="s">
        <v>436</v>
      </c>
      <c r="D64" t="s">
        <v>437</v>
      </c>
      <c r="F64" t="s">
        <v>467</v>
      </c>
      <c r="G64">
        <v>0</v>
      </c>
      <c r="H64">
        <v>0</v>
      </c>
      <c r="I64" s="121">
        <v>0</v>
      </c>
      <c r="J64">
        <v>0</v>
      </c>
      <c r="K64" s="121">
        <v>0</v>
      </c>
      <c r="L64">
        <v>0</v>
      </c>
      <c r="M64" s="121">
        <v>0</v>
      </c>
      <c r="N64">
        <v>0</v>
      </c>
      <c r="O64" s="121">
        <v>0</v>
      </c>
      <c r="P64">
        <v>0</v>
      </c>
      <c r="Q64" s="121">
        <v>0</v>
      </c>
      <c r="R64" t="s">
        <v>434</v>
      </c>
      <c r="U64" t="s">
        <v>407</v>
      </c>
      <c r="V64">
        <v>0</v>
      </c>
      <c r="W64" t="s">
        <v>438</v>
      </c>
      <c r="X64" t="s">
        <v>437</v>
      </c>
      <c r="Z64" t="s">
        <v>467</v>
      </c>
      <c r="AA64">
        <v>0</v>
      </c>
      <c r="AB64">
        <v>0</v>
      </c>
      <c r="AC64" s="121">
        <v>0</v>
      </c>
      <c r="AD64">
        <v>0</v>
      </c>
      <c r="AE64" s="121">
        <v>0</v>
      </c>
      <c r="AF64">
        <v>0</v>
      </c>
      <c r="AG64" s="121">
        <v>0</v>
      </c>
      <c r="AH64">
        <v>0</v>
      </c>
      <c r="AI64" s="121">
        <v>0</v>
      </c>
      <c r="AJ64">
        <v>0</v>
      </c>
      <c r="AK64" s="121">
        <v>0</v>
      </c>
      <c r="AL64">
        <v>0</v>
      </c>
      <c r="AM64" s="121">
        <v>0</v>
      </c>
      <c r="AN64">
        <v>0</v>
      </c>
      <c r="AO64" s="121">
        <v>0</v>
      </c>
      <c r="AP64">
        <v>0</v>
      </c>
      <c r="AQ64" s="121">
        <v>0</v>
      </c>
      <c r="AR64">
        <v>0</v>
      </c>
      <c r="AS64" s="121">
        <v>0</v>
      </c>
      <c r="AT64">
        <v>0</v>
      </c>
      <c r="AU64" s="121">
        <v>0</v>
      </c>
      <c r="AV64">
        <v>0</v>
      </c>
      <c r="AW64" s="121">
        <v>0</v>
      </c>
      <c r="AX64" t="s">
        <v>434</v>
      </c>
    </row>
    <row r="65" spans="1:50">
      <c r="A65" t="s">
        <v>407</v>
      </c>
      <c r="B65">
        <v>0</v>
      </c>
      <c r="C65" t="s">
        <v>436</v>
      </c>
      <c r="D65" t="s">
        <v>437</v>
      </c>
      <c r="F65" t="s">
        <v>468</v>
      </c>
      <c r="G65" s="159">
        <v>301578.94</v>
      </c>
      <c r="H65" s="159">
        <v>319726.53999999998</v>
      </c>
      <c r="I65" s="121">
        <v>6.0199999999999997E-2</v>
      </c>
      <c r="J65" s="159">
        <v>767657.58</v>
      </c>
      <c r="K65" s="121">
        <v>1.5455000000000001</v>
      </c>
      <c r="L65" s="159">
        <v>958447</v>
      </c>
      <c r="M65" s="121">
        <v>2.1781000000000001</v>
      </c>
      <c r="N65" s="159">
        <v>95796.86</v>
      </c>
      <c r="O65" s="121">
        <v>-0.68230000000000002</v>
      </c>
      <c r="P65" s="159">
        <v>98572.97</v>
      </c>
      <c r="Q65" s="121">
        <v>-0.67310000000000003</v>
      </c>
      <c r="R65" t="s">
        <v>434</v>
      </c>
      <c r="U65" t="s">
        <v>407</v>
      </c>
      <c r="V65">
        <v>0</v>
      </c>
      <c r="W65" t="s">
        <v>438</v>
      </c>
      <c r="X65" t="s">
        <v>437</v>
      </c>
      <c r="Z65" t="s">
        <v>468</v>
      </c>
      <c r="AA65" s="159">
        <v>503686.54</v>
      </c>
      <c r="AB65" s="159">
        <v>535998.18000000005</v>
      </c>
      <c r="AC65" s="121">
        <v>6.4199999999999993E-2</v>
      </c>
      <c r="AD65" s="159">
        <v>1288545.08</v>
      </c>
      <c r="AE65" s="121">
        <v>1.5582</v>
      </c>
      <c r="AF65" s="159">
        <v>1608794.66</v>
      </c>
      <c r="AG65" s="121">
        <v>2.194</v>
      </c>
      <c r="AH65" s="159">
        <v>143387.73000000001</v>
      </c>
      <c r="AI65" s="121">
        <v>-0.71530000000000005</v>
      </c>
      <c r="AJ65" s="159">
        <v>147544.01</v>
      </c>
      <c r="AK65" s="121">
        <v>-0.70709999999999995</v>
      </c>
      <c r="AL65" s="159">
        <v>14490543.880000001</v>
      </c>
      <c r="AM65" s="121">
        <v>27.768999999999998</v>
      </c>
      <c r="AN65" s="159">
        <v>15255645.539999999</v>
      </c>
      <c r="AO65" s="121">
        <v>29.288</v>
      </c>
      <c r="AP65" s="159">
        <v>37082257.270000003</v>
      </c>
      <c r="AQ65" s="121">
        <v>72.621700000000004</v>
      </c>
      <c r="AR65" s="159">
        <v>45797535.960000001</v>
      </c>
      <c r="AS65" s="121">
        <v>89.924700000000001</v>
      </c>
      <c r="AT65" s="159">
        <v>4475986.62</v>
      </c>
      <c r="AU65" s="121">
        <v>7.8864999999999998</v>
      </c>
      <c r="AV65" s="159">
        <v>4641060.21</v>
      </c>
      <c r="AW65" s="121">
        <v>8.2141999999999999</v>
      </c>
      <c r="AX65" t="s">
        <v>434</v>
      </c>
    </row>
    <row r="66" spans="1:50">
      <c r="A66" t="s">
        <v>407</v>
      </c>
      <c r="B66">
        <v>0</v>
      </c>
      <c r="C66" t="s">
        <v>436</v>
      </c>
      <c r="D66" t="s">
        <v>437</v>
      </c>
      <c r="F66" t="s">
        <v>469</v>
      </c>
      <c r="G66" s="159">
        <v>506916.56</v>
      </c>
      <c r="H66" s="159">
        <v>528883.01</v>
      </c>
      <c r="I66" s="121">
        <v>4.3299999999999998E-2</v>
      </c>
      <c r="J66" s="159">
        <v>1146954.28</v>
      </c>
      <c r="K66" s="121">
        <v>1.2625999999999999</v>
      </c>
      <c r="L66" s="159">
        <v>1432009.68</v>
      </c>
      <c r="M66" s="121">
        <v>1.8249</v>
      </c>
      <c r="N66" s="159">
        <v>162195.45000000001</v>
      </c>
      <c r="O66" s="121">
        <v>-0.68</v>
      </c>
      <c r="P66" s="159">
        <v>166894.28</v>
      </c>
      <c r="Q66" s="121">
        <v>-0.67079999999999995</v>
      </c>
      <c r="R66" t="s">
        <v>434</v>
      </c>
      <c r="U66" t="s">
        <v>407</v>
      </c>
      <c r="V66">
        <v>0</v>
      </c>
      <c r="W66" t="s">
        <v>438</v>
      </c>
      <c r="X66" t="s">
        <v>437</v>
      </c>
      <c r="Z66" t="s">
        <v>469</v>
      </c>
      <c r="AA66" s="159">
        <v>833615.58</v>
      </c>
      <c r="AB66" s="159">
        <v>872168.42</v>
      </c>
      <c r="AC66" s="121">
        <v>4.6199999999999998E-2</v>
      </c>
      <c r="AD66" s="159">
        <v>1892667.81</v>
      </c>
      <c r="AE66" s="121">
        <v>1.2704</v>
      </c>
      <c r="AF66" s="159">
        <v>2363061.0099999998</v>
      </c>
      <c r="AG66" s="121">
        <v>1.8347</v>
      </c>
      <c r="AH66" s="159">
        <v>237958.43</v>
      </c>
      <c r="AI66" s="121">
        <v>-0.71450000000000002</v>
      </c>
      <c r="AJ66" s="159">
        <v>244858.13</v>
      </c>
      <c r="AK66" s="121">
        <v>-0.70630000000000004</v>
      </c>
      <c r="AL66" s="159">
        <v>23901281.84</v>
      </c>
      <c r="AM66" s="121">
        <v>27.671800000000001</v>
      </c>
      <c r="AN66" s="159">
        <v>24750074.09</v>
      </c>
      <c r="AO66" s="121">
        <v>28.69</v>
      </c>
      <c r="AP66" s="159">
        <v>54264263.409999996</v>
      </c>
      <c r="AQ66" s="121">
        <v>64.095100000000002</v>
      </c>
      <c r="AR66" s="159">
        <v>67063156.130000003</v>
      </c>
      <c r="AS66" s="121">
        <v>79.448499999999996</v>
      </c>
      <c r="AT66" s="159">
        <v>6684804.6900000004</v>
      </c>
      <c r="AU66" s="121">
        <v>7.0190000000000001</v>
      </c>
      <c r="AV66" s="159">
        <v>6879440.2699999996</v>
      </c>
      <c r="AW66" s="121">
        <v>7.2525000000000004</v>
      </c>
      <c r="AX66" t="s">
        <v>434</v>
      </c>
    </row>
    <row r="67" spans="1:50">
      <c r="A67" t="s">
        <v>407</v>
      </c>
      <c r="B67">
        <v>0</v>
      </c>
      <c r="C67" t="s">
        <v>436</v>
      </c>
      <c r="D67" t="s">
        <v>437</v>
      </c>
      <c r="F67" t="s">
        <v>470</v>
      </c>
      <c r="G67" s="159">
        <v>431401.79</v>
      </c>
      <c r="H67" s="159">
        <v>433456.82</v>
      </c>
      <c r="I67" s="121">
        <v>4.7999999999999996E-3</v>
      </c>
      <c r="J67" s="159">
        <v>831064.58</v>
      </c>
      <c r="K67" s="121">
        <v>0.9264</v>
      </c>
      <c r="L67" s="159">
        <v>985951.66</v>
      </c>
      <c r="M67" s="121">
        <v>1.2855000000000001</v>
      </c>
      <c r="N67" s="159">
        <v>108877.48</v>
      </c>
      <c r="O67" s="121">
        <v>-0.74760000000000004</v>
      </c>
      <c r="P67" s="159">
        <v>106416.23</v>
      </c>
      <c r="Q67" s="121">
        <v>-0.75329999999999997</v>
      </c>
      <c r="R67" t="s">
        <v>434</v>
      </c>
      <c r="U67" t="s">
        <v>407</v>
      </c>
      <c r="V67">
        <v>0</v>
      </c>
      <c r="W67" t="s">
        <v>438</v>
      </c>
      <c r="X67" t="s">
        <v>437</v>
      </c>
      <c r="Z67" t="s">
        <v>470</v>
      </c>
      <c r="AA67" s="159">
        <v>754096.34</v>
      </c>
      <c r="AB67" s="159">
        <v>763897.5</v>
      </c>
      <c r="AC67" s="121">
        <v>1.2999999999999999E-2</v>
      </c>
      <c r="AD67" s="159">
        <v>1461730.34</v>
      </c>
      <c r="AE67" s="121">
        <v>0.93840000000000001</v>
      </c>
      <c r="AF67" s="159">
        <v>1740189.48</v>
      </c>
      <c r="AG67" s="121">
        <v>1.3076000000000001</v>
      </c>
      <c r="AH67" s="159">
        <v>212057.22</v>
      </c>
      <c r="AI67" s="121">
        <v>-0.71879999999999999</v>
      </c>
      <c r="AJ67" s="159">
        <v>207927.74</v>
      </c>
      <c r="AK67" s="121">
        <v>-0.72430000000000005</v>
      </c>
      <c r="AL67" s="159">
        <v>21976679.640000001</v>
      </c>
      <c r="AM67" s="121">
        <v>28.1431</v>
      </c>
      <c r="AN67" s="159">
        <v>22670047.030000001</v>
      </c>
      <c r="AO67" s="121">
        <v>29.0625</v>
      </c>
      <c r="AP67" s="159">
        <v>42606271.549999997</v>
      </c>
      <c r="AQ67" s="121">
        <v>55.4998</v>
      </c>
      <c r="AR67" s="159">
        <v>51652288.329999998</v>
      </c>
      <c r="AS67" s="121">
        <v>67.495599999999996</v>
      </c>
      <c r="AT67" s="159">
        <v>5704281.3899999997</v>
      </c>
      <c r="AU67" s="121">
        <v>6.5644</v>
      </c>
      <c r="AV67" s="159">
        <v>5649626.0300000003</v>
      </c>
      <c r="AW67" s="121">
        <v>6.4919000000000002</v>
      </c>
      <c r="AX67" t="s">
        <v>434</v>
      </c>
    </row>
    <row r="68" spans="1:50">
      <c r="A68" t="s">
        <v>407</v>
      </c>
      <c r="B68">
        <v>0</v>
      </c>
      <c r="C68" t="s">
        <v>436</v>
      </c>
      <c r="D68" t="s">
        <v>437</v>
      </c>
      <c r="F68" t="s">
        <v>471</v>
      </c>
      <c r="G68" s="159">
        <v>42251.15</v>
      </c>
      <c r="H68" s="159">
        <v>46641.64</v>
      </c>
      <c r="I68" s="121">
        <v>0.10390000000000001</v>
      </c>
      <c r="J68" s="159">
        <v>112832.99</v>
      </c>
      <c r="K68" s="121">
        <v>1.6705000000000001</v>
      </c>
      <c r="L68" s="159">
        <v>134086.04999999999</v>
      </c>
      <c r="M68" s="121">
        <v>2.1735000000000002</v>
      </c>
      <c r="N68" s="159">
        <v>9807.59</v>
      </c>
      <c r="O68" s="121">
        <v>-0.76790000000000003</v>
      </c>
      <c r="P68" s="159">
        <v>9606.86</v>
      </c>
      <c r="Q68" s="121">
        <v>-0.77259999999999995</v>
      </c>
      <c r="R68" t="s">
        <v>434</v>
      </c>
      <c r="U68" t="s">
        <v>407</v>
      </c>
      <c r="V68">
        <v>0</v>
      </c>
      <c r="W68" t="s">
        <v>438</v>
      </c>
      <c r="X68" t="s">
        <v>437</v>
      </c>
      <c r="Z68" t="s">
        <v>471</v>
      </c>
      <c r="AA68" s="159">
        <v>71950.12</v>
      </c>
      <c r="AB68" s="159">
        <v>79980.62</v>
      </c>
      <c r="AC68" s="121">
        <v>0.1116</v>
      </c>
      <c r="AD68" s="159">
        <v>192985.46</v>
      </c>
      <c r="AE68" s="121">
        <v>1.6821999999999999</v>
      </c>
      <c r="AF68" s="159">
        <v>230148.03</v>
      </c>
      <c r="AG68" s="121">
        <v>2.1987000000000001</v>
      </c>
      <c r="AH68" s="159">
        <v>18433.52</v>
      </c>
      <c r="AI68" s="121">
        <v>-0.74380000000000002</v>
      </c>
      <c r="AJ68" s="159">
        <v>18105.12</v>
      </c>
      <c r="AK68" s="121">
        <v>-0.74839999999999995</v>
      </c>
      <c r="AL68" s="159">
        <v>2090761.36</v>
      </c>
      <c r="AM68" s="121">
        <v>28.058499999999999</v>
      </c>
      <c r="AN68" s="159">
        <v>2364977.73</v>
      </c>
      <c r="AO68" s="121">
        <v>31.869700000000002</v>
      </c>
      <c r="AP68" s="159">
        <v>5608029.6200000001</v>
      </c>
      <c r="AQ68" s="121">
        <v>76.943299999999994</v>
      </c>
      <c r="AR68" s="159">
        <v>6805727.4800000004</v>
      </c>
      <c r="AS68" s="121">
        <v>93.589500000000001</v>
      </c>
      <c r="AT68" s="159">
        <v>544757.97</v>
      </c>
      <c r="AU68" s="121">
        <v>6.5712999999999999</v>
      </c>
      <c r="AV68" s="159">
        <v>540252.98</v>
      </c>
      <c r="AW68" s="121">
        <v>6.5087000000000002</v>
      </c>
      <c r="AX68" t="s">
        <v>434</v>
      </c>
    </row>
    <row r="69" spans="1:50">
      <c r="A69" t="s">
        <v>407</v>
      </c>
      <c r="B69">
        <v>0</v>
      </c>
      <c r="C69" t="s">
        <v>436</v>
      </c>
      <c r="D69" t="s">
        <v>437</v>
      </c>
      <c r="F69" t="s">
        <v>435</v>
      </c>
      <c r="G69">
        <v>5.2</v>
      </c>
      <c r="H69">
        <v>4.3499999999999996</v>
      </c>
      <c r="I69" s="121">
        <v>-0.16389999999999999</v>
      </c>
      <c r="J69">
        <v>12.07</v>
      </c>
      <c r="K69" s="121">
        <v>1.3196000000000001</v>
      </c>
      <c r="L69">
        <v>11.55</v>
      </c>
      <c r="M69" s="121">
        <v>1.2192000000000001</v>
      </c>
      <c r="N69">
        <v>1.84</v>
      </c>
      <c r="O69" s="121">
        <v>-0.64690000000000003</v>
      </c>
      <c r="P69">
        <v>1.49</v>
      </c>
      <c r="Q69" s="121">
        <v>-0.71340000000000003</v>
      </c>
      <c r="R69" t="s">
        <v>421</v>
      </c>
      <c r="U69" t="s">
        <v>407</v>
      </c>
      <c r="V69">
        <v>0</v>
      </c>
      <c r="W69" t="s">
        <v>438</v>
      </c>
      <c r="X69" t="s">
        <v>437</v>
      </c>
      <c r="Z69" t="s">
        <v>435</v>
      </c>
      <c r="AA69">
        <v>746.52</v>
      </c>
      <c r="AB69">
        <v>945.86</v>
      </c>
      <c r="AC69" s="121">
        <v>0.26700000000000002</v>
      </c>
      <c r="AD69" s="159">
        <v>1675.38</v>
      </c>
      <c r="AE69" s="121">
        <v>1.2443</v>
      </c>
      <c r="AF69" s="159">
        <v>2434.56</v>
      </c>
      <c r="AG69" s="121">
        <v>2.2612000000000001</v>
      </c>
      <c r="AH69">
        <v>249.3</v>
      </c>
      <c r="AI69" s="121">
        <v>-0.66600000000000004</v>
      </c>
      <c r="AJ69">
        <v>309.3</v>
      </c>
      <c r="AK69" s="121">
        <v>-0.5857</v>
      </c>
      <c r="AL69" s="159">
        <v>36362.69</v>
      </c>
      <c r="AM69" s="121">
        <v>47.709699999999998</v>
      </c>
      <c r="AN69" s="159">
        <v>26909.8</v>
      </c>
      <c r="AO69" s="121">
        <v>35.046999999999997</v>
      </c>
      <c r="AP69" s="159">
        <v>83517.53</v>
      </c>
      <c r="AQ69" s="121">
        <v>110.876</v>
      </c>
      <c r="AR69" s="159">
        <v>71338.179999999993</v>
      </c>
      <c r="AS69" s="121">
        <v>94.561099999999996</v>
      </c>
      <c r="AT69" s="159">
        <v>11835.7</v>
      </c>
      <c r="AU69" s="121">
        <v>14.8545</v>
      </c>
      <c r="AV69" s="159">
        <v>8630.93</v>
      </c>
      <c r="AW69" s="121">
        <v>10.5616</v>
      </c>
      <c r="AX69" t="s">
        <v>421</v>
      </c>
    </row>
    <row r="70" spans="1:50">
      <c r="A70" t="s">
        <v>407</v>
      </c>
      <c r="B70">
        <v>1</v>
      </c>
      <c r="C70" t="s">
        <v>472</v>
      </c>
      <c r="D70" t="s">
        <v>473</v>
      </c>
      <c r="F70" t="s">
        <v>474</v>
      </c>
      <c r="G70">
        <v>0</v>
      </c>
      <c r="H70">
        <v>0</v>
      </c>
      <c r="I70" s="121">
        <v>0</v>
      </c>
      <c r="J70">
        <v>0</v>
      </c>
      <c r="K70" s="121">
        <v>0</v>
      </c>
      <c r="L70">
        <v>0</v>
      </c>
      <c r="M70" s="121">
        <v>0</v>
      </c>
      <c r="N70">
        <v>0</v>
      </c>
      <c r="O70" s="121">
        <v>0</v>
      </c>
      <c r="P70">
        <v>0</v>
      </c>
      <c r="Q70" s="121">
        <v>0</v>
      </c>
      <c r="R70" t="s">
        <v>426</v>
      </c>
      <c r="U70" t="s">
        <v>407</v>
      </c>
      <c r="V70">
        <v>1</v>
      </c>
      <c r="W70" t="s">
        <v>472</v>
      </c>
      <c r="X70" t="s">
        <v>473</v>
      </c>
      <c r="Z70" t="s">
        <v>474</v>
      </c>
      <c r="AA70">
        <v>0</v>
      </c>
      <c r="AB70">
        <v>0</v>
      </c>
      <c r="AC70" s="121">
        <v>0</v>
      </c>
      <c r="AD70">
        <v>0</v>
      </c>
      <c r="AE70" s="121">
        <v>0</v>
      </c>
      <c r="AF70">
        <v>0</v>
      </c>
      <c r="AG70" s="121">
        <v>0</v>
      </c>
      <c r="AH70">
        <v>0</v>
      </c>
      <c r="AI70" s="121">
        <v>0</v>
      </c>
      <c r="AJ70">
        <v>0</v>
      </c>
      <c r="AK70" s="121">
        <v>0</v>
      </c>
      <c r="AL70">
        <v>0</v>
      </c>
      <c r="AM70" s="121">
        <v>0</v>
      </c>
      <c r="AN70">
        <v>0</v>
      </c>
      <c r="AO70" s="121">
        <v>0</v>
      </c>
      <c r="AP70">
        <v>0</v>
      </c>
      <c r="AQ70" s="121">
        <v>0</v>
      </c>
      <c r="AR70">
        <v>0</v>
      </c>
      <c r="AS70" s="121">
        <v>0</v>
      </c>
      <c r="AT70">
        <v>0</v>
      </c>
      <c r="AU70" s="121">
        <v>0</v>
      </c>
      <c r="AV70">
        <v>0</v>
      </c>
      <c r="AW70" s="121">
        <v>0</v>
      </c>
      <c r="AX70" t="s">
        <v>426</v>
      </c>
    </row>
    <row r="71" spans="1:50">
      <c r="A71" t="s">
        <v>407</v>
      </c>
      <c r="B71">
        <v>1</v>
      </c>
      <c r="C71" t="s">
        <v>472</v>
      </c>
      <c r="D71" t="s">
        <v>473</v>
      </c>
      <c r="F71" t="s">
        <v>433</v>
      </c>
      <c r="G71">
        <v>0</v>
      </c>
      <c r="H71">
        <v>0</v>
      </c>
      <c r="I71" s="121">
        <v>0</v>
      </c>
      <c r="J71">
        <v>0</v>
      </c>
      <c r="K71" s="121">
        <v>0</v>
      </c>
      <c r="L71">
        <v>0</v>
      </c>
      <c r="M71" s="121">
        <v>0</v>
      </c>
      <c r="N71">
        <v>0</v>
      </c>
      <c r="O71" s="121">
        <v>0</v>
      </c>
      <c r="P71">
        <v>0</v>
      </c>
      <c r="Q71" s="121">
        <v>0</v>
      </c>
      <c r="R71" t="s">
        <v>434</v>
      </c>
      <c r="U71" t="s">
        <v>407</v>
      </c>
      <c r="V71">
        <v>1</v>
      </c>
      <c r="W71" t="s">
        <v>472</v>
      </c>
      <c r="X71" t="s">
        <v>473</v>
      </c>
      <c r="Z71" t="s">
        <v>433</v>
      </c>
      <c r="AA71">
        <v>0</v>
      </c>
      <c r="AB71">
        <v>0</v>
      </c>
      <c r="AC71" s="121">
        <v>0</v>
      </c>
      <c r="AD71">
        <v>0</v>
      </c>
      <c r="AE71" s="121">
        <v>0</v>
      </c>
      <c r="AF71">
        <v>0</v>
      </c>
      <c r="AG71" s="121">
        <v>0</v>
      </c>
      <c r="AH71">
        <v>0</v>
      </c>
      <c r="AI71" s="121">
        <v>0</v>
      </c>
      <c r="AJ71">
        <v>0</v>
      </c>
      <c r="AK71" s="121">
        <v>0</v>
      </c>
      <c r="AL71">
        <v>0</v>
      </c>
      <c r="AM71" s="121">
        <v>0</v>
      </c>
      <c r="AN71">
        <v>0</v>
      </c>
      <c r="AO71" s="121">
        <v>0</v>
      </c>
      <c r="AP71">
        <v>0</v>
      </c>
      <c r="AQ71" s="121">
        <v>0</v>
      </c>
      <c r="AR71">
        <v>0</v>
      </c>
      <c r="AS71" s="121">
        <v>0</v>
      </c>
      <c r="AT71">
        <v>0</v>
      </c>
      <c r="AU71" s="121">
        <v>0</v>
      </c>
      <c r="AV71">
        <v>0</v>
      </c>
      <c r="AW71" s="121">
        <v>0</v>
      </c>
      <c r="AX71" t="s">
        <v>434</v>
      </c>
    </row>
    <row r="72" spans="1:50">
      <c r="A72" t="s">
        <v>407</v>
      </c>
      <c r="B72">
        <v>1</v>
      </c>
      <c r="C72" t="s">
        <v>472</v>
      </c>
      <c r="D72" t="s">
        <v>472</v>
      </c>
      <c r="F72" t="s">
        <v>425</v>
      </c>
      <c r="G72" s="159">
        <v>2223336.21</v>
      </c>
      <c r="H72" s="159">
        <v>3411790.93</v>
      </c>
      <c r="I72" s="121">
        <v>-0.88260000000000005</v>
      </c>
      <c r="J72" s="159">
        <v>7127740.1600000001</v>
      </c>
      <c r="K72" s="121">
        <v>-0.75470000000000004</v>
      </c>
      <c r="L72" s="159">
        <v>12013993.6</v>
      </c>
      <c r="M72" s="121">
        <v>-0.58650000000000002</v>
      </c>
      <c r="N72" s="159">
        <v>1538823.41</v>
      </c>
      <c r="O72" s="121">
        <v>-0.94699999999999995</v>
      </c>
      <c r="P72" s="159">
        <v>2137599.0099999998</v>
      </c>
      <c r="Q72" s="121">
        <v>-0.9264</v>
      </c>
      <c r="R72" t="s">
        <v>426</v>
      </c>
      <c r="U72" t="s">
        <v>407</v>
      </c>
      <c r="V72">
        <v>1</v>
      </c>
      <c r="W72" t="s">
        <v>472</v>
      </c>
      <c r="X72" t="s">
        <v>472</v>
      </c>
      <c r="Z72" t="s">
        <v>425</v>
      </c>
      <c r="AA72" s="159">
        <v>4312660.3499999996</v>
      </c>
      <c r="AB72" s="159">
        <v>6617950.04</v>
      </c>
      <c r="AC72" s="121">
        <v>-0.95620000000000005</v>
      </c>
      <c r="AD72" s="159">
        <v>13825897.199999999</v>
      </c>
      <c r="AE72" s="121">
        <v>-0.90839999999999999</v>
      </c>
      <c r="AF72" s="159">
        <v>23303912.91</v>
      </c>
      <c r="AG72" s="121">
        <v>-0.84560000000000002</v>
      </c>
      <c r="AH72" s="159">
        <v>2984885.08</v>
      </c>
      <c r="AI72" s="121">
        <v>-0.98019999999999996</v>
      </c>
      <c r="AJ72" s="159">
        <v>4146370.71</v>
      </c>
      <c r="AK72" s="121">
        <v>-0.97250000000000003</v>
      </c>
      <c r="AL72" s="159">
        <v>105731730.33</v>
      </c>
      <c r="AM72" s="121">
        <v>-0.29970000000000002</v>
      </c>
      <c r="AN72" s="159">
        <v>162249495.81999999</v>
      </c>
      <c r="AO72" s="121">
        <v>7.46E-2</v>
      </c>
      <c r="AP72" s="159">
        <v>338963643.20999998</v>
      </c>
      <c r="AQ72" s="121">
        <v>1.2451000000000001</v>
      </c>
      <c r="AR72" s="159">
        <v>571331032.23000002</v>
      </c>
      <c r="AS72" s="121">
        <v>2.7841</v>
      </c>
      <c r="AT72" s="159">
        <v>73178561.780000001</v>
      </c>
      <c r="AU72" s="121">
        <v>-0.51529999999999998</v>
      </c>
      <c r="AV72" s="159">
        <v>101654861.84999999</v>
      </c>
      <c r="AW72" s="121">
        <v>-0.32669999999999999</v>
      </c>
      <c r="AX72" t="s">
        <v>426</v>
      </c>
    </row>
    <row r="73" spans="1:50">
      <c r="A73" t="s">
        <v>407</v>
      </c>
      <c r="B73">
        <v>1</v>
      </c>
      <c r="C73" t="s">
        <v>472</v>
      </c>
      <c r="D73" t="s">
        <v>472</v>
      </c>
      <c r="F73" t="s">
        <v>457</v>
      </c>
      <c r="G73" s="159">
        <v>69651.78</v>
      </c>
      <c r="H73" s="159">
        <v>79991.61</v>
      </c>
      <c r="I73" s="121">
        <v>-0.96130000000000004</v>
      </c>
      <c r="J73" s="159">
        <v>183806.57</v>
      </c>
      <c r="K73" s="121">
        <v>-0.91110000000000002</v>
      </c>
      <c r="L73" s="159">
        <v>229489.27</v>
      </c>
      <c r="M73" s="121">
        <v>-0.88900000000000001</v>
      </c>
      <c r="N73" s="159">
        <v>23096.560000000001</v>
      </c>
      <c r="O73" s="121">
        <v>-0.98880000000000001</v>
      </c>
      <c r="P73" s="159">
        <v>23765.919999999998</v>
      </c>
      <c r="Q73" s="121">
        <v>-0.98850000000000005</v>
      </c>
      <c r="R73" t="s">
        <v>426</v>
      </c>
      <c r="U73" t="s">
        <v>407</v>
      </c>
      <c r="V73">
        <v>1</v>
      </c>
      <c r="W73" t="s">
        <v>472</v>
      </c>
      <c r="X73" t="s">
        <v>472</v>
      </c>
      <c r="Z73" t="s">
        <v>457</v>
      </c>
      <c r="AA73" s="159">
        <v>135105.29999999999</v>
      </c>
      <c r="AB73" s="159">
        <v>155162.09</v>
      </c>
      <c r="AC73" s="121">
        <v>-0.98850000000000005</v>
      </c>
      <c r="AD73" s="159">
        <v>356535.32</v>
      </c>
      <c r="AE73" s="121">
        <v>-0.97370000000000001</v>
      </c>
      <c r="AF73" s="159">
        <v>445147.25</v>
      </c>
      <c r="AG73" s="121">
        <v>-0.96709999999999996</v>
      </c>
      <c r="AH73" s="159">
        <v>45892.85</v>
      </c>
      <c r="AI73" s="121">
        <v>-0.99660000000000004</v>
      </c>
      <c r="AJ73" s="159">
        <v>47223</v>
      </c>
      <c r="AK73" s="121">
        <v>-0.99650000000000005</v>
      </c>
      <c r="AL73" s="159">
        <v>3312320.03</v>
      </c>
      <c r="AM73" s="121">
        <v>-0.75519999999999998</v>
      </c>
      <c r="AN73" s="159">
        <v>3804045.59</v>
      </c>
      <c r="AO73" s="121">
        <v>-0.71889999999999998</v>
      </c>
      <c r="AP73" s="159">
        <v>8741027.1099999994</v>
      </c>
      <c r="AQ73" s="121">
        <v>-0.35399999999999998</v>
      </c>
      <c r="AR73" s="159">
        <v>10913464.5</v>
      </c>
      <c r="AS73" s="121">
        <v>-0.19350000000000001</v>
      </c>
      <c r="AT73" s="159">
        <v>1042396.13</v>
      </c>
      <c r="AU73" s="121">
        <v>-0.92300000000000004</v>
      </c>
      <c r="AV73" s="159">
        <v>1104593.5900000001</v>
      </c>
      <c r="AW73" s="121">
        <v>-0.91839999999999999</v>
      </c>
      <c r="AX73" t="s">
        <v>426</v>
      </c>
    </row>
    <row r="74" spans="1:50">
      <c r="A74" t="s">
        <v>407</v>
      </c>
      <c r="B74">
        <v>1</v>
      </c>
      <c r="C74" t="s">
        <v>472</v>
      </c>
      <c r="D74" t="s">
        <v>472</v>
      </c>
      <c r="F74" t="s">
        <v>462</v>
      </c>
      <c r="G74" s="159">
        <v>6936061.5599999996</v>
      </c>
      <c r="H74" s="159">
        <v>7906148.3600000003</v>
      </c>
      <c r="I74" s="121">
        <v>-0.96399999999999997</v>
      </c>
      <c r="J74" s="159">
        <v>16124545.859999999</v>
      </c>
      <c r="K74" s="121">
        <v>-0.92669999999999997</v>
      </c>
      <c r="L74" s="159">
        <v>21069937.379999999</v>
      </c>
      <c r="M74" s="121">
        <v>-0.9042</v>
      </c>
      <c r="N74" s="159">
        <v>2423843.7000000002</v>
      </c>
      <c r="O74" s="121">
        <v>-0.98899999999999999</v>
      </c>
      <c r="P74" s="159">
        <v>2694504.97</v>
      </c>
      <c r="Q74" s="121">
        <v>-0.98770000000000002</v>
      </c>
      <c r="R74" t="s">
        <v>463</v>
      </c>
      <c r="U74" t="s">
        <v>407</v>
      </c>
      <c r="V74">
        <v>1</v>
      </c>
      <c r="W74" t="s">
        <v>472</v>
      </c>
      <c r="X74" t="s">
        <v>472</v>
      </c>
      <c r="Z74" t="s">
        <v>462</v>
      </c>
      <c r="AA74" s="159">
        <v>11320563.109999999</v>
      </c>
      <c r="AB74" s="159">
        <v>13059827.970000001</v>
      </c>
      <c r="AC74" s="121">
        <v>-0.99180000000000001</v>
      </c>
      <c r="AD74" s="159">
        <v>26743245</v>
      </c>
      <c r="AE74" s="121">
        <v>-0.98319999999999996</v>
      </c>
      <c r="AF74" s="159">
        <v>35370746.799999997</v>
      </c>
      <c r="AG74" s="121">
        <v>-0.9778</v>
      </c>
      <c r="AH74" s="159">
        <v>4214731.66</v>
      </c>
      <c r="AI74" s="121">
        <v>-0.99739999999999995</v>
      </c>
      <c r="AJ74" s="159">
        <v>4735152.0599999996</v>
      </c>
      <c r="AK74" s="121">
        <v>-0.997</v>
      </c>
      <c r="AL74" s="159">
        <v>261825029.94999999</v>
      </c>
      <c r="AM74" s="121">
        <v>-0.8357</v>
      </c>
      <c r="AN74" s="159">
        <v>309482296.16000003</v>
      </c>
      <c r="AO74" s="121">
        <v>-0.80579999999999996</v>
      </c>
      <c r="AP74" s="159">
        <v>634083340.10000002</v>
      </c>
      <c r="AQ74" s="121">
        <v>-0.60219999999999996</v>
      </c>
      <c r="AR74" s="159">
        <v>863635819.57000005</v>
      </c>
      <c r="AS74" s="121">
        <v>-0.4582</v>
      </c>
      <c r="AT74" s="159">
        <v>97374808.810000002</v>
      </c>
      <c r="AU74" s="121">
        <v>-0.93889999999999996</v>
      </c>
      <c r="AV74" s="159">
        <v>113528425.84</v>
      </c>
      <c r="AW74" s="121">
        <v>-0.92879999999999996</v>
      </c>
      <c r="AX74" t="s">
        <v>463</v>
      </c>
    </row>
    <row r="75" spans="1:50">
      <c r="A75" t="s">
        <v>407</v>
      </c>
      <c r="B75">
        <v>1</v>
      </c>
      <c r="C75" t="s">
        <v>472</v>
      </c>
      <c r="D75" t="s">
        <v>472</v>
      </c>
      <c r="F75" t="s">
        <v>433</v>
      </c>
      <c r="G75" s="159">
        <v>4141875.92</v>
      </c>
      <c r="H75" s="159">
        <v>4719986.93</v>
      </c>
      <c r="I75" s="121">
        <v>-0.96779999999999999</v>
      </c>
      <c r="J75" s="159">
        <v>9669463.7400000002</v>
      </c>
      <c r="K75" s="121">
        <v>-0.93400000000000005</v>
      </c>
      <c r="L75" s="159">
        <v>12640365.85</v>
      </c>
      <c r="M75" s="121">
        <v>-0.91379999999999995</v>
      </c>
      <c r="N75" s="159">
        <v>1462237.34</v>
      </c>
      <c r="O75" s="121">
        <v>-0.99</v>
      </c>
      <c r="P75" s="159">
        <v>1627520.46</v>
      </c>
      <c r="Q75" s="121">
        <v>-0.9889</v>
      </c>
      <c r="R75" t="s">
        <v>434</v>
      </c>
      <c r="U75" t="s">
        <v>407</v>
      </c>
      <c r="V75">
        <v>1</v>
      </c>
      <c r="W75" t="s">
        <v>472</v>
      </c>
      <c r="X75" t="s">
        <v>472</v>
      </c>
      <c r="Z75" t="s">
        <v>433</v>
      </c>
      <c r="AA75" s="159">
        <v>7262227.2199999997</v>
      </c>
      <c r="AB75" s="159">
        <v>8409276.6799999997</v>
      </c>
      <c r="AC75" s="121">
        <v>-0.99239999999999995</v>
      </c>
      <c r="AD75" s="159">
        <v>17237260.940000001</v>
      </c>
      <c r="AE75" s="121">
        <v>-0.98429999999999995</v>
      </c>
      <c r="AF75" s="159">
        <v>22897120.43</v>
      </c>
      <c r="AG75" s="121">
        <v>-0.97919999999999996</v>
      </c>
      <c r="AH75" s="159">
        <v>2730507.73</v>
      </c>
      <c r="AI75" s="121">
        <v>-0.99750000000000005</v>
      </c>
      <c r="AJ75" s="159">
        <v>3083348.87</v>
      </c>
      <c r="AK75" s="121">
        <v>-0.99719999999999998</v>
      </c>
      <c r="AL75" s="159">
        <v>210658962.53999999</v>
      </c>
      <c r="AM75" s="121">
        <v>-0.80869999999999997</v>
      </c>
      <c r="AN75" s="159">
        <v>246866331</v>
      </c>
      <c r="AO75" s="121">
        <v>-0.77580000000000005</v>
      </c>
      <c r="AP75" s="159">
        <v>511363550.67000002</v>
      </c>
      <c r="AQ75" s="121">
        <v>-0.53549999999999998</v>
      </c>
      <c r="AR75" s="159">
        <v>691181527.83000004</v>
      </c>
      <c r="AS75" s="121">
        <v>-0.37219999999999998</v>
      </c>
      <c r="AT75" s="159">
        <v>78897337.180000007</v>
      </c>
      <c r="AU75" s="121">
        <v>-0.92830000000000001</v>
      </c>
      <c r="AV75" s="159">
        <v>91444823.680000007</v>
      </c>
      <c r="AW75" s="121">
        <v>-0.91690000000000005</v>
      </c>
      <c r="AX75" t="s">
        <v>434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C4CD-9260-4F16-996D-8733D0A889BA}">
  <dimension ref="A1:AP92"/>
  <sheetViews>
    <sheetView workbookViewId="0">
      <pane xSplit="7" ySplit="1" topLeftCell="AI17" activePane="bottomRight" state="frozen"/>
      <selection pane="bottomRight" activeCell="F51" sqref="F51"/>
      <selection pane="bottomLeft" activeCell="A2" sqref="A2"/>
      <selection pane="topRight" activeCell="H1" sqref="H1"/>
    </sheetView>
  </sheetViews>
  <sheetFormatPr defaultColWidth="8.85546875" defaultRowHeight="14.45"/>
  <cols>
    <col min="6" max="6" width="68.28515625" bestFit="1" customWidth="1"/>
    <col min="7" max="9" width="15" bestFit="1" customWidth="1"/>
    <col min="11" max="12" width="15" bestFit="1" customWidth="1"/>
    <col min="14" max="15" width="15" bestFit="1" customWidth="1"/>
    <col min="17" max="18" width="13.5703125" bestFit="1" customWidth="1"/>
    <col min="20" max="21" width="13.5703125" bestFit="1" customWidth="1"/>
    <col min="23" max="24" width="13.5703125" bestFit="1" customWidth="1"/>
    <col min="26" max="27" width="13.5703125" bestFit="1" customWidth="1"/>
    <col min="29" max="29" width="13.5703125" bestFit="1" customWidth="1"/>
    <col min="30" max="30" width="15" bestFit="1" customWidth="1"/>
    <col min="32" max="32" width="13.5703125" bestFit="1" customWidth="1"/>
    <col min="33" max="33" width="13.7109375" bestFit="1" customWidth="1"/>
    <col min="36" max="36" width="3.7109375" customWidth="1"/>
    <col min="37" max="38" width="15" bestFit="1" customWidth="1"/>
    <col min="39" max="39" width="17.28515625" bestFit="1" customWidth="1"/>
    <col min="40" max="40" width="18.7109375" bestFit="1" customWidth="1"/>
    <col min="41" max="41" width="15.5703125" bestFit="1" customWidth="1"/>
    <col min="42" max="42" width="17" bestFit="1" customWidth="1"/>
  </cols>
  <sheetData>
    <row r="1" spans="1:42">
      <c r="A1" t="s">
        <v>381</v>
      </c>
      <c r="B1" t="s">
        <v>382</v>
      </c>
      <c r="C1" t="s">
        <v>383</v>
      </c>
      <c r="D1" t="s">
        <v>384</v>
      </c>
      <c r="E1" t="s">
        <v>385</v>
      </c>
      <c r="F1" t="s">
        <v>386</v>
      </c>
      <c r="G1" t="s">
        <v>394</v>
      </c>
      <c r="H1" t="s">
        <v>475</v>
      </c>
      <c r="I1" t="s">
        <v>476</v>
      </c>
      <c r="J1" t="s">
        <v>389</v>
      </c>
      <c r="K1" t="s">
        <v>477</v>
      </c>
      <c r="L1" t="s">
        <v>478</v>
      </c>
      <c r="M1" t="s">
        <v>389</v>
      </c>
      <c r="N1" t="s">
        <v>479</v>
      </c>
      <c r="O1" t="s">
        <v>480</v>
      </c>
      <c r="P1" t="s">
        <v>389</v>
      </c>
      <c r="Q1" t="s">
        <v>395</v>
      </c>
      <c r="R1" t="s">
        <v>396</v>
      </c>
      <c r="S1" t="s">
        <v>389</v>
      </c>
      <c r="T1" t="s">
        <v>397</v>
      </c>
      <c r="U1" t="s">
        <v>398</v>
      </c>
      <c r="V1" t="s">
        <v>389</v>
      </c>
      <c r="W1" t="s">
        <v>399</v>
      </c>
      <c r="X1" t="s">
        <v>400</v>
      </c>
      <c r="Y1" t="s">
        <v>389</v>
      </c>
      <c r="Z1" t="s">
        <v>401</v>
      </c>
      <c r="AA1" t="s">
        <v>402</v>
      </c>
      <c r="AB1" t="s">
        <v>389</v>
      </c>
      <c r="AC1" t="s">
        <v>403</v>
      </c>
      <c r="AD1" t="s">
        <v>404</v>
      </c>
      <c r="AE1" t="s">
        <v>389</v>
      </c>
      <c r="AF1" t="s">
        <v>405</v>
      </c>
      <c r="AG1" t="s">
        <v>406</v>
      </c>
      <c r="AH1" t="s">
        <v>389</v>
      </c>
      <c r="AK1" t="s">
        <v>481</v>
      </c>
      <c r="AL1" t="s">
        <v>482</v>
      </c>
      <c r="AM1" t="s">
        <v>483</v>
      </c>
      <c r="AN1" t="s">
        <v>484</v>
      </c>
      <c r="AO1" t="s">
        <v>485</v>
      </c>
      <c r="AP1" t="s">
        <v>486</v>
      </c>
    </row>
    <row r="2" spans="1:42">
      <c r="A2" t="s">
        <v>407</v>
      </c>
      <c r="B2">
        <v>0</v>
      </c>
      <c r="C2" t="s">
        <v>408</v>
      </c>
      <c r="D2" t="s">
        <v>408</v>
      </c>
      <c r="F2" t="s">
        <v>409</v>
      </c>
      <c r="G2" t="s">
        <v>410</v>
      </c>
      <c r="H2" s="159">
        <f>'Raw Results'!G2</f>
        <v>44233107.07</v>
      </c>
      <c r="I2" s="159">
        <f>'Raw Results'!H2</f>
        <v>44253476.770000003</v>
      </c>
      <c r="J2" s="155">
        <f>(I2-H2)/H2</f>
        <v>4.605080074471689E-4</v>
      </c>
      <c r="K2" s="159">
        <f>'Raw Results'!J2</f>
        <v>44431749.43</v>
      </c>
      <c r="L2" s="159">
        <f>'Raw Results'!L2</f>
        <v>44537072.299999997</v>
      </c>
      <c r="M2" s="155">
        <f>(L2-K2)/K2</f>
        <v>2.3704416628007913E-3</v>
      </c>
      <c r="N2" s="159">
        <f>'Raw Results'!N2</f>
        <v>44135559.579999998</v>
      </c>
      <c r="O2" s="159">
        <f>'Raw Results'!P2</f>
        <v>44141201.890000001</v>
      </c>
      <c r="P2" s="155">
        <f>(O2-N2)/N2</f>
        <v>1.2784045458345551E-4</v>
      </c>
      <c r="Q2" s="159">
        <f>'Raw Results'!AA2</f>
        <v>15243304.689999999</v>
      </c>
      <c r="R2" s="159">
        <f>'Raw Results'!AB2</f>
        <v>15279867.91</v>
      </c>
      <c r="S2" s="155">
        <f>(R2-Q2)/Q2</f>
        <v>2.3986412883281855E-3</v>
      </c>
      <c r="T2" s="159">
        <f>'Raw Results'!AD2</f>
        <v>15576011.07</v>
      </c>
      <c r="U2" s="159">
        <f>'Raw Results'!AF2</f>
        <v>15759500.52</v>
      </c>
      <c r="V2" s="155">
        <f>(U2-T2)/T2</f>
        <v>1.1780259347234739E-2</v>
      </c>
      <c r="W2" s="159">
        <f>'Raw Results'!AH2</f>
        <v>15090061.07</v>
      </c>
      <c r="X2" s="159">
        <f>'Raw Results'!AJ2</f>
        <v>15100924.390000001</v>
      </c>
      <c r="Y2" s="155">
        <f>(X2-W2)/W2</f>
        <v>7.1989900833451686E-4</v>
      </c>
      <c r="Z2" s="159">
        <f>'Raw Results'!AL2</f>
        <v>20651650.300000001</v>
      </c>
      <c r="AA2" s="159">
        <f>'Raw Results'!AN2</f>
        <v>21674225.719999999</v>
      </c>
      <c r="AB2" s="155">
        <f>(AA2-Z2)/Z2</f>
        <v>4.9515433640671229E-2</v>
      </c>
      <c r="AC2" s="159">
        <f>'Raw Results'!AP2</f>
        <v>28689002.52</v>
      </c>
      <c r="AD2" s="159">
        <f>'Raw Results'!AR2</f>
        <v>33626170.25</v>
      </c>
      <c r="AE2" s="155">
        <f>(AD2-AC2)/AC2</f>
        <v>0.17209269393587828</v>
      </c>
      <c r="AF2" s="159">
        <f>'Raw Results'!AT2</f>
        <v>17102549.370000001</v>
      </c>
      <c r="AG2" s="159">
        <f>'Raw Results'!AV2</f>
        <v>17448878.710000001</v>
      </c>
      <c r="AH2" s="155">
        <f>(AG2-AF2)/AF2</f>
        <v>2.0250158763318912E-2</v>
      </c>
      <c r="AK2" s="159">
        <f>SUM(H2,K2,N2)</f>
        <v>132800416.08</v>
      </c>
      <c r="AL2" s="159">
        <f>SUM(I2,L2,O2)</f>
        <v>132931750.95999999</v>
      </c>
      <c r="AM2" s="159">
        <f>SUM(Q2,T2,W2)</f>
        <v>45909376.829999998</v>
      </c>
      <c r="AN2" s="159">
        <f>SUM(R2,U2,X2)</f>
        <v>46140292.82</v>
      </c>
      <c r="AO2" s="159">
        <f>SUM(Z2,AC2,AF2)</f>
        <v>66443202.189999998</v>
      </c>
      <c r="AP2" s="159">
        <f>SUM(AA2,AD2,AG2)</f>
        <v>72749274.680000007</v>
      </c>
    </row>
    <row r="3" spans="1:42">
      <c r="A3" t="s">
        <v>407</v>
      </c>
      <c r="B3">
        <v>0</v>
      </c>
      <c r="C3" t="s">
        <v>408</v>
      </c>
      <c r="D3" t="s">
        <v>408</v>
      </c>
      <c r="F3" t="s">
        <v>411</v>
      </c>
      <c r="G3" t="s">
        <v>410</v>
      </c>
      <c r="H3" s="159">
        <f>'Raw Results'!G3</f>
        <v>2516387.8399999999</v>
      </c>
      <c r="I3" s="159">
        <f>'Raw Results'!H3</f>
        <v>2516517.17</v>
      </c>
      <c r="J3" s="155">
        <f t="shared" ref="J3:J66" si="0">(I3-H3)/H3</f>
        <v>5.1395098141975807E-5</v>
      </c>
      <c r="K3" s="159">
        <f>'Raw Results'!J3</f>
        <v>2517934.4</v>
      </c>
      <c r="L3" s="159">
        <f>'Raw Results'!L3</f>
        <v>2518677.66</v>
      </c>
      <c r="M3" s="155">
        <f t="shared" ref="M3:M66" si="1">(L3-K3)/K3</f>
        <v>2.9518640358551127E-4</v>
      </c>
      <c r="N3" s="159">
        <f>'Raw Results'!N3</f>
        <v>2515628.35</v>
      </c>
      <c r="O3" s="159">
        <f>'Raw Results'!P3</f>
        <v>2515662.13</v>
      </c>
      <c r="P3" s="155">
        <f t="shared" ref="P3:P66" si="2">(O3-N3)/N3</f>
        <v>1.3428056652245594E-5</v>
      </c>
      <c r="Q3" s="159">
        <f>'Raw Results'!AA3</f>
        <v>760103.21</v>
      </c>
      <c r="R3" s="159">
        <f>'Raw Results'!AB3</f>
        <v>761036.72</v>
      </c>
      <c r="S3" s="155">
        <f t="shared" ref="S3:S66" si="3">(R3-Q3)/Q3</f>
        <v>1.2281358474989328E-3</v>
      </c>
      <c r="T3" s="159">
        <f>'Raw Results'!AD3</f>
        <v>770334.79</v>
      </c>
      <c r="U3" s="159">
        <f>'Raw Results'!AF3</f>
        <v>775462.28</v>
      </c>
      <c r="V3" s="155">
        <f t="shared" ref="V3:V66" si="4">(U3-T3)/T3</f>
        <v>6.6561838651996883E-3</v>
      </c>
      <c r="W3" s="159">
        <f>'Raw Results'!AH3</f>
        <v>755392.66</v>
      </c>
      <c r="X3" s="159">
        <f>'Raw Results'!AJ3</f>
        <v>755654.32</v>
      </c>
      <c r="Y3" s="155">
        <f t="shared" ref="Y3:Y66" si="5">(X3-W3)/W3</f>
        <v>3.4638938641516078E-4</v>
      </c>
      <c r="Z3" s="159">
        <f>'Raw Results'!AL3</f>
        <v>1988398.41</v>
      </c>
      <c r="AA3" s="159">
        <f>'Raw Results'!AN3</f>
        <v>2262004.33</v>
      </c>
      <c r="AB3" s="155">
        <f t="shared" ref="AB3:AB66" si="6">(AA3-Z3)/Z3</f>
        <v>0.13760115609828927</v>
      </c>
      <c r="AC3" s="159">
        <f>'Raw Results'!AP3</f>
        <v>3745476.39</v>
      </c>
      <c r="AD3" s="159">
        <f>'Raw Results'!AR3</f>
        <v>4964789.68</v>
      </c>
      <c r="AE3" s="155">
        <f t="shared" ref="AE3:AE66" si="7">(AD3-AC3)/AC3</f>
        <v>0.32554291177897388</v>
      </c>
      <c r="AF3" s="159">
        <f>'Raw Results'!AT3</f>
        <v>1212257.8799999999</v>
      </c>
      <c r="AG3" s="159">
        <f>'Raw Results'!AV3</f>
        <v>1306144.74</v>
      </c>
      <c r="AH3" s="155">
        <f t="shared" ref="AH3:AH66" si="8">(AG3-AF3)/AF3</f>
        <v>7.7447927168763891E-2</v>
      </c>
      <c r="AK3" s="159">
        <f t="shared" ref="AK3:AK66" si="9">SUM(H3,K3,N3)</f>
        <v>7549950.5899999999</v>
      </c>
      <c r="AL3" s="159">
        <f t="shared" ref="AL3:AL66" si="10">SUM(I3,L3,O3)</f>
        <v>7550856.96</v>
      </c>
      <c r="AM3" s="159">
        <f t="shared" ref="AM3:AM66" si="11">SUM(Q3,T3,W3)</f>
        <v>2285830.66</v>
      </c>
      <c r="AN3" s="159">
        <f t="shared" ref="AN3:AN66" si="12">SUM(R3,U3,X3)</f>
        <v>2292153.3199999998</v>
      </c>
      <c r="AO3" s="159">
        <f t="shared" ref="AO3:AO66" si="13">SUM(Z3,AC3,AF3)</f>
        <v>6946132.6799999997</v>
      </c>
      <c r="AP3" s="159">
        <f t="shared" ref="AP3:AP66" si="14">SUM(AA3,AD3,AG3)</f>
        <v>8532938.75</v>
      </c>
    </row>
    <row r="4" spans="1:42">
      <c r="A4" t="s">
        <v>407</v>
      </c>
      <c r="B4">
        <v>0</v>
      </c>
      <c r="C4" t="s">
        <v>408</v>
      </c>
      <c r="D4" t="s">
        <v>408</v>
      </c>
      <c r="F4" t="s">
        <v>412</v>
      </c>
      <c r="G4" t="s">
        <v>413</v>
      </c>
      <c r="H4" s="159">
        <f>'Raw Results'!G4</f>
        <v>1176.55</v>
      </c>
      <c r="I4" s="159">
        <f>'Raw Results'!H4</f>
        <v>1176.8399999999999</v>
      </c>
      <c r="J4" s="155">
        <f t="shared" si="0"/>
        <v>2.4648336237300891E-4</v>
      </c>
      <c r="K4" s="159">
        <f>'Raw Results'!J4</f>
        <v>1178.7</v>
      </c>
      <c r="L4" s="159">
        <f>'Raw Results'!L4</f>
        <v>1179.8800000000001</v>
      </c>
      <c r="M4" s="155">
        <f t="shared" si="1"/>
        <v>1.0011029099856314E-3</v>
      </c>
      <c r="N4" s="159">
        <f>'Raw Results'!N4</f>
        <v>1176.4000000000001</v>
      </c>
      <c r="O4" s="159">
        <f>'Raw Results'!P4</f>
        <v>1176.52</v>
      </c>
      <c r="P4" s="155">
        <f t="shared" si="2"/>
        <v>1.0200612036712925E-4</v>
      </c>
      <c r="Q4" s="159">
        <f>'Raw Results'!AA4</f>
        <v>1033.24</v>
      </c>
      <c r="R4" s="159">
        <f>'Raw Results'!AB4</f>
        <v>1034.8699999999999</v>
      </c>
      <c r="S4" s="155">
        <f t="shared" si="3"/>
        <v>1.5775618442954993E-3</v>
      </c>
      <c r="T4" s="159">
        <f>'Raw Results'!AD4</f>
        <v>1043.99</v>
      </c>
      <c r="U4" s="159">
        <f>'Raw Results'!AF4</f>
        <v>1050.5</v>
      </c>
      <c r="V4" s="155">
        <f t="shared" si="4"/>
        <v>6.2356919127577763E-3</v>
      </c>
      <c r="W4" s="159">
        <f>'Raw Results'!AH4</f>
        <v>1032.73</v>
      </c>
      <c r="X4" s="159">
        <f>'Raw Results'!AJ4</f>
        <v>1033.43</v>
      </c>
      <c r="Y4" s="155">
        <f t="shared" si="5"/>
        <v>6.7781511140379907E-4</v>
      </c>
      <c r="Z4" s="159">
        <f>'Raw Results'!AL4</f>
        <v>1161.24</v>
      </c>
      <c r="AA4" s="159">
        <f>'Raw Results'!AN4</f>
        <v>1203.8399999999999</v>
      </c>
      <c r="AB4" s="155">
        <f t="shared" si="6"/>
        <v>3.6684923013330498E-2</v>
      </c>
      <c r="AC4" s="159">
        <f>'Raw Results'!AP4</f>
        <v>1393.95</v>
      </c>
      <c r="AD4" s="159">
        <f>'Raw Results'!AR4</f>
        <v>1516.86</v>
      </c>
      <c r="AE4" s="155">
        <f t="shared" si="7"/>
        <v>8.8173894329064778E-2</v>
      </c>
      <c r="AF4" s="159">
        <f>'Raw Results'!AT4</f>
        <v>1133.08</v>
      </c>
      <c r="AG4" s="159">
        <f>'Raw Results'!AV4</f>
        <v>1156.8800000000001</v>
      </c>
      <c r="AH4" s="155">
        <f t="shared" si="8"/>
        <v>2.1004695167155172E-2</v>
      </c>
      <c r="AK4" s="159">
        <f t="shared" si="9"/>
        <v>3531.65</v>
      </c>
      <c r="AL4" s="159">
        <f t="shared" si="10"/>
        <v>3533.2400000000002</v>
      </c>
      <c r="AM4" s="159">
        <f t="shared" si="11"/>
        <v>3109.96</v>
      </c>
      <c r="AN4" s="159">
        <f t="shared" si="12"/>
        <v>3118.8</v>
      </c>
      <c r="AO4" s="159">
        <f t="shared" si="13"/>
        <v>3688.27</v>
      </c>
      <c r="AP4" s="159">
        <f t="shared" si="14"/>
        <v>3877.58</v>
      </c>
    </row>
    <row r="5" spans="1:42">
      <c r="A5" t="s">
        <v>407</v>
      </c>
      <c r="B5">
        <v>0</v>
      </c>
      <c r="C5" t="s">
        <v>408</v>
      </c>
      <c r="D5" t="s">
        <v>408</v>
      </c>
      <c r="F5" t="s">
        <v>414</v>
      </c>
      <c r="G5" t="s">
        <v>415</v>
      </c>
      <c r="H5" s="159">
        <f>'Raw Results'!G5</f>
        <v>4120928.57</v>
      </c>
      <c r="I5" s="159">
        <f>'Raw Results'!H5</f>
        <v>4144697.66</v>
      </c>
      <c r="J5" s="155">
        <f t="shared" si="0"/>
        <v>5.7678966272400878E-3</v>
      </c>
      <c r="K5" s="159">
        <f>'Raw Results'!J5</f>
        <v>4219016.6500000004</v>
      </c>
      <c r="L5" s="159">
        <f>'Raw Results'!L5</f>
        <v>4316741.72</v>
      </c>
      <c r="M5" s="155">
        <f t="shared" si="1"/>
        <v>2.3162996998364382E-2</v>
      </c>
      <c r="N5" s="159">
        <f>'Raw Results'!N5</f>
        <v>4107238.31</v>
      </c>
      <c r="O5" s="159">
        <f>'Raw Results'!P5</f>
        <v>4119213.82</v>
      </c>
      <c r="P5" s="155">
        <f t="shared" si="2"/>
        <v>2.9157085847302043E-3</v>
      </c>
      <c r="Q5" s="159">
        <f>'Raw Results'!AA5</f>
        <v>697550.51</v>
      </c>
      <c r="R5" s="159">
        <f>'Raw Results'!AB5</f>
        <v>759793.33</v>
      </c>
      <c r="S5" s="155">
        <f t="shared" si="3"/>
        <v>8.9230556221656196E-2</v>
      </c>
      <c r="T5" s="159">
        <f>'Raw Results'!AD5</f>
        <v>954407.9</v>
      </c>
      <c r="U5" s="159">
        <f>'Raw Results'!AF5</f>
        <v>1210314.33</v>
      </c>
      <c r="V5" s="155">
        <f t="shared" si="4"/>
        <v>0.26813108944299396</v>
      </c>
      <c r="W5" s="159">
        <f>'Raw Results'!AH5</f>
        <v>661700.56999999995</v>
      </c>
      <c r="X5" s="159">
        <f>'Raw Results'!AJ5</f>
        <v>693060.69</v>
      </c>
      <c r="Y5" s="155">
        <f t="shared" si="5"/>
        <v>4.7393218960050158E-2</v>
      </c>
      <c r="Z5" s="159">
        <f>'Raw Results'!AL5</f>
        <v>3435865.4</v>
      </c>
      <c r="AA5" s="159">
        <f>'Raw Results'!AN5</f>
        <v>4961845.0599999996</v>
      </c>
      <c r="AB5" s="155">
        <f t="shared" si="6"/>
        <v>0.44413254954632381</v>
      </c>
      <c r="AC5" s="159">
        <f>'Raw Results'!AP5</f>
        <v>9733127.0399999991</v>
      </c>
      <c r="AD5" s="159">
        <f>'Raw Results'!AR5</f>
        <v>16007046.550000001</v>
      </c>
      <c r="AE5" s="155">
        <f t="shared" si="7"/>
        <v>0.64459443344530742</v>
      </c>
      <c r="AF5" s="159">
        <f>'Raw Results'!AT5</f>
        <v>2556929.85</v>
      </c>
      <c r="AG5" s="159">
        <f>'Raw Results'!AV5</f>
        <v>3325789.95</v>
      </c>
      <c r="AH5" s="155">
        <f t="shared" si="8"/>
        <v>0.30069659517643788</v>
      </c>
      <c r="AK5" s="159">
        <f t="shared" si="9"/>
        <v>12447183.530000001</v>
      </c>
      <c r="AL5" s="159">
        <f t="shared" si="10"/>
        <v>12580653.199999999</v>
      </c>
      <c r="AM5" s="159">
        <f t="shared" si="11"/>
        <v>2313658.98</v>
      </c>
      <c r="AN5" s="159">
        <f t="shared" si="12"/>
        <v>2663168.35</v>
      </c>
      <c r="AO5" s="159">
        <f t="shared" si="13"/>
        <v>15725922.289999999</v>
      </c>
      <c r="AP5" s="159">
        <f t="shared" si="14"/>
        <v>24294681.559999999</v>
      </c>
    </row>
    <row r="6" spans="1:42">
      <c r="A6" t="s">
        <v>407</v>
      </c>
      <c r="B6">
        <v>0</v>
      </c>
      <c r="C6" t="s">
        <v>408</v>
      </c>
      <c r="D6" t="s">
        <v>408</v>
      </c>
      <c r="F6" t="s">
        <v>416</v>
      </c>
      <c r="G6" t="s">
        <v>415</v>
      </c>
      <c r="H6" s="159">
        <f>'Raw Results'!G6</f>
        <v>1438127.36</v>
      </c>
      <c r="I6" s="159">
        <f>'Raw Results'!H6</f>
        <v>1438606.95</v>
      </c>
      <c r="J6" s="155">
        <f t="shared" si="0"/>
        <v>3.334822862975439E-4</v>
      </c>
      <c r="K6" s="159">
        <f>'Raw Results'!J6</f>
        <v>1443422.2</v>
      </c>
      <c r="L6" s="159">
        <f>'Raw Results'!L6</f>
        <v>1445541.1</v>
      </c>
      <c r="M6" s="155">
        <f t="shared" si="1"/>
        <v>1.4679696626532001E-3</v>
      </c>
      <c r="N6" s="159">
        <f>'Raw Results'!N6</f>
        <v>1435967.99</v>
      </c>
      <c r="O6" s="159">
        <f>'Raw Results'!P6</f>
        <v>1435999.04</v>
      </c>
      <c r="P6" s="155">
        <f t="shared" si="2"/>
        <v>2.1623044675283163E-5</v>
      </c>
      <c r="Q6" s="159">
        <f>'Raw Results'!AA6</f>
        <v>427698.9</v>
      </c>
      <c r="R6" s="159">
        <f>'Raw Results'!AB6</f>
        <v>429350.39</v>
      </c>
      <c r="S6" s="155">
        <f t="shared" si="3"/>
        <v>3.8613379646288324E-3</v>
      </c>
      <c r="T6" s="159">
        <f>'Raw Results'!AD6</f>
        <v>445931.55</v>
      </c>
      <c r="U6" s="159">
        <f>'Raw Results'!AF6</f>
        <v>453227.89</v>
      </c>
      <c r="V6" s="155">
        <f t="shared" si="4"/>
        <v>1.6362017892656452E-2</v>
      </c>
      <c r="W6" s="159">
        <f>'Raw Results'!AH6</f>
        <v>420353.11</v>
      </c>
      <c r="X6" s="159">
        <f>'Raw Results'!AJ6</f>
        <v>420462.64</v>
      </c>
      <c r="Y6" s="155">
        <f t="shared" si="5"/>
        <v>2.605666459801569E-4</v>
      </c>
      <c r="Z6" s="159">
        <f>'Raw Results'!AL6</f>
        <v>689312.12</v>
      </c>
      <c r="AA6" s="159">
        <f>'Raw Results'!AN6</f>
        <v>729801.01</v>
      </c>
      <c r="AB6" s="155">
        <f t="shared" si="6"/>
        <v>5.8738108362290244E-2</v>
      </c>
      <c r="AC6" s="159">
        <f>'Raw Results'!AP6</f>
        <v>1136314.17</v>
      </c>
      <c r="AD6" s="159">
        <f>'Raw Results'!AR6</f>
        <v>1315193.5900000001</v>
      </c>
      <c r="AE6" s="155">
        <f t="shared" si="7"/>
        <v>0.15742074218787588</v>
      </c>
      <c r="AF6" s="159">
        <f>'Raw Results'!AT6</f>
        <v>502405.62</v>
      </c>
      <c r="AG6" s="159">
        <f>'Raw Results'!AV6</f>
        <v>507526.98</v>
      </c>
      <c r="AH6" s="155">
        <f t="shared" si="8"/>
        <v>1.0193675779343363E-2</v>
      </c>
      <c r="AK6" s="159">
        <f t="shared" si="9"/>
        <v>4317517.55</v>
      </c>
      <c r="AL6" s="159">
        <f t="shared" si="10"/>
        <v>4320147.09</v>
      </c>
      <c r="AM6" s="159">
        <f t="shared" si="11"/>
        <v>1293983.56</v>
      </c>
      <c r="AN6" s="159">
        <f t="shared" si="12"/>
        <v>1303040.92</v>
      </c>
      <c r="AO6" s="159">
        <f t="shared" si="13"/>
        <v>2328031.91</v>
      </c>
      <c r="AP6" s="159">
        <f t="shared" si="14"/>
        <v>2552521.58</v>
      </c>
    </row>
    <row r="7" spans="1:42">
      <c r="A7" t="s">
        <v>407</v>
      </c>
      <c r="B7">
        <v>0</v>
      </c>
      <c r="C7" t="s">
        <v>408</v>
      </c>
      <c r="D7" t="s">
        <v>408</v>
      </c>
      <c r="F7" t="s">
        <v>417</v>
      </c>
      <c r="G7" t="s">
        <v>415</v>
      </c>
      <c r="H7" s="159">
        <f>'Raw Results'!G7</f>
        <v>63674388.420000002</v>
      </c>
      <c r="I7" s="159">
        <f>'Raw Results'!H7</f>
        <v>63674990.93</v>
      </c>
      <c r="J7" s="155">
        <f t="shared" si="0"/>
        <v>9.4623602196808324E-6</v>
      </c>
      <c r="K7" s="159">
        <f>'Raw Results'!J7</f>
        <v>63691090.850000001</v>
      </c>
      <c r="L7" s="159">
        <f>'Raw Results'!L7</f>
        <v>63698278.969999999</v>
      </c>
      <c r="M7" s="155">
        <f t="shared" si="1"/>
        <v>1.1285911269640811E-4</v>
      </c>
      <c r="N7" s="159">
        <f>'Raw Results'!N7</f>
        <v>63666069.689999998</v>
      </c>
      <c r="O7" s="159">
        <f>'Raw Results'!P7</f>
        <v>63666182.740000002</v>
      </c>
      <c r="P7" s="155">
        <f t="shared" si="2"/>
        <v>1.775671100084054E-6</v>
      </c>
      <c r="Q7" s="159">
        <f>'Raw Results'!AA7</f>
        <v>12065108.470000001</v>
      </c>
      <c r="R7" s="159">
        <f>'Raw Results'!AB7</f>
        <v>12081139.390000001</v>
      </c>
      <c r="S7" s="155">
        <f t="shared" si="3"/>
        <v>1.3287008599931738E-3</v>
      </c>
      <c r="T7" s="159">
        <f>'Raw Results'!AD7</f>
        <v>12244460.289999999</v>
      </c>
      <c r="U7" s="159">
        <f>'Raw Results'!AF7</f>
        <v>12337906.09</v>
      </c>
      <c r="V7" s="155">
        <f t="shared" si="4"/>
        <v>7.631679779003208E-3</v>
      </c>
      <c r="W7" s="159">
        <f>'Raw Results'!AH7</f>
        <v>11981074</v>
      </c>
      <c r="X7" s="159">
        <f>'Raw Results'!AJ7</f>
        <v>11985647.310000001</v>
      </c>
      <c r="Y7" s="155">
        <f t="shared" si="5"/>
        <v>3.8171118883002656E-4</v>
      </c>
      <c r="Z7" s="159">
        <f>'Raw Results'!AL7</f>
        <v>23421628.09</v>
      </c>
      <c r="AA7" s="159">
        <f>'Raw Results'!AN7</f>
        <v>25639176.949999999</v>
      </c>
      <c r="AB7" s="155">
        <f t="shared" si="6"/>
        <v>9.4679535149257824E-2</v>
      </c>
      <c r="AC7" s="159">
        <f>'Raw Results'!AP7</f>
        <v>39875018.770000003</v>
      </c>
      <c r="AD7" s="159">
        <f>'Raw Results'!AR7</f>
        <v>50261287.539999999</v>
      </c>
      <c r="AE7" s="155">
        <f t="shared" si="7"/>
        <v>0.26047056754777287</v>
      </c>
      <c r="AF7" s="159">
        <f>'Raw Results'!AT7</f>
        <v>16297787.359999999</v>
      </c>
      <c r="AG7" s="159">
        <f>'Raw Results'!AV7</f>
        <v>17058695.75</v>
      </c>
      <c r="AH7" s="155">
        <f t="shared" si="8"/>
        <v>4.6687833949012859E-2</v>
      </c>
      <c r="AK7" s="159">
        <f t="shared" si="9"/>
        <v>191031548.96000001</v>
      </c>
      <c r="AL7" s="159">
        <f t="shared" si="10"/>
        <v>191039452.64000002</v>
      </c>
      <c r="AM7" s="159">
        <f t="shared" si="11"/>
        <v>36290642.759999998</v>
      </c>
      <c r="AN7" s="159">
        <f t="shared" si="12"/>
        <v>36404692.789999999</v>
      </c>
      <c r="AO7" s="159">
        <f t="shared" si="13"/>
        <v>79594434.219999999</v>
      </c>
      <c r="AP7" s="159">
        <f t="shared" si="14"/>
        <v>92959160.239999995</v>
      </c>
    </row>
    <row r="8" spans="1:42">
      <c r="A8" t="s">
        <v>407</v>
      </c>
      <c r="B8">
        <v>0</v>
      </c>
      <c r="C8" t="s">
        <v>408</v>
      </c>
      <c r="D8" t="s">
        <v>408</v>
      </c>
      <c r="F8" t="s">
        <v>418</v>
      </c>
      <c r="G8" t="s">
        <v>415</v>
      </c>
      <c r="H8" s="159">
        <f>'Raw Results'!G8</f>
        <v>1002624.08</v>
      </c>
      <c r="I8" s="159">
        <f>'Raw Results'!H8</f>
        <v>1002632.48</v>
      </c>
      <c r="J8" s="155">
        <f t="shared" si="0"/>
        <v>8.3780154173269848E-6</v>
      </c>
      <c r="K8" s="159">
        <f>'Raw Results'!J8</f>
        <v>1002857.07</v>
      </c>
      <c r="L8" s="159">
        <f>'Raw Results'!L8</f>
        <v>1002957.32</v>
      </c>
      <c r="M8" s="155">
        <f t="shared" si="1"/>
        <v>9.9964394726758028E-5</v>
      </c>
      <c r="N8" s="159">
        <f>'Raw Results'!N8</f>
        <v>1002508.04</v>
      </c>
      <c r="O8" s="159">
        <f>'Raw Results'!P8</f>
        <v>1002509.62</v>
      </c>
      <c r="P8" s="155">
        <f t="shared" si="2"/>
        <v>1.5760472105122372E-6</v>
      </c>
      <c r="Q8" s="159">
        <f>'Raw Results'!AA8</f>
        <v>216836.27</v>
      </c>
      <c r="R8" s="159">
        <f>'Raw Results'!AB8</f>
        <v>216870.49</v>
      </c>
      <c r="S8" s="155">
        <f t="shared" si="3"/>
        <v>1.5781492644197009E-4</v>
      </c>
      <c r="T8" s="159">
        <f>'Raw Results'!AD8</f>
        <v>217732.49</v>
      </c>
      <c r="U8" s="159">
        <f>'Raw Results'!AF8</f>
        <v>218116.83</v>
      </c>
      <c r="V8" s="155">
        <f t="shared" si="4"/>
        <v>1.7651936098282647E-3</v>
      </c>
      <c r="W8" s="159">
        <f>'Raw Results'!AH8</f>
        <v>216371.41</v>
      </c>
      <c r="X8" s="159">
        <f>'Raw Results'!AJ8</f>
        <v>216376.78</v>
      </c>
      <c r="Y8" s="155">
        <f t="shared" si="5"/>
        <v>2.48184360401189E-5</v>
      </c>
      <c r="Z8" s="159">
        <f>'Raw Results'!AL8</f>
        <v>231729.2</v>
      </c>
      <c r="AA8" s="159">
        <f>'Raw Results'!AN8</f>
        <v>232556.32</v>
      </c>
      <c r="AB8" s="155">
        <f t="shared" si="6"/>
        <v>3.569338693613042E-3</v>
      </c>
      <c r="AC8" s="159">
        <f>'Raw Results'!AP8</f>
        <v>253182.07999999999</v>
      </c>
      <c r="AD8" s="159">
        <f>'Raw Results'!AR8</f>
        <v>262376.83</v>
      </c>
      <c r="AE8" s="155">
        <f t="shared" si="7"/>
        <v>3.6316748799915179E-2</v>
      </c>
      <c r="AF8" s="159">
        <f>'Raw Results'!AT8</f>
        <v>220707.82</v>
      </c>
      <c r="AG8" s="159">
        <f>'Raw Results'!AV8</f>
        <v>220901.59</v>
      </c>
      <c r="AH8" s="155">
        <f t="shared" si="8"/>
        <v>8.7794804914474495E-4</v>
      </c>
      <c r="AK8" s="159">
        <f t="shared" si="9"/>
        <v>3007989.19</v>
      </c>
      <c r="AL8" s="159">
        <f t="shared" si="10"/>
        <v>3008099.42</v>
      </c>
      <c r="AM8" s="159">
        <f t="shared" si="11"/>
        <v>650940.17000000004</v>
      </c>
      <c r="AN8" s="159">
        <f t="shared" si="12"/>
        <v>651364.1</v>
      </c>
      <c r="AO8" s="159">
        <f t="shared" si="13"/>
        <v>705619.10000000009</v>
      </c>
      <c r="AP8" s="159">
        <f t="shared" si="14"/>
        <v>715834.74</v>
      </c>
    </row>
    <row r="9" spans="1:42">
      <c r="A9" t="s">
        <v>407</v>
      </c>
      <c r="B9">
        <v>0</v>
      </c>
      <c r="C9" t="s">
        <v>408</v>
      </c>
      <c r="D9" t="s">
        <v>408</v>
      </c>
      <c r="F9" t="s">
        <v>419</v>
      </c>
      <c r="G9" t="s">
        <v>415</v>
      </c>
      <c r="H9" s="159">
        <f>'Raw Results'!G9</f>
        <v>4221698.7699999996</v>
      </c>
      <c r="I9" s="159">
        <f>'Raw Results'!H9</f>
        <v>4221709.37</v>
      </c>
      <c r="J9" s="155">
        <f t="shared" si="0"/>
        <v>2.510837598334567E-6</v>
      </c>
      <c r="K9" s="159">
        <f>'Raw Results'!J9</f>
        <v>4221992.8099999996</v>
      </c>
      <c r="L9" s="159">
        <f>'Raw Results'!L9</f>
        <v>4222119.34</v>
      </c>
      <c r="M9" s="155">
        <f t="shared" si="1"/>
        <v>2.996925994297484E-5</v>
      </c>
      <c r="N9" s="159">
        <f>'Raw Results'!N9</f>
        <v>4221552.32</v>
      </c>
      <c r="O9" s="159">
        <f>'Raw Results'!P9</f>
        <v>4221554.3099999996</v>
      </c>
      <c r="P9" s="155">
        <f t="shared" si="2"/>
        <v>4.7139058063176977E-7</v>
      </c>
      <c r="Q9" s="159">
        <f>'Raw Results'!AA9</f>
        <v>569382.23</v>
      </c>
      <c r="R9" s="159">
        <f>'Raw Results'!AB9</f>
        <v>569641.63</v>
      </c>
      <c r="S9" s="155">
        <f t="shared" si="3"/>
        <v>4.5558148170522165E-4</v>
      </c>
      <c r="T9" s="159">
        <f>'Raw Results'!AD9</f>
        <v>576174.88</v>
      </c>
      <c r="U9" s="159">
        <f>'Raw Results'!AF9</f>
        <v>579087.94999999995</v>
      </c>
      <c r="V9" s="155">
        <f t="shared" si="4"/>
        <v>5.0558781736544101E-3</v>
      </c>
      <c r="W9" s="159">
        <f>'Raw Results'!AH9</f>
        <v>565858.98</v>
      </c>
      <c r="X9" s="159">
        <f>'Raw Results'!AJ9</f>
        <v>565899.72</v>
      </c>
      <c r="Y9" s="155">
        <f t="shared" si="5"/>
        <v>7.1996736713431125E-5</v>
      </c>
      <c r="Z9" s="159">
        <f>'Raw Results'!AL9</f>
        <v>682259.11</v>
      </c>
      <c r="AA9" s="159">
        <f>'Raw Results'!AN9</f>
        <v>688528.06</v>
      </c>
      <c r="AB9" s="155">
        <f t="shared" si="6"/>
        <v>9.1885178345219466E-3</v>
      </c>
      <c r="AC9" s="159">
        <f>'Raw Results'!AP9</f>
        <v>844855.29</v>
      </c>
      <c r="AD9" s="159">
        <f>'Raw Results'!AR9</f>
        <v>914544.4</v>
      </c>
      <c r="AE9" s="155">
        <f t="shared" si="7"/>
        <v>8.2486445696516836E-2</v>
      </c>
      <c r="AF9" s="159">
        <f>'Raw Results'!AT9</f>
        <v>598725.61</v>
      </c>
      <c r="AG9" s="159">
        <f>'Raw Results'!AV9</f>
        <v>600194.19999999995</v>
      </c>
      <c r="AH9" s="155">
        <f t="shared" si="8"/>
        <v>2.4528598334051009E-3</v>
      </c>
      <c r="AK9" s="159">
        <f t="shared" si="9"/>
        <v>12665243.899999999</v>
      </c>
      <c r="AL9" s="159">
        <f t="shared" si="10"/>
        <v>12665383.02</v>
      </c>
      <c r="AM9" s="159">
        <f t="shared" si="11"/>
        <v>1711416.0899999999</v>
      </c>
      <c r="AN9" s="159">
        <f t="shared" si="12"/>
        <v>1714629.3</v>
      </c>
      <c r="AO9" s="159">
        <f t="shared" si="13"/>
        <v>2125840.0099999998</v>
      </c>
      <c r="AP9" s="159">
        <f t="shared" si="14"/>
        <v>2203266.66</v>
      </c>
    </row>
    <row r="10" spans="1:42">
      <c r="A10" t="s">
        <v>407</v>
      </c>
      <c r="B10">
        <v>0</v>
      </c>
      <c r="C10" t="s">
        <v>408</v>
      </c>
      <c r="D10" t="s">
        <v>408</v>
      </c>
      <c r="F10" t="s">
        <v>420</v>
      </c>
      <c r="G10" t="s">
        <v>421</v>
      </c>
      <c r="H10" s="159">
        <f>'Raw Results'!G10</f>
        <v>208619.06</v>
      </c>
      <c r="I10" s="159">
        <f>'Raw Results'!H10</f>
        <v>208722.56</v>
      </c>
      <c r="J10" s="155">
        <f t="shared" si="0"/>
        <v>4.9611957795227344E-4</v>
      </c>
      <c r="K10" s="159">
        <f>'Raw Results'!J10</f>
        <v>209581</v>
      </c>
      <c r="L10" s="159">
        <f>'Raw Results'!L10</f>
        <v>210103.11</v>
      </c>
      <c r="M10" s="155">
        <f t="shared" si="1"/>
        <v>2.491208649638975E-3</v>
      </c>
      <c r="N10" s="159">
        <f>'Raw Results'!N10</f>
        <v>208146.37</v>
      </c>
      <c r="O10" s="159">
        <f>'Raw Results'!P10</f>
        <v>208175.34</v>
      </c>
      <c r="P10" s="155">
        <f t="shared" si="2"/>
        <v>1.3918090428385164E-4</v>
      </c>
      <c r="Q10" s="159">
        <f>'Raw Results'!AA10</f>
        <v>67410.03</v>
      </c>
      <c r="R10" s="159">
        <f>'Raw Results'!AB10</f>
        <v>67597.11</v>
      </c>
      <c r="S10" s="155">
        <f t="shared" si="3"/>
        <v>2.7752546616579424E-3</v>
      </c>
      <c r="T10" s="159">
        <f>'Raw Results'!AD10</f>
        <v>69065.86</v>
      </c>
      <c r="U10" s="159">
        <f>'Raw Results'!AF10</f>
        <v>69992.740000000005</v>
      </c>
      <c r="V10" s="155">
        <f t="shared" si="4"/>
        <v>1.3420233962192097E-2</v>
      </c>
      <c r="W10" s="159">
        <f>'Raw Results'!AH10</f>
        <v>66647.399999999994</v>
      </c>
      <c r="X10" s="159">
        <f>'Raw Results'!AJ10</f>
        <v>66703.399999999994</v>
      </c>
      <c r="Y10" s="155">
        <f t="shared" si="5"/>
        <v>8.4024283017792147E-4</v>
      </c>
      <c r="Z10" s="159">
        <f>'Raw Results'!AL10</f>
        <v>104765.23</v>
      </c>
      <c r="AA10" s="159">
        <f>'Raw Results'!AN10</f>
        <v>112108.4</v>
      </c>
      <c r="AB10" s="155">
        <f t="shared" si="6"/>
        <v>7.0091670681198315E-2</v>
      </c>
      <c r="AC10" s="159">
        <f>'Raw Results'!AP10</f>
        <v>159708.41</v>
      </c>
      <c r="AD10" s="159">
        <f>'Raw Results'!AR10</f>
        <v>194239.01</v>
      </c>
      <c r="AE10" s="155">
        <f t="shared" si="7"/>
        <v>0.21621027972165024</v>
      </c>
      <c r="AF10" s="159">
        <f>'Raw Results'!AT10</f>
        <v>80742.13</v>
      </c>
      <c r="AG10" s="159">
        <f>'Raw Results'!AV10</f>
        <v>83245.08</v>
      </c>
      <c r="AH10" s="155">
        <f t="shared" si="8"/>
        <v>3.0999306062398861E-2</v>
      </c>
      <c r="AK10" s="159">
        <f t="shared" si="9"/>
        <v>626346.42999999993</v>
      </c>
      <c r="AL10" s="159">
        <f t="shared" si="10"/>
        <v>627001.01</v>
      </c>
      <c r="AM10" s="159">
        <f t="shared" si="11"/>
        <v>203123.29</v>
      </c>
      <c r="AN10" s="159">
        <f t="shared" si="12"/>
        <v>204293.25</v>
      </c>
      <c r="AO10" s="159">
        <f t="shared" si="13"/>
        <v>345215.77</v>
      </c>
      <c r="AP10" s="159">
        <f t="shared" si="14"/>
        <v>389592.49000000005</v>
      </c>
    </row>
    <row r="11" spans="1:42">
      <c r="A11" t="s">
        <v>407</v>
      </c>
      <c r="B11">
        <v>0</v>
      </c>
      <c r="C11" t="s">
        <v>408</v>
      </c>
      <c r="D11" t="s">
        <v>408</v>
      </c>
      <c r="F11" t="s">
        <v>422</v>
      </c>
      <c r="G11" t="s">
        <v>421</v>
      </c>
      <c r="H11" s="159">
        <f>'Raw Results'!G11</f>
        <v>691684.79</v>
      </c>
      <c r="I11" s="159">
        <f>'Raw Results'!H11</f>
        <v>693585.07</v>
      </c>
      <c r="J11" s="155">
        <f t="shared" si="0"/>
        <v>2.7473207846596013E-3</v>
      </c>
      <c r="K11" s="159">
        <f>'Raw Results'!J11</f>
        <v>699744.63</v>
      </c>
      <c r="L11" s="159">
        <f>'Raw Results'!L11</f>
        <v>706606.3</v>
      </c>
      <c r="M11" s="155">
        <f t="shared" si="1"/>
        <v>9.8059630696987875E-3</v>
      </c>
      <c r="N11" s="159">
        <f>'Raw Results'!N11</f>
        <v>687159.26</v>
      </c>
      <c r="O11" s="159">
        <f>'Raw Results'!P11</f>
        <v>687687.66</v>
      </c>
      <c r="P11" s="155">
        <f t="shared" si="2"/>
        <v>7.6896293298881434E-4</v>
      </c>
      <c r="Q11" s="159">
        <f>'Raw Results'!AA11</f>
        <v>227270.28</v>
      </c>
      <c r="R11" s="159">
        <f>'Raw Results'!AB11</f>
        <v>230510.67</v>
      </c>
      <c r="S11" s="155">
        <f t="shared" si="3"/>
        <v>1.4257869528739147E-2</v>
      </c>
      <c r="T11" s="159">
        <f>'Raw Results'!AD11</f>
        <v>240480.18</v>
      </c>
      <c r="U11" s="159">
        <f>'Raw Results'!AF11</f>
        <v>252187.25</v>
      </c>
      <c r="V11" s="155">
        <f t="shared" si="4"/>
        <v>4.8682057706377332E-2</v>
      </c>
      <c r="W11" s="159">
        <f>'Raw Results'!AH11</f>
        <v>220296</v>
      </c>
      <c r="X11" s="159">
        <f>'Raw Results'!AJ11</f>
        <v>221285.84</v>
      </c>
      <c r="Y11" s="155">
        <f t="shared" si="5"/>
        <v>4.4932272941859887E-3</v>
      </c>
      <c r="Z11" s="159">
        <f>'Raw Results'!AL11</f>
        <v>321418.05</v>
      </c>
      <c r="AA11" s="159">
        <f>'Raw Results'!AN11</f>
        <v>350835.66</v>
      </c>
      <c r="AB11" s="155">
        <f t="shared" si="6"/>
        <v>9.1524449233638214E-2</v>
      </c>
      <c r="AC11" s="159">
        <f>'Raw Results'!AP11</f>
        <v>466313.97</v>
      </c>
      <c r="AD11" s="159">
        <f>'Raw Results'!AR11</f>
        <v>588870.53</v>
      </c>
      <c r="AE11" s="155">
        <f t="shared" si="7"/>
        <v>0.26281983359838024</v>
      </c>
      <c r="AF11" s="159">
        <f>'Raw Results'!AT11</f>
        <v>251382.87</v>
      </c>
      <c r="AG11" s="159">
        <f>'Raw Results'!AV11</f>
        <v>260319.39</v>
      </c>
      <c r="AH11" s="155">
        <f t="shared" si="8"/>
        <v>3.5549438989219986E-2</v>
      </c>
      <c r="AK11" s="159">
        <f t="shared" si="9"/>
        <v>2078588.68</v>
      </c>
      <c r="AL11" s="159">
        <f t="shared" si="10"/>
        <v>2087879.0300000003</v>
      </c>
      <c r="AM11" s="159">
        <f t="shared" si="11"/>
        <v>688046.46</v>
      </c>
      <c r="AN11" s="159">
        <f t="shared" si="12"/>
        <v>703983.76</v>
      </c>
      <c r="AO11" s="159">
        <f t="shared" si="13"/>
        <v>1039114.89</v>
      </c>
      <c r="AP11" s="159">
        <f t="shared" si="14"/>
        <v>1200025.58</v>
      </c>
    </row>
    <row r="12" spans="1:42">
      <c r="A12" t="s">
        <v>407</v>
      </c>
      <c r="B12">
        <v>0</v>
      </c>
      <c r="C12" t="s">
        <v>408</v>
      </c>
      <c r="D12" t="s">
        <v>408</v>
      </c>
      <c r="F12" t="s">
        <v>423</v>
      </c>
      <c r="G12" t="s">
        <v>424</v>
      </c>
      <c r="H12" s="159">
        <f>'Raw Results'!G12</f>
        <v>131.06</v>
      </c>
      <c r="I12" s="159">
        <f>'Raw Results'!H12</f>
        <v>130</v>
      </c>
      <c r="J12" s="155">
        <f t="shared" si="0"/>
        <v>-8.0878986723638205E-3</v>
      </c>
      <c r="K12" s="159">
        <f>'Raw Results'!J12</f>
        <v>130.65</v>
      </c>
      <c r="L12" s="159">
        <f>'Raw Results'!L12</f>
        <v>130.47999999999999</v>
      </c>
      <c r="M12" s="155">
        <f t="shared" si="1"/>
        <v>-1.3011863758133633E-3</v>
      </c>
      <c r="N12" s="159">
        <f>'Raw Results'!N12</f>
        <v>131.18</v>
      </c>
      <c r="O12" s="159">
        <f>'Raw Results'!P12</f>
        <v>131.18</v>
      </c>
      <c r="P12" s="155">
        <f t="shared" si="2"/>
        <v>0</v>
      </c>
      <c r="Q12" s="159">
        <f>'Raw Results'!AA12</f>
        <v>251.42</v>
      </c>
      <c r="R12" s="159">
        <f>'Raw Results'!AB12</f>
        <v>250.73</v>
      </c>
      <c r="S12" s="155">
        <f t="shared" si="3"/>
        <v>-2.7444117413093537E-3</v>
      </c>
      <c r="T12" s="159">
        <f>'Raw Results'!AD12</f>
        <v>245.2</v>
      </c>
      <c r="U12" s="159">
        <f>'Raw Results'!AF12</f>
        <v>242.82</v>
      </c>
      <c r="V12" s="155">
        <f t="shared" si="4"/>
        <v>-9.7063621533441911E-3</v>
      </c>
      <c r="W12" s="159">
        <f>'Raw Results'!AH12</f>
        <v>253.8</v>
      </c>
      <c r="X12" s="159">
        <f>'Raw Results'!AJ12</f>
        <v>253.76</v>
      </c>
      <c r="Y12" s="155">
        <f t="shared" si="5"/>
        <v>-1.5760441292364248E-4</v>
      </c>
      <c r="Z12" s="159">
        <f>'Raw Results'!AL12</f>
        <v>196.48</v>
      </c>
      <c r="AA12" s="159">
        <f>'Raw Results'!AN12</f>
        <v>187.98</v>
      </c>
      <c r="AB12" s="155">
        <f t="shared" si="6"/>
        <v>-4.3261400651465803E-2</v>
      </c>
      <c r="AC12" s="159">
        <f>'Raw Results'!AP12</f>
        <v>150.13999999999999</v>
      </c>
      <c r="AD12" s="159">
        <f>'Raw Results'!AR12</f>
        <v>139.34</v>
      </c>
      <c r="AE12" s="155">
        <f t="shared" si="7"/>
        <v>-7.1932862661515815E-2</v>
      </c>
      <c r="AF12" s="159">
        <f>'Raw Results'!AT12</f>
        <v>229.97</v>
      </c>
      <c r="AG12" s="159">
        <f>'Raw Results'!AV12</f>
        <v>228.4</v>
      </c>
      <c r="AH12" s="155">
        <f t="shared" si="8"/>
        <v>-6.8269774318389055E-3</v>
      </c>
      <c r="AK12" s="159">
        <f t="shared" si="9"/>
        <v>392.89000000000004</v>
      </c>
      <c r="AL12" s="159">
        <f t="shared" si="10"/>
        <v>391.66</v>
      </c>
      <c r="AM12" s="159">
        <f t="shared" si="11"/>
        <v>750.42000000000007</v>
      </c>
      <c r="AN12" s="159">
        <f t="shared" si="12"/>
        <v>747.31</v>
      </c>
      <c r="AO12" s="159">
        <f t="shared" si="13"/>
        <v>576.59</v>
      </c>
      <c r="AP12" s="159">
        <f t="shared" si="14"/>
        <v>555.72</v>
      </c>
    </row>
    <row r="13" spans="1:42">
      <c r="A13" t="s">
        <v>407</v>
      </c>
      <c r="B13">
        <v>1</v>
      </c>
      <c r="C13" t="s">
        <v>408</v>
      </c>
      <c r="D13" t="s">
        <v>408</v>
      </c>
      <c r="F13" t="s">
        <v>425</v>
      </c>
      <c r="G13" t="s">
        <v>426</v>
      </c>
      <c r="H13" s="159">
        <f>'Raw Results'!G13</f>
        <v>0</v>
      </c>
      <c r="I13" s="159">
        <f>'Raw Results'!H13</f>
        <v>0</v>
      </c>
      <c r="J13" s="155"/>
      <c r="K13" s="159">
        <f>'Raw Results'!J13</f>
        <v>0</v>
      </c>
      <c r="L13" s="159">
        <f>'Raw Results'!L13</f>
        <v>0</v>
      </c>
      <c r="M13" s="155"/>
      <c r="N13" s="159">
        <f>'Raw Results'!N13</f>
        <v>0</v>
      </c>
      <c r="O13" s="159">
        <f>'Raw Results'!P13</f>
        <v>0</v>
      </c>
      <c r="P13" s="155"/>
      <c r="Q13" s="159">
        <f>'Raw Results'!AA13</f>
        <v>0</v>
      </c>
      <c r="R13" s="159">
        <f>'Raw Results'!AB13</f>
        <v>0</v>
      </c>
      <c r="S13" s="155"/>
      <c r="T13" s="159">
        <f>'Raw Results'!AD13</f>
        <v>0</v>
      </c>
      <c r="U13" s="159">
        <f>'Raw Results'!AF13</f>
        <v>0</v>
      </c>
      <c r="V13" s="155"/>
      <c r="W13" s="159">
        <f>'Raw Results'!AH13</f>
        <v>0</v>
      </c>
      <c r="X13" s="159">
        <f>'Raw Results'!AJ13</f>
        <v>0</v>
      </c>
      <c r="Y13" s="155"/>
      <c r="Z13" s="159">
        <f>'Raw Results'!AL13</f>
        <v>0</v>
      </c>
      <c r="AA13" s="159">
        <f>'Raw Results'!AN13</f>
        <v>0</v>
      </c>
      <c r="AB13" s="155"/>
      <c r="AC13" s="159">
        <f>'Raw Results'!AP13</f>
        <v>0</v>
      </c>
      <c r="AD13" s="159">
        <f>'Raw Results'!AR13</f>
        <v>0</v>
      </c>
      <c r="AE13" s="155"/>
      <c r="AF13" s="159">
        <f>'Raw Results'!AT13</f>
        <v>0</v>
      </c>
      <c r="AG13" s="159">
        <f>'Raw Results'!AV13</f>
        <v>0</v>
      </c>
      <c r="AH13" s="155"/>
      <c r="AK13" s="159">
        <f t="shared" si="9"/>
        <v>0</v>
      </c>
      <c r="AL13" s="159">
        <f t="shared" si="10"/>
        <v>0</v>
      </c>
      <c r="AM13" s="159">
        <f t="shared" si="11"/>
        <v>0</v>
      </c>
      <c r="AN13" s="159">
        <f t="shared" si="12"/>
        <v>0</v>
      </c>
      <c r="AO13" s="159">
        <f t="shared" si="13"/>
        <v>0</v>
      </c>
      <c r="AP13" s="159">
        <f t="shared" si="14"/>
        <v>0</v>
      </c>
    </row>
    <row r="14" spans="1:42">
      <c r="A14" t="s">
        <v>407</v>
      </c>
      <c r="B14">
        <v>0</v>
      </c>
      <c r="C14" t="s">
        <v>408</v>
      </c>
      <c r="D14" t="s">
        <v>408</v>
      </c>
      <c r="F14" t="s">
        <v>427</v>
      </c>
      <c r="G14" t="s">
        <v>421</v>
      </c>
      <c r="H14" s="159">
        <f>'Raw Results'!G14</f>
        <v>1000.36</v>
      </c>
      <c r="I14" s="159">
        <f>'Raw Results'!H14</f>
        <v>999.51</v>
      </c>
      <c r="J14" s="155">
        <f t="shared" si="0"/>
        <v>-8.4969411012037941E-4</v>
      </c>
      <c r="K14" s="159">
        <f>'Raw Results'!J14</f>
        <v>1007.23</v>
      </c>
      <c r="L14" s="159">
        <f>'Raw Results'!L14</f>
        <v>1006.71</v>
      </c>
      <c r="M14" s="155">
        <f t="shared" si="1"/>
        <v>-5.1626738679346504E-4</v>
      </c>
      <c r="N14" s="159">
        <f>'Raw Results'!N14</f>
        <v>996</v>
      </c>
      <c r="O14" s="159">
        <f>'Raw Results'!P14</f>
        <v>996.65</v>
      </c>
      <c r="P14" s="155">
        <f t="shared" si="2"/>
        <v>6.5261044176704544E-4</v>
      </c>
      <c r="Q14" s="159">
        <f>'Raw Results'!AA14</f>
        <v>296.42</v>
      </c>
      <c r="R14" s="159">
        <f>'Raw Results'!AB14</f>
        <v>295.08999999999997</v>
      </c>
      <c r="S14" s="155">
        <f t="shared" si="3"/>
        <v>-4.4868767289657947E-3</v>
      </c>
      <c r="T14" s="159">
        <f>'Raw Results'!AD14</f>
        <v>308.41000000000003</v>
      </c>
      <c r="U14" s="159">
        <f>'Raw Results'!AF14</f>
        <v>307.86</v>
      </c>
      <c r="V14" s="155">
        <f t="shared" si="4"/>
        <v>-1.7833403586135707E-3</v>
      </c>
      <c r="W14" s="159">
        <f>'Raw Results'!AH14</f>
        <v>290.95</v>
      </c>
      <c r="X14" s="159">
        <f>'Raw Results'!AJ14</f>
        <v>290.33999999999997</v>
      </c>
      <c r="Y14" s="155">
        <f t="shared" si="5"/>
        <v>-2.0965801684138638E-3</v>
      </c>
      <c r="Z14" s="159">
        <f>'Raw Results'!AL14</f>
        <v>568.84</v>
      </c>
      <c r="AA14" s="159">
        <f>'Raw Results'!AN14</f>
        <v>602.88</v>
      </c>
      <c r="AB14" s="155">
        <f t="shared" si="6"/>
        <v>5.9841080092820409E-2</v>
      </c>
      <c r="AC14" s="159">
        <f>'Raw Results'!AP14</f>
        <v>970.15</v>
      </c>
      <c r="AD14" s="159">
        <f>'Raw Results'!AR14</f>
        <v>1166.4000000000001</v>
      </c>
      <c r="AE14" s="155">
        <f t="shared" si="7"/>
        <v>0.20228830593207248</v>
      </c>
      <c r="AF14" s="159">
        <f>'Raw Results'!AT14</f>
        <v>395.05</v>
      </c>
      <c r="AG14" s="159">
        <f>'Raw Results'!AV14</f>
        <v>405.84</v>
      </c>
      <c r="AH14" s="155">
        <f t="shared" si="8"/>
        <v>2.731299835463856E-2</v>
      </c>
      <c r="AK14" s="159">
        <f t="shared" si="9"/>
        <v>3003.59</v>
      </c>
      <c r="AL14" s="159">
        <f t="shared" si="10"/>
        <v>3002.87</v>
      </c>
      <c r="AM14" s="159">
        <f t="shared" si="11"/>
        <v>895.78</v>
      </c>
      <c r="AN14" s="159">
        <f t="shared" si="12"/>
        <v>893.29</v>
      </c>
      <c r="AO14" s="159">
        <f t="shared" si="13"/>
        <v>1934.04</v>
      </c>
      <c r="AP14" s="159">
        <f t="shared" si="14"/>
        <v>2175.1200000000003</v>
      </c>
    </row>
    <row r="15" spans="1:42">
      <c r="A15" t="s">
        <v>407</v>
      </c>
      <c r="B15">
        <v>0</v>
      </c>
      <c r="C15" t="s">
        <v>408</v>
      </c>
      <c r="D15" t="s">
        <v>408</v>
      </c>
      <c r="F15" t="s">
        <v>428</v>
      </c>
      <c r="G15" t="s">
        <v>421</v>
      </c>
      <c r="H15" s="159">
        <f>'Raw Results'!G15</f>
        <v>324784.83</v>
      </c>
      <c r="I15" s="159">
        <f>'Raw Results'!H15</f>
        <v>324784.83</v>
      </c>
      <c r="J15" s="155">
        <f t="shared" si="0"/>
        <v>0</v>
      </c>
      <c r="K15" s="159">
        <f>'Raw Results'!J15</f>
        <v>324784.83</v>
      </c>
      <c r="L15" s="159">
        <f>'Raw Results'!L15</f>
        <v>324784.83</v>
      </c>
      <c r="M15" s="155">
        <f t="shared" si="1"/>
        <v>0</v>
      </c>
      <c r="N15" s="159">
        <f>'Raw Results'!N15</f>
        <v>324784.83</v>
      </c>
      <c r="O15" s="159">
        <f>'Raw Results'!P15</f>
        <v>324784.83</v>
      </c>
      <c r="P15" s="155">
        <f t="shared" si="2"/>
        <v>0</v>
      </c>
      <c r="Q15" s="159">
        <f>'Raw Results'!AA15</f>
        <v>103334.87</v>
      </c>
      <c r="R15" s="159">
        <f>'Raw Results'!AB15</f>
        <v>103535.53</v>
      </c>
      <c r="S15" s="155">
        <f t="shared" si="3"/>
        <v>1.9418420906708791E-3</v>
      </c>
      <c r="T15" s="159">
        <f>'Raw Results'!AD15</f>
        <v>104251.74</v>
      </c>
      <c r="U15" s="159">
        <f>'Raw Results'!AF15</f>
        <v>105011.46</v>
      </c>
      <c r="V15" s="155">
        <f t="shared" si="4"/>
        <v>7.2873603836252623E-3</v>
      </c>
      <c r="W15" s="159">
        <f>'Raw Results'!AH15</f>
        <v>102843.12</v>
      </c>
      <c r="X15" s="159">
        <f>'Raw Results'!AJ15</f>
        <v>102903.73</v>
      </c>
      <c r="Y15" s="155">
        <f t="shared" si="5"/>
        <v>5.8934423615309014E-4</v>
      </c>
      <c r="Z15" s="159">
        <f>'Raw Results'!AL15</f>
        <v>138678.62</v>
      </c>
      <c r="AA15" s="159">
        <f>'Raw Results'!AN15</f>
        <v>129191.67999999999</v>
      </c>
      <c r="AB15" s="155">
        <f t="shared" si="6"/>
        <v>-6.8409535658777124E-2</v>
      </c>
      <c r="AC15" s="159">
        <f>'Raw Results'!AP15</f>
        <v>185432.14</v>
      </c>
      <c r="AD15" s="159">
        <f>'Raw Results'!AR15</f>
        <v>173056.55</v>
      </c>
      <c r="AE15" s="155">
        <f t="shared" si="7"/>
        <v>-6.6739185558663261E-2</v>
      </c>
      <c r="AF15" s="159">
        <f>'Raw Results'!AT15</f>
        <v>114325.42</v>
      </c>
      <c r="AG15" s="159">
        <f>'Raw Results'!AV15</f>
        <v>111109.86</v>
      </c>
      <c r="AH15" s="155">
        <f t="shared" si="8"/>
        <v>-2.8126378193056259E-2</v>
      </c>
      <c r="AK15" s="159">
        <f t="shared" si="9"/>
        <v>974354.49</v>
      </c>
      <c r="AL15" s="159">
        <f t="shared" si="10"/>
        <v>974354.49</v>
      </c>
      <c r="AM15" s="159">
        <f t="shared" si="11"/>
        <v>310429.73</v>
      </c>
      <c r="AN15" s="159">
        <f t="shared" si="12"/>
        <v>311450.71999999997</v>
      </c>
      <c r="AO15" s="159">
        <f t="shared" si="13"/>
        <v>438436.18</v>
      </c>
      <c r="AP15" s="159">
        <f t="shared" si="14"/>
        <v>413358.08999999997</v>
      </c>
    </row>
    <row r="16" spans="1:42">
      <c r="A16" t="s">
        <v>407</v>
      </c>
      <c r="B16">
        <v>0</v>
      </c>
      <c r="C16" t="s">
        <v>408</v>
      </c>
      <c r="D16" t="s">
        <v>408</v>
      </c>
      <c r="F16" t="s">
        <v>429</v>
      </c>
      <c r="G16" t="s">
        <v>430</v>
      </c>
      <c r="H16" s="159">
        <f>'Raw Results'!G16</f>
        <v>1211703.46</v>
      </c>
      <c r="I16" s="159">
        <f>'Raw Results'!H16</f>
        <v>1211901.6299999999</v>
      </c>
      <c r="J16" s="155">
        <f t="shared" si="0"/>
        <v>1.6354661560504704E-4</v>
      </c>
      <c r="K16" s="159">
        <f>'Raw Results'!J16</f>
        <v>1214190.83</v>
      </c>
      <c r="L16" s="159">
        <f>'Raw Results'!L16</f>
        <v>1215487.6200000001</v>
      </c>
      <c r="M16" s="155">
        <f t="shared" si="1"/>
        <v>1.0680281616029313E-3</v>
      </c>
      <c r="N16" s="159">
        <f>'Raw Results'!N16</f>
        <v>1209586.1599999999</v>
      </c>
      <c r="O16" s="159">
        <f>'Raw Results'!P16</f>
        <v>1209603.93</v>
      </c>
      <c r="P16" s="155">
        <f t="shared" si="2"/>
        <v>1.4690974969504138E-5</v>
      </c>
      <c r="Q16" s="159">
        <f>'Raw Results'!AA16</f>
        <v>459101.29</v>
      </c>
      <c r="R16" s="159">
        <f>'Raw Results'!AB16</f>
        <v>459485.71</v>
      </c>
      <c r="S16" s="155">
        <f t="shared" si="3"/>
        <v>8.3733156140781463E-4</v>
      </c>
      <c r="T16" s="159">
        <f>'Raw Results'!AD16</f>
        <v>463926.14</v>
      </c>
      <c r="U16" s="159">
        <f>'Raw Results'!AF16</f>
        <v>466441.56</v>
      </c>
      <c r="V16" s="155">
        <f t="shared" si="4"/>
        <v>5.4220268769506795E-3</v>
      </c>
      <c r="W16" s="159">
        <f>'Raw Results'!AH16</f>
        <v>454936.59</v>
      </c>
      <c r="X16" s="159">
        <f>'Raw Results'!AJ16</f>
        <v>454969.38</v>
      </c>
      <c r="Y16" s="155">
        <f t="shared" si="5"/>
        <v>7.2075978764379105E-5</v>
      </c>
      <c r="Z16" s="159">
        <f>'Raw Results'!AL16</f>
        <v>583646.65</v>
      </c>
      <c r="AA16" s="159">
        <f>'Raw Results'!AN16</f>
        <v>593071.51</v>
      </c>
      <c r="AB16" s="155">
        <f t="shared" si="6"/>
        <v>1.6148229412436422E-2</v>
      </c>
      <c r="AC16" s="159">
        <f>'Raw Results'!AP16</f>
        <v>701935.55</v>
      </c>
      <c r="AD16" s="159">
        <f>'Raw Results'!AR16</f>
        <v>763604.23</v>
      </c>
      <c r="AE16" s="155">
        <f t="shared" si="7"/>
        <v>8.7855188414377824E-2</v>
      </c>
      <c r="AF16" s="159">
        <f>'Raw Results'!AT16</f>
        <v>481867.06</v>
      </c>
      <c r="AG16" s="159">
        <f>'Raw Results'!AV16</f>
        <v>482798.96</v>
      </c>
      <c r="AH16" s="155">
        <f t="shared" si="8"/>
        <v>1.9339358867983699E-3</v>
      </c>
      <c r="AK16" s="159">
        <f t="shared" si="9"/>
        <v>3635480.45</v>
      </c>
      <c r="AL16" s="159">
        <f t="shared" si="10"/>
        <v>3636993.1799999997</v>
      </c>
      <c r="AM16" s="159">
        <f t="shared" si="11"/>
        <v>1377964.02</v>
      </c>
      <c r="AN16" s="159">
        <f t="shared" si="12"/>
        <v>1380896.65</v>
      </c>
      <c r="AO16" s="159">
        <f t="shared" si="13"/>
        <v>1767449.2600000002</v>
      </c>
      <c r="AP16" s="159">
        <f t="shared" si="14"/>
        <v>1839474.7</v>
      </c>
    </row>
    <row r="17" spans="1:42">
      <c r="A17" t="s">
        <v>407</v>
      </c>
      <c r="B17">
        <v>0</v>
      </c>
      <c r="C17" t="s">
        <v>408</v>
      </c>
      <c r="D17" t="s">
        <v>408</v>
      </c>
      <c r="F17" t="s">
        <v>431</v>
      </c>
      <c r="G17" t="s">
        <v>410</v>
      </c>
      <c r="H17" s="159">
        <f>'Raw Results'!G17</f>
        <v>46749494.909999996</v>
      </c>
      <c r="I17" s="159">
        <f>'Raw Results'!H17</f>
        <v>46769993.939999998</v>
      </c>
      <c r="J17" s="155">
        <f t="shared" si="0"/>
        <v>4.3848666257175595E-4</v>
      </c>
      <c r="K17" s="159">
        <f>'Raw Results'!J17</f>
        <v>46949683.82</v>
      </c>
      <c r="L17" s="159">
        <f>'Raw Results'!L17</f>
        <v>47055749.960000001</v>
      </c>
      <c r="M17" s="155">
        <f t="shared" si="1"/>
        <v>2.2591449264418198E-3</v>
      </c>
      <c r="N17" s="159">
        <f>'Raw Results'!N17</f>
        <v>46651187.920000002</v>
      </c>
      <c r="O17" s="159">
        <f>'Raw Results'!P17</f>
        <v>46656864.020000003</v>
      </c>
      <c r="P17" s="155">
        <f t="shared" si="2"/>
        <v>1.2167107105043446E-4</v>
      </c>
      <c r="Q17" s="159">
        <f>'Raw Results'!AA17</f>
        <v>16003407.9</v>
      </c>
      <c r="R17" s="159">
        <f>'Raw Results'!AB17</f>
        <v>16040904.630000001</v>
      </c>
      <c r="S17" s="155">
        <f t="shared" si="3"/>
        <v>2.3430465707245047E-3</v>
      </c>
      <c r="T17" s="159">
        <f>'Raw Results'!AD17</f>
        <v>16346345.859999999</v>
      </c>
      <c r="U17" s="159">
        <f>'Raw Results'!AF17</f>
        <v>16534962.800000001</v>
      </c>
      <c r="V17" s="155">
        <f t="shared" si="4"/>
        <v>1.1538783139389745E-2</v>
      </c>
      <c r="W17" s="159">
        <f>'Raw Results'!AH17</f>
        <v>15845453.73</v>
      </c>
      <c r="X17" s="159">
        <f>'Raw Results'!AJ17</f>
        <v>15856578.710000001</v>
      </c>
      <c r="Y17" s="155">
        <f t="shared" si="5"/>
        <v>7.0209286458851349E-4</v>
      </c>
      <c r="Z17" s="159">
        <f>'Raw Results'!AL17</f>
        <v>22640048.710000001</v>
      </c>
      <c r="AA17" s="159">
        <f>'Raw Results'!AN17</f>
        <v>23936230.039999999</v>
      </c>
      <c r="AB17" s="155">
        <f t="shared" si="6"/>
        <v>5.7251702352896491E-2</v>
      </c>
      <c r="AC17" s="159">
        <f>'Raw Results'!AP17</f>
        <v>32434478.91</v>
      </c>
      <c r="AD17" s="159">
        <f>'Raw Results'!AR17</f>
        <v>38590959.93</v>
      </c>
      <c r="AE17" s="155">
        <f t="shared" si="7"/>
        <v>0.18981285431109149</v>
      </c>
      <c r="AF17" s="159">
        <f>'Raw Results'!AT17</f>
        <v>18314807.25</v>
      </c>
      <c r="AG17" s="159">
        <f>'Raw Results'!AV17</f>
        <v>18755023.449999999</v>
      </c>
      <c r="AH17" s="155">
        <f t="shared" si="8"/>
        <v>2.4036081515408755E-2</v>
      </c>
      <c r="AK17" s="159">
        <f t="shared" si="9"/>
        <v>140350366.64999998</v>
      </c>
      <c r="AL17" s="159">
        <f t="shared" si="10"/>
        <v>140482607.92000002</v>
      </c>
      <c r="AM17" s="159">
        <f t="shared" si="11"/>
        <v>48195207.489999995</v>
      </c>
      <c r="AN17" s="159">
        <f t="shared" si="12"/>
        <v>48432446.140000001</v>
      </c>
      <c r="AO17" s="159">
        <f t="shared" si="13"/>
        <v>73389334.870000005</v>
      </c>
      <c r="AP17" s="159">
        <f t="shared" si="14"/>
        <v>81282213.420000002</v>
      </c>
    </row>
    <row r="18" spans="1:42">
      <c r="A18" t="s">
        <v>407</v>
      </c>
      <c r="B18">
        <v>0</v>
      </c>
      <c r="C18" t="s">
        <v>408</v>
      </c>
      <c r="D18" t="s">
        <v>408</v>
      </c>
      <c r="F18" t="s">
        <v>432</v>
      </c>
      <c r="G18" t="s">
        <v>415</v>
      </c>
      <c r="H18" s="159">
        <f>'Raw Results'!G18</f>
        <v>74457767.200000003</v>
      </c>
      <c r="I18" s="159">
        <f>'Raw Results'!H18</f>
        <v>74482637.400000006</v>
      </c>
      <c r="J18" s="155">
        <f t="shared" si="0"/>
        <v>3.3401753685682612E-4</v>
      </c>
      <c r="K18" s="159">
        <f>'Raw Results'!J18</f>
        <v>74578379.569999993</v>
      </c>
      <c r="L18" s="159">
        <f>'Raw Results'!L18</f>
        <v>74685638.439999998</v>
      </c>
      <c r="M18" s="155">
        <f t="shared" si="1"/>
        <v>1.4382032784626348E-3</v>
      </c>
      <c r="N18" s="159">
        <f>'Raw Results'!N18</f>
        <v>74433336.359999999</v>
      </c>
      <c r="O18" s="159">
        <f>'Raw Results'!P18</f>
        <v>74445459.530000001</v>
      </c>
      <c r="P18" s="155">
        <f t="shared" si="2"/>
        <v>1.6287285499829755E-4</v>
      </c>
      <c r="Q18" s="159">
        <f>'Raw Results'!AA18</f>
        <v>13976576.369999999</v>
      </c>
      <c r="R18" s="159">
        <f>'Raw Results'!AB18</f>
        <v>14056795.23</v>
      </c>
      <c r="S18" s="155">
        <f t="shared" si="3"/>
        <v>5.7395214590739768E-3</v>
      </c>
      <c r="T18" s="159">
        <f>'Raw Results'!AD18</f>
        <v>14438707.109999999</v>
      </c>
      <c r="U18" s="159">
        <f>'Raw Results'!AF18</f>
        <v>14798653.1</v>
      </c>
      <c r="V18" s="155">
        <f t="shared" si="4"/>
        <v>2.4929239665143415E-2</v>
      </c>
      <c r="W18" s="159">
        <f>'Raw Results'!AH18</f>
        <v>13845359.08</v>
      </c>
      <c r="X18" s="159">
        <f>'Raw Results'!AJ18</f>
        <v>13881447.140000001</v>
      </c>
      <c r="Y18" s="155">
        <f t="shared" si="5"/>
        <v>2.6065095019551145E-3</v>
      </c>
      <c r="Z18" s="159">
        <f>'Raw Results'!AL18</f>
        <v>28460793.91</v>
      </c>
      <c r="AA18" s="159">
        <f>'Raw Results'!AN18</f>
        <v>32251907.41</v>
      </c>
      <c r="AB18" s="155">
        <f t="shared" si="6"/>
        <v>0.1332047697611117</v>
      </c>
      <c r="AC18" s="159">
        <f>'Raw Results'!AP18</f>
        <v>51842497.359999999</v>
      </c>
      <c r="AD18" s="159">
        <f>'Raw Results'!AR18</f>
        <v>68760448.909999996</v>
      </c>
      <c r="AE18" s="155">
        <f t="shared" si="7"/>
        <v>0.32633365311319557</v>
      </c>
      <c r="AF18" s="159">
        <f>'Raw Results'!AT18</f>
        <v>20176556.25</v>
      </c>
      <c r="AG18" s="159">
        <f>'Raw Results'!AV18</f>
        <v>21713108.469999999</v>
      </c>
      <c r="AH18" s="155">
        <f t="shared" si="8"/>
        <v>7.615532606066007E-2</v>
      </c>
      <c r="AK18" s="159">
        <f t="shared" si="9"/>
        <v>223469483.13</v>
      </c>
      <c r="AL18" s="159">
        <f t="shared" si="10"/>
        <v>223613735.37</v>
      </c>
      <c r="AM18" s="159">
        <f t="shared" si="11"/>
        <v>42260642.559999995</v>
      </c>
      <c r="AN18" s="159">
        <f t="shared" si="12"/>
        <v>42736895.469999999</v>
      </c>
      <c r="AO18" s="159">
        <f t="shared" si="13"/>
        <v>100479847.52</v>
      </c>
      <c r="AP18" s="159">
        <f t="shared" si="14"/>
        <v>122725464.78999999</v>
      </c>
    </row>
    <row r="19" spans="1:42">
      <c r="A19" t="s">
        <v>407</v>
      </c>
      <c r="B19">
        <v>0</v>
      </c>
      <c r="C19" t="s">
        <v>408</v>
      </c>
      <c r="D19" t="s">
        <v>408</v>
      </c>
      <c r="F19" t="s">
        <v>433</v>
      </c>
      <c r="G19" t="s">
        <v>434</v>
      </c>
      <c r="H19" s="159">
        <f>'Raw Results'!G19</f>
        <v>1425633487.0999999</v>
      </c>
      <c r="I19" s="159">
        <f>'Raw Results'!H19</f>
        <v>1426211598.1099999</v>
      </c>
      <c r="J19" s="155">
        <f t="shared" si="0"/>
        <v>4.0551166567781338E-4</v>
      </c>
      <c r="K19" s="159">
        <f>'Raw Results'!J19</f>
        <v>1431161074.9100001</v>
      </c>
      <c r="L19" s="159">
        <f>'Raw Results'!L19</f>
        <v>1434131977.03</v>
      </c>
      <c r="M19" s="155">
        <f t="shared" si="1"/>
        <v>2.0758684484111709E-3</v>
      </c>
      <c r="N19" s="159">
        <f>'Raw Results'!N19</f>
        <v>1422953848.52</v>
      </c>
      <c r="O19" s="159">
        <f>'Raw Results'!P19</f>
        <v>1423119131.6300001</v>
      </c>
      <c r="P19" s="155">
        <f t="shared" si="2"/>
        <v>1.1615493374717867E-4</v>
      </c>
      <c r="Q19" s="159">
        <f>'Raw Results'!AA19</f>
        <v>474359931.01999998</v>
      </c>
      <c r="R19" s="159">
        <f>'Raw Results'!AB19</f>
        <v>475506980.48000002</v>
      </c>
      <c r="S19" s="155">
        <f t="shared" si="3"/>
        <v>2.4180993903375795E-3</v>
      </c>
      <c r="T19" s="159">
        <f>'Raw Results'!AD19</f>
        <v>484334964.74000001</v>
      </c>
      <c r="U19" s="159">
        <f>'Raw Results'!AF19</f>
        <v>489994824.22000003</v>
      </c>
      <c r="V19" s="155">
        <f t="shared" si="4"/>
        <v>1.1685837059148387E-2</v>
      </c>
      <c r="W19" s="159">
        <f>'Raw Results'!AH19</f>
        <v>469828211.52999997</v>
      </c>
      <c r="X19" s="159">
        <f>'Raw Results'!AJ19</f>
        <v>470181052.67000002</v>
      </c>
      <c r="Y19" s="155">
        <f t="shared" si="5"/>
        <v>7.5100032595108506E-4</v>
      </c>
      <c r="Z19" s="159">
        <f>'Raw Results'!AL19</f>
        <v>677756666.33000004</v>
      </c>
      <c r="AA19" s="159">
        <f>'Raw Results'!AN19</f>
        <v>713964035.79999995</v>
      </c>
      <c r="AB19" s="155">
        <f t="shared" si="6"/>
        <v>5.3422373056188466E-2</v>
      </c>
      <c r="AC19" s="159">
        <f>'Raw Results'!AP19</f>
        <v>978461254.47000003</v>
      </c>
      <c r="AD19" s="159">
        <f>'Raw Results'!AR19</f>
        <v>1158279231.6300001</v>
      </c>
      <c r="AE19" s="155">
        <f t="shared" si="7"/>
        <v>0.18377628785863526</v>
      </c>
      <c r="AF19" s="159">
        <f>'Raw Results'!AT19</f>
        <v>545995040.98000002</v>
      </c>
      <c r="AG19" s="159">
        <f>'Raw Results'!AV19</f>
        <v>558542527.48000002</v>
      </c>
      <c r="AH19" s="155">
        <f t="shared" si="8"/>
        <v>2.2980953228949965E-2</v>
      </c>
      <c r="AK19" s="159">
        <f t="shared" si="9"/>
        <v>4279748410.5300002</v>
      </c>
      <c r="AL19" s="159">
        <f t="shared" si="10"/>
        <v>4283462706.77</v>
      </c>
      <c r="AM19" s="159">
        <f t="shared" si="11"/>
        <v>1428523107.29</v>
      </c>
      <c r="AN19" s="159">
        <f t="shared" si="12"/>
        <v>1435682857.3700001</v>
      </c>
      <c r="AO19" s="159">
        <f t="shared" si="13"/>
        <v>2202212961.7800002</v>
      </c>
      <c r="AP19" s="159">
        <f t="shared" si="14"/>
        <v>2430785794.9099998</v>
      </c>
    </row>
    <row r="20" spans="1:42">
      <c r="A20" t="s">
        <v>407</v>
      </c>
      <c r="B20">
        <v>0</v>
      </c>
      <c r="C20" t="s">
        <v>408</v>
      </c>
      <c r="D20" t="s">
        <v>408</v>
      </c>
      <c r="F20" t="s">
        <v>435</v>
      </c>
      <c r="G20" t="s">
        <v>421</v>
      </c>
      <c r="H20" s="159">
        <f>'Raw Results'!G20</f>
        <v>325785.19</v>
      </c>
      <c r="I20" s="159">
        <f>'Raw Results'!H20</f>
        <v>325784.34000000003</v>
      </c>
      <c r="J20" s="155">
        <f t="shared" si="0"/>
        <v>-2.6090811555206573E-6</v>
      </c>
      <c r="K20" s="159">
        <f>'Raw Results'!J20</f>
        <v>325792.06</v>
      </c>
      <c r="L20" s="159">
        <f>'Raw Results'!L20</f>
        <v>325791.53999999998</v>
      </c>
      <c r="M20" s="155">
        <f t="shared" si="1"/>
        <v>-1.5961101078357356E-6</v>
      </c>
      <c r="N20" s="159">
        <f>'Raw Results'!N20</f>
        <v>325781.83</v>
      </c>
      <c r="O20" s="159">
        <f>'Raw Results'!P20</f>
        <v>325781.48</v>
      </c>
      <c r="P20" s="155">
        <f t="shared" si="2"/>
        <v>-1.0743386150017163E-6</v>
      </c>
      <c r="Q20" s="159">
        <f>'Raw Results'!AA20</f>
        <v>103631.29</v>
      </c>
      <c r="R20" s="159">
        <f>'Raw Results'!AB20</f>
        <v>103830.62</v>
      </c>
      <c r="S20" s="155">
        <f t="shared" si="3"/>
        <v>1.9234538139977005E-3</v>
      </c>
      <c r="T20" s="159">
        <f>'Raw Results'!AD20</f>
        <v>104560.14</v>
      </c>
      <c r="U20" s="159">
        <f>'Raw Results'!AF20</f>
        <v>105319.32</v>
      </c>
      <c r="V20" s="155">
        <f t="shared" si="4"/>
        <v>7.2607018315010629E-3</v>
      </c>
      <c r="W20" s="159">
        <f>'Raw Results'!AH20</f>
        <v>103134.07</v>
      </c>
      <c r="X20" s="159">
        <f>'Raw Results'!AJ20</f>
        <v>103194.07</v>
      </c>
      <c r="Y20" s="155">
        <f t="shared" si="5"/>
        <v>5.8176701452778887E-4</v>
      </c>
      <c r="Z20" s="159">
        <f>'Raw Results'!AL20</f>
        <v>139247.46</v>
      </c>
      <c r="AA20" s="159">
        <f>'Raw Results'!AN20</f>
        <v>129794.57</v>
      </c>
      <c r="AB20" s="155">
        <f t="shared" si="6"/>
        <v>-6.7885547068506566E-2</v>
      </c>
      <c r="AC20" s="159">
        <f>'Raw Results'!AP20</f>
        <v>186402.3</v>
      </c>
      <c r="AD20" s="159">
        <f>'Raw Results'!AR20</f>
        <v>174222.95</v>
      </c>
      <c r="AE20" s="155">
        <f t="shared" si="7"/>
        <v>-6.5339054292784887E-2</v>
      </c>
      <c r="AF20" s="159">
        <f>'Raw Results'!AT20</f>
        <v>114720.47</v>
      </c>
      <c r="AG20" s="159">
        <f>'Raw Results'!AV20</f>
        <v>111515.7</v>
      </c>
      <c r="AH20" s="155">
        <f t="shared" si="8"/>
        <v>-2.793546783760565E-2</v>
      </c>
      <c r="AK20" s="159">
        <f t="shared" si="9"/>
        <v>977359.08000000007</v>
      </c>
      <c r="AL20" s="159">
        <f t="shared" si="10"/>
        <v>977357.36</v>
      </c>
      <c r="AM20" s="159">
        <f t="shared" si="11"/>
        <v>311325.5</v>
      </c>
      <c r="AN20" s="159">
        <f t="shared" si="12"/>
        <v>312344.01</v>
      </c>
      <c r="AO20" s="159">
        <f t="shared" si="13"/>
        <v>440370.23</v>
      </c>
      <c r="AP20" s="159">
        <f t="shared" si="14"/>
        <v>415533.22000000003</v>
      </c>
    </row>
    <row r="21" spans="1:42">
      <c r="A21" t="s">
        <v>407</v>
      </c>
      <c r="B21">
        <v>0</v>
      </c>
      <c r="C21" t="s">
        <v>436</v>
      </c>
      <c r="D21" t="s">
        <v>437</v>
      </c>
      <c r="F21" t="s">
        <v>409</v>
      </c>
      <c r="G21" t="s">
        <v>410</v>
      </c>
      <c r="H21" s="159">
        <f>'Raw Results'!G21</f>
        <v>149949.53</v>
      </c>
      <c r="I21" s="159">
        <f>'Raw Results'!H21</f>
        <v>170319.23</v>
      </c>
      <c r="J21" s="155">
        <f t="shared" si="0"/>
        <v>0.13584370687924138</v>
      </c>
      <c r="K21" s="159">
        <f>'Raw Results'!J21</f>
        <v>348591.88</v>
      </c>
      <c r="L21" s="159">
        <f>'Raw Results'!L21</f>
        <v>453914.76</v>
      </c>
      <c r="M21" s="155">
        <f t="shared" si="1"/>
        <v>0.30213807619385741</v>
      </c>
      <c r="N21" s="159">
        <f>'Raw Results'!N21</f>
        <v>52402.04</v>
      </c>
      <c r="O21" s="159">
        <f>'Raw Results'!P21</f>
        <v>58044.35</v>
      </c>
      <c r="P21" s="155">
        <f t="shared" si="2"/>
        <v>0.10767347988742418</v>
      </c>
      <c r="Q21" s="159">
        <f>'Raw Results'!AA21</f>
        <v>244220.18</v>
      </c>
      <c r="R21" s="159">
        <f>'Raw Results'!AB21</f>
        <v>280783.40000000002</v>
      </c>
      <c r="S21" s="155">
        <f t="shared" si="3"/>
        <v>0.14971416366984919</v>
      </c>
      <c r="T21" s="159">
        <f>'Raw Results'!AD21</f>
        <v>576926.56000000006</v>
      </c>
      <c r="U21" s="159">
        <f>'Raw Results'!AF21</f>
        <v>760416.01</v>
      </c>
      <c r="V21" s="155">
        <f t="shared" si="4"/>
        <v>0.31804645984750629</v>
      </c>
      <c r="W21" s="159">
        <f>'Raw Results'!AH21</f>
        <v>90976.55</v>
      </c>
      <c r="X21" s="159">
        <f>'Raw Results'!AJ21</f>
        <v>101839.88</v>
      </c>
      <c r="Y21" s="155">
        <f t="shared" si="5"/>
        <v>0.11940802327632781</v>
      </c>
      <c r="Z21" s="159">
        <f>'Raw Results'!AL21</f>
        <v>5652565.79</v>
      </c>
      <c r="AA21" s="159">
        <f>'Raw Results'!AN21</f>
        <v>6675141.2000000002</v>
      </c>
      <c r="AB21" s="155">
        <f t="shared" si="6"/>
        <v>0.18090464542828438</v>
      </c>
      <c r="AC21" s="159">
        <f>'Raw Results'!AP21</f>
        <v>13689918.01</v>
      </c>
      <c r="AD21" s="159">
        <f>'Raw Results'!AR21</f>
        <v>18627085.739999998</v>
      </c>
      <c r="AE21" s="155">
        <f t="shared" si="7"/>
        <v>0.36064260767621636</v>
      </c>
      <c r="AF21" s="159">
        <f>'Raw Results'!AT21</f>
        <v>2103464.86</v>
      </c>
      <c r="AG21" s="159">
        <f>'Raw Results'!AV21</f>
        <v>2449794.2000000002</v>
      </c>
      <c r="AH21" s="155">
        <f t="shared" si="8"/>
        <v>0.16464707663336023</v>
      </c>
      <c r="AK21" s="159">
        <f t="shared" si="9"/>
        <v>550943.45000000007</v>
      </c>
      <c r="AL21" s="159">
        <f t="shared" si="10"/>
        <v>682278.34</v>
      </c>
      <c r="AM21" s="159">
        <f t="shared" si="11"/>
        <v>912123.29</v>
      </c>
      <c r="AN21" s="159">
        <f t="shared" si="12"/>
        <v>1143039.29</v>
      </c>
      <c r="AO21" s="159">
        <f t="shared" si="13"/>
        <v>21445948.66</v>
      </c>
      <c r="AP21" s="159">
        <f t="shared" si="14"/>
        <v>27752021.139999997</v>
      </c>
    </row>
    <row r="22" spans="1:42">
      <c r="A22" t="s">
        <v>407</v>
      </c>
      <c r="B22">
        <v>0</v>
      </c>
      <c r="C22" t="s">
        <v>436</v>
      </c>
      <c r="D22" t="s">
        <v>437</v>
      </c>
      <c r="F22" t="s">
        <v>411</v>
      </c>
      <c r="G22" t="s">
        <v>410</v>
      </c>
      <c r="H22" s="159">
        <f>'Raw Results'!G22</f>
        <v>1167.3699999999999</v>
      </c>
      <c r="I22" s="159">
        <f>'Raw Results'!H22</f>
        <v>1296.7</v>
      </c>
      <c r="J22" s="155">
        <f t="shared" si="0"/>
        <v>0.11078749668057271</v>
      </c>
      <c r="K22" s="159">
        <f>'Raw Results'!J22</f>
        <v>2713.92</v>
      </c>
      <c r="L22" s="159">
        <f>'Raw Results'!L22</f>
        <v>3457.19</v>
      </c>
      <c r="M22" s="155">
        <f t="shared" si="1"/>
        <v>0.27387321660181579</v>
      </c>
      <c r="N22" s="159">
        <f>'Raw Results'!N22</f>
        <v>407.87</v>
      </c>
      <c r="O22" s="159">
        <f>'Raw Results'!P22</f>
        <v>441.66</v>
      </c>
      <c r="P22" s="155">
        <f t="shared" si="2"/>
        <v>8.2845024149851718E-2</v>
      </c>
      <c r="Q22" s="159">
        <f>'Raw Results'!AA22</f>
        <v>7510.71</v>
      </c>
      <c r="R22" s="159">
        <f>'Raw Results'!AB22</f>
        <v>8444.2199999999993</v>
      </c>
      <c r="S22" s="155">
        <f t="shared" si="3"/>
        <v>0.12429051314722567</v>
      </c>
      <c r="T22" s="159">
        <f>'Raw Results'!AD22</f>
        <v>17742.29</v>
      </c>
      <c r="U22" s="159">
        <f>'Raw Results'!AF22</f>
        <v>22869.78</v>
      </c>
      <c r="V22" s="155">
        <f t="shared" si="4"/>
        <v>0.2889982071085524</v>
      </c>
      <c r="W22" s="159">
        <f>'Raw Results'!AH22</f>
        <v>2800.17</v>
      </c>
      <c r="X22" s="159">
        <f>'Raw Results'!AJ22</f>
        <v>3061.82</v>
      </c>
      <c r="Y22" s="155">
        <f t="shared" si="5"/>
        <v>9.3440755382708934E-2</v>
      </c>
      <c r="Z22" s="159">
        <f>'Raw Results'!AL22</f>
        <v>1235805.9099999999</v>
      </c>
      <c r="AA22" s="159">
        <f>'Raw Results'!AN22</f>
        <v>1509411.83</v>
      </c>
      <c r="AB22" s="155">
        <f t="shared" si="6"/>
        <v>0.22139877936010208</v>
      </c>
      <c r="AC22" s="159">
        <f>'Raw Results'!AP22</f>
        <v>2992883.89</v>
      </c>
      <c r="AD22" s="159">
        <f>'Raw Results'!AR22</f>
        <v>4212197.18</v>
      </c>
      <c r="AE22" s="155">
        <f t="shared" si="7"/>
        <v>0.40740414089368482</v>
      </c>
      <c r="AF22" s="159">
        <f>'Raw Results'!AT22</f>
        <v>459665.38</v>
      </c>
      <c r="AG22" s="159">
        <f>'Raw Results'!AV22</f>
        <v>553552.24</v>
      </c>
      <c r="AH22" s="155">
        <f t="shared" si="8"/>
        <v>0.20425044844578025</v>
      </c>
      <c r="AK22" s="159">
        <f t="shared" si="9"/>
        <v>4289.16</v>
      </c>
      <c r="AL22" s="159">
        <f t="shared" si="10"/>
        <v>5195.55</v>
      </c>
      <c r="AM22" s="159">
        <f t="shared" si="11"/>
        <v>28053.17</v>
      </c>
      <c r="AN22" s="159">
        <f t="shared" si="12"/>
        <v>34375.82</v>
      </c>
      <c r="AO22" s="159">
        <f t="shared" si="13"/>
        <v>4688355.18</v>
      </c>
      <c r="AP22" s="159">
        <f t="shared" si="14"/>
        <v>6275161.25</v>
      </c>
    </row>
    <row r="23" spans="1:42">
      <c r="A23" t="s">
        <v>407</v>
      </c>
      <c r="B23">
        <v>0</v>
      </c>
      <c r="C23" t="s">
        <v>436</v>
      </c>
      <c r="D23" t="s">
        <v>437</v>
      </c>
      <c r="F23" t="s">
        <v>439</v>
      </c>
      <c r="G23" t="s">
        <v>415</v>
      </c>
      <c r="H23" s="159">
        <f>'Raw Results'!G23</f>
        <v>0</v>
      </c>
      <c r="I23" s="159">
        <f>'Raw Results'!H23</f>
        <v>0</v>
      </c>
      <c r="J23" s="155"/>
      <c r="K23" s="159">
        <f>'Raw Results'!J23</f>
        <v>0</v>
      </c>
      <c r="L23" s="159">
        <f>'Raw Results'!L23</f>
        <v>0</v>
      </c>
      <c r="M23" s="155"/>
      <c r="N23" s="159">
        <f>'Raw Results'!N23</f>
        <v>0</v>
      </c>
      <c r="O23" s="159">
        <f>'Raw Results'!P23</f>
        <v>0</v>
      </c>
      <c r="P23" s="155"/>
      <c r="Q23" s="159">
        <f>'Raw Results'!AA23</f>
        <v>0</v>
      </c>
      <c r="R23" s="159">
        <f>'Raw Results'!AB23</f>
        <v>0</v>
      </c>
      <c r="S23" s="155"/>
      <c r="T23" s="159">
        <f>'Raw Results'!AD23</f>
        <v>0</v>
      </c>
      <c r="U23" s="159">
        <f>'Raw Results'!AF23</f>
        <v>0</v>
      </c>
      <c r="V23" s="155"/>
      <c r="W23" s="159">
        <f>'Raw Results'!AH23</f>
        <v>0</v>
      </c>
      <c r="X23" s="159">
        <f>'Raw Results'!AJ23</f>
        <v>0</v>
      </c>
      <c r="Y23" s="155"/>
      <c r="Z23" s="159">
        <f>'Raw Results'!AL23</f>
        <v>0</v>
      </c>
      <c r="AA23" s="159">
        <f>'Raw Results'!AN23</f>
        <v>0</v>
      </c>
      <c r="AB23" s="155"/>
      <c r="AC23" s="159">
        <f>'Raw Results'!AP23</f>
        <v>0</v>
      </c>
      <c r="AD23" s="159">
        <f>'Raw Results'!AR23</f>
        <v>0</v>
      </c>
      <c r="AE23" s="155"/>
      <c r="AF23" s="159">
        <f>'Raw Results'!AT23</f>
        <v>0</v>
      </c>
      <c r="AG23" s="159">
        <f>'Raw Results'!AV23</f>
        <v>0</v>
      </c>
      <c r="AH23" s="155"/>
      <c r="AK23" s="159">
        <f t="shared" si="9"/>
        <v>0</v>
      </c>
      <c r="AL23" s="159">
        <f t="shared" si="10"/>
        <v>0</v>
      </c>
      <c r="AM23" s="159">
        <f t="shared" si="11"/>
        <v>0</v>
      </c>
      <c r="AN23" s="159">
        <f t="shared" si="12"/>
        <v>0</v>
      </c>
      <c r="AO23" s="159">
        <f t="shared" si="13"/>
        <v>0</v>
      </c>
      <c r="AP23" s="159">
        <f t="shared" si="14"/>
        <v>0</v>
      </c>
    </row>
    <row r="24" spans="1:42">
      <c r="A24" t="s">
        <v>407</v>
      </c>
      <c r="B24">
        <v>0</v>
      </c>
      <c r="C24" t="s">
        <v>436</v>
      </c>
      <c r="D24" t="s">
        <v>437</v>
      </c>
      <c r="F24" t="s">
        <v>414</v>
      </c>
      <c r="G24" t="s">
        <v>415</v>
      </c>
      <c r="H24" s="159">
        <f>'Raw Results'!G24</f>
        <v>44466.720000000001</v>
      </c>
      <c r="I24" s="159">
        <f>'Raw Results'!H24</f>
        <v>68235.820000000007</v>
      </c>
      <c r="J24" s="155">
        <f t="shared" si="0"/>
        <v>0.53453684013572411</v>
      </c>
      <c r="K24" s="159">
        <f>'Raw Results'!J24</f>
        <v>142554.79999999999</v>
      </c>
      <c r="L24" s="159">
        <f>'Raw Results'!L24</f>
        <v>240279.87</v>
      </c>
      <c r="M24" s="155">
        <f t="shared" si="1"/>
        <v>0.68552633794161977</v>
      </c>
      <c r="N24" s="159">
        <f>'Raw Results'!N24</f>
        <v>30776.47</v>
      </c>
      <c r="O24" s="159">
        <f>'Raw Results'!P24</f>
        <v>42751.98</v>
      </c>
      <c r="P24" s="155">
        <f t="shared" si="2"/>
        <v>0.38911252655031592</v>
      </c>
      <c r="Q24" s="159">
        <f>'Raw Results'!AA24</f>
        <v>116441.83</v>
      </c>
      <c r="R24" s="159">
        <f>'Raw Results'!AB24</f>
        <v>178684.65</v>
      </c>
      <c r="S24" s="155">
        <f t="shared" si="3"/>
        <v>0.53454003599909061</v>
      </c>
      <c r="T24" s="159">
        <f>'Raw Results'!AD24</f>
        <v>373299.22</v>
      </c>
      <c r="U24" s="159">
        <f>'Raw Results'!AF24</f>
        <v>629205.65</v>
      </c>
      <c r="V24" s="155">
        <f t="shared" si="4"/>
        <v>0.68552629175062318</v>
      </c>
      <c r="W24" s="159">
        <f>'Raw Results'!AH24</f>
        <v>80591.899999999994</v>
      </c>
      <c r="X24" s="159">
        <f>'Raw Results'!AJ24</f>
        <v>111952.01</v>
      </c>
      <c r="Y24" s="155">
        <f t="shared" si="5"/>
        <v>0.38912235596877603</v>
      </c>
      <c r="Z24" s="159">
        <f>'Raw Results'!AL24</f>
        <v>2854756.72</v>
      </c>
      <c r="AA24" s="159">
        <f>'Raw Results'!AN24</f>
        <v>4380736.3899999997</v>
      </c>
      <c r="AB24" s="155">
        <f t="shared" si="6"/>
        <v>0.53453930393059879</v>
      </c>
      <c r="AC24" s="159">
        <f>'Raw Results'!AP24</f>
        <v>9152018.3699999992</v>
      </c>
      <c r="AD24" s="159">
        <f>'Raw Results'!AR24</f>
        <v>15425937.869999999</v>
      </c>
      <c r="AE24" s="155">
        <f t="shared" si="7"/>
        <v>0.68552304490184279</v>
      </c>
      <c r="AF24" s="159">
        <f>'Raw Results'!AT24</f>
        <v>1975821.17</v>
      </c>
      <c r="AG24" s="159">
        <f>'Raw Results'!AV24</f>
        <v>2744681.27</v>
      </c>
      <c r="AH24" s="155">
        <f t="shared" si="8"/>
        <v>0.38913445795299384</v>
      </c>
      <c r="AK24" s="159">
        <f t="shared" si="9"/>
        <v>217797.99</v>
      </c>
      <c r="AL24" s="159">
        <f t="shared" si="10"/>
        <v>351267.67</v>
      </c>
      <c r="AM24" s="159">
        <f t="shared" si="11"/>
        <v>570332.94999999995</v>
      </c>
      <c r="AN24" s="159">
        <f t="shared" si="12"/>
        <v>919842.31</v>
      </c>
      <c r="AO24" s="159">
        <f t="shared" si="13"/>
        <v>13982596.26</v>
      </c>
      <c r="AP24" s="159">
        <f t="shared" si="14"/>
        <v>22551355.529999997</v>
      </c>
    </row>
    <row r="25" spans="1:42">
      <c r="A25" t="s">
        <v>407</v>
      </c>
      <c r="B25">
        <v>0</v>
      </c>
      <c r="C25" t="s">
        <v>436</v>
      </c>
      <c r="D25" t="s">
        <v>437</v>
      </c>
      <c r="F25" t="s">
        <v>416</v>
      </c>
      <c r="G25" t="s">
        <v>415</v>
      </c>
      <c r="H25" s="159">
        <f>'Raw Results'!G25</f>
        <v>3230.66</v>
      </c>
      <c r="I25" s="159">
        <f>'Raw Results'!H25</f>
        <v>3710.25</v>
      </c>
      <c r="J25" s="155">
        <f t="shared" si="0"/>
        <v>0.14844954281787628</v>
      </c>
      <c r="K25" s="159">
        <f>'Raw Results'!J25</f>
        <v>8525.5</v>
      </c>
      <c r="L25" s="159">
        <f>'Raw Results'!L25</f>
        <v>10644.4</v>
      </c>
      <c r="M25" s="155">
        <f t="shared" si="1"/>
        <v>0.24853674271303733</v>
      </c>
      <c r="N25" s="159">
        <f>'Raw Results'!N25</f>
        <v>1071.29</v>
      </c>
      <c r="O25" s="159">
        <f>'Raw Results'!P25</f>
        <v>1102.33</v>
      </c>
      <c r="P25" s="155">
        <f t="shared" si="2"/>
        <v>2.8974414024213767E-2</v>
      </c>
      <c r="Q25" s="159">
        <f>'Raw Results'!AA25</f>
        <v>11124.63</v>
      </c>
      <c r="R25" s="159">
        <f>'Raw Results'!AB25</f>
        <v>12776.11</v>
      </c>
      <c r="S25" s="155">
        <f t="shared" si="3"/>
        <v>0.14845257774865334</v>
      </c>
      <c r="T25" s="159">
        <f>'Raw Results'!AD25</f>
        <v>29357.27</v>
      </c>
      <c r="U25" s="159">
        <f>'Raw Results'!AF25</f>
        <v>36653.61</v>
      </c>
      <c r="V25" s="155">
        <f t="shared" si="4"/>
        <v>0.24853605256892075</v>
      </c>
      <c r="W25" s="159">
        <f>'Raw Results'!AH25</f>
        <v>3778.84</v>
      </c>
      <c r="X25" s="159">
        <f>'Raw Results'!AJ25</f>
        <v>3888.36</v>
      </c>
      <c r="Y25" s="155">
        <f t="shared" si="5"/>
        <v>2.8982439055371484E-2</v>
      </c>
      <c r="Z25" s="159">
        <f>'Raw Results'!AL25</f>
        <v>272737.84000000003</v>
      </c>
      <c r="AA25" s="159">
        <f>'Raw Results'!AN25</f>
        <v>313226.73</v>
      </c>
      <c r="AB25" s="155">
        <f t="shared" si="6"/>
        <v>0.14845351125461709</v>
      </c>
      <c r="AC25" s="159">
        <f>'Raw Results'!AP25</f>
        <v>719739.89</v>
      </c>
      <c r="AD25" s="159">
        <f>'Raw Results'!AR25</f>
        <v>898619.31</v>
      </c>
      <c r="AE25" s="155">
        <f t="shared" si="7"/>
        <v>0.24853342504053796</v>
      </c>
      <c r="AF25" s="159">
        <f>'Raw Results'!AT25</f>
        <v>85831.34</v>
      </c>
      <c r="AG25" s="159">
        <f>'Raw Results'!AV25</f>
        <v>90952.71</v>
      </c>
      <c r="AH25" s="155">
        <f t="shared" si="8"/>
        <v>5.9667832285969322E-2</v>
      </c>
      <c r="AK25" s="159">
        <f t="shared" si="9"/>
        <v>12827.45</v>
      </c>
      <c r="AL25" s="159">
        <f t="shared" si="10"/>
        <v>15456.98</v>
      </c>
      <c r="AM25" s="159">
        <f t="shared" si="11"/>
        <v>44260.740000000005</v>
      </c>
      <c r="AN25" s="159">
        <f t="shared" si="12"/>
        <v>53318.080000000002</v>
      </c>
      <c r="AO25" s="159">
        <f t="shared" si="13"/>
        <v>1078309.07</v>
      </c>
      <c r="AP25" s="159">
        <f t="shared" si="14"/>
        <v>1302798.75</v>
      </c>
    </row>
    <row r="26" spans="1:42">
      <c r="A26" t="s">
        <v>407</v>
      </c>
      <c r="B26">
        <v>0</v>
      </c>
      <c r="C26" t="s">
        <v>436</v>
      </c>
      <c r="D26" t="s">
        <v>437</v>
      </c>
      <c r="F26" t="s">
        <v>417</v>
      </c>
      <c r="G26" t="s">
        <v>415</v>
      </c>
      <c r="H26" s="159">
        <f>'Raw Results'!G26</f>
        <v>12216.03</v>
      </c>
      <c r="I26" s="159">
        <f>'Raw Results'!H26</f>
        <v>12818.54</v>
      </c>
      <c r="J26" s="155">
        <f t="shared" si="0"/>
        <v>4.9321260671429279E-2</v>
      </c>
      <c r="K26" s="159">
        <f>'Raw Results'!J26</f>
        <v>28918.46</v>
      </c>
      <c r="L26" s="159">
        <f>'Raw Results'!L26</f>
        <v>36106.58</v>
      </c>
      <c r="M26" s="155">
        <f t="shared" si="1"/>
        <v>0.24856510339762225</v>
      </c>
      <c r="N26" s="159">
        <f>'Raw Results'!N26</f>
        <v>3897.31</v>
      </c>
      <c r="O26" s="159">
        <f>'Raw Results'!P26</f>
        <v>4010.36</v>
      </c>
      <c r="P26" s="155">
        <f t="shared" si="2"/>
        <v>2.9007187008475124E-2</v>
      </c>
      <c r="Q26" s="159">
        <f>'Raw Results'!AA26</f>
        <v>128548.62</v>
      </c>
      <c r="R26" s="159">
        <f>'Raw Results'!AB26</f>
        <v>144579.54999999999</v>
      </c>
      <c r="S26" s="155">
        <f t="shared" si="3"/>
        <v>0.12470713415671046</v>
      </c>
      <c r="T26" s="159">
        <f>'Raw Results'!AD26</f>
        <v>307900.45</v>
      </c>
      <c r="U26" s="159">
        <f>'Raw Results'!AF26</f>
        <v>401346.25</v>
      </c>
      <c r="V26" s="155">
        <f t="shared" si="4"/>
        <v>0.30349354799578887</v>
      </c>
      <c r="W26" s="159">
        <f>'Raw Results'!AH26</f>
        <v>44515.16</v>
      </c>
      <c r="X26" s="159">
        <f>'Raw Results'!AJ26</f>
        <v>49087.47</v>
      </c>
      <c r="Y26" s="155">
        <f t="shared" si="5"/>
        <v>0.10271354747461309</v>
      </c>
      <c r="Z26" s="159">
        <f>'Raw Results'!AL26</f>
        <v>11485068.25</v>
      </c>
      <c r="AA26" s="159">
        <f>'Raw Results'!AN26</f>
        <v>13702617.109999999</v>
      </c>
      <c r="AB26" s="155">
        <f t="shared" si="6"/>
        <v>0.19308103458592851</v>
      </c>
      <c r="AC26" s="159">
        <f>'Raw Results'!AP26</f>
        <v>27938458.93</v>
      </c>
      <c r="AD26" s="159">
        <f>'Raw Results'!AR26</f>
        <v>38324727.700000003</v>
      </c>
      <c r="AE26" s="155">
        <f t="shared" si="7"/>
        <v>0.37175524949399935</v>
      </c>
      <c r="AF26" s="159">
        <f>'Raw Results'!AT26</f>
        <v>4361227.5199999996</v>
      </c>
      <c r="AG26" s="159">
        <f>'Raw Results'!AV26</f>
        <v>5122135.91</v>
      </c>
      <c r="AH26" s="155">
        <f t="shared" si="8"/>
        <v>0.17447115210352535</v>
      </c>
      <c r="AK26" s="159">
        <f t="shared" si="9"/>
        <v>45031.799999999996</v>
      </c>
      <c r="AL26" s="159">
        <f t="shared" si="10"/>
        <v>52935.48</v>
      </c>
      <c r="AM26" s="159">
        <f t="shared" si="11"/>
        <v>480964.23</v>
      </c>
      <c r="AN26" s="159">
        <f t="shared" si="12"/>
        <v>595013.27</v>
      </c>
      <c r="AO26" s="159">
        <f t="shared" si="13"/>
        <v>43784754.700000003</v>
      </c>
      <c r="AP26" s="159">
        <f t="shared" si="14"/>
        <v>57149480.719999999</v>
      </c>
    </row>
    <row r="27" spans="1:42">
      <c r="A27" t="s">
        <v>407</v>
      </c>
      <c r="B27">
        <v>0</v>
      </c>
      <c r="C27" t="s">
        <v>436</v>
      </c>
      <c r="D27" t="s">
        <v>437</v>
      </c>
      <c r="F27" t="s">
        <v>418</v>
      </c>
      <c r="G27" t="s">
        <v>415</v>
      </c>
      <c r="H27" s="159">
        <f>'Raw Results'!G27</f>
        <v>170.4</v>
      </c>
      <c r="I27" s="159">
        <f>'Raw Results'!H27</f>
        <v>178.8</v>
      </c>
      <c r="J27" s="155">
        <f t="shared" si="0"/>
        <v>4.9295774647887355E-2</v>
      </c>
      <c r="K27" s="159">
        <f>'Raw Results'!J27</f>
        <v>403.39</v>
      </c>
      <c r="L27" s="159">
        <f>'Raw Results'!L27</f>
        <v>503.64</v>
      </c>
      <c r="M27" s="155">
        <f t="shared" si="1"/>
        <v>0.24851880314336003</v>
      </c>
      <c r="N27" s="159">
        <f>'Raw Results'!N27</f>
        <v>54.36</v>
      </c>
      <c r="O27" s="159">
        <f>'Raw Results'!P27</f>
        <v>55.94</v>
      </c>
      <c r="P27" s="155">
        <f t="shared" si="2"/>
        <v>2.9065489330389962E-2</v>
      </c>
      <c r="Q27" s="159">
        <f>'Raw Results'!AA27</f>
        <v>650.24</v>
      </c>
      <c r="R27" s="159">
        <f>'Raw Results'!AB27</f>
        <v>684.46</v>
      </c>
      <c r="S27" s="155">
        <f t="shared" si="3"/>
        <v>5.262672244094492E-2</v>
      </c>
      <c r="T27" s="159">
        <f>'Raw Results'!AD27</f>
        <v>1546.46</v>
      </c>
      <c r="U27" s="159">
        <f>'Raw Results'!AF27</f>
        <v>1930.81</v>
      </c>
      <c r="V27" s="155">
        <f t="shared" si="4"/>
        <v>0.24853536463924053</v>
      </c>
      <c r="W27" s="159">
        <f>'Raw Results'!AH27</f>
        <v>185.38</v>
      </c>
      <c r="X27" s="159">
        <f>'Raw Results'!AJ27</f>
        <v>190.76</v>
      </c>
      <c r="Y27" s="155">
        <f t="shared" si="5"/>
        <v>2.9021469414176264E-2</v>
      </c>
      <c r="Z27" s="159">
        <f>'Raw Results'!AL27</f>
        <v>15543.17</v>
      </c>
      <c r="AA27" s="159">
        <f>'Raw Results'!AN27</f>
        <v>16370.29</v>
      </c>
      <c r="AB27" s="155">
        <f t="shared" si="6"/>
        <v>5.3214370041632486E-2</v>
      </c>
      <c r="AC27" s="159">
        <f>'Raw Results'!AP27</f>
        <v>36996.050000000003</v>
      </c>
      <c r="AD27" s="159">
        <f>'Raw Results'!AR27</f>
        <v>46190.8</v>
      </c>
      <c r="AE27" s="155">
        <f t="shared" si="7"/>
        <v>0.24853328936467539</v>
      </c>
      <c r="AF27" s="159">
        <f>'Raw Results'!AT27</f>
        <v>4521.79</v>
      </c>
      <c r="AG27" s="159">
        <f>'Raw Results'!AV27</f>
        <v>4715.5600000000004</v>
      </c>
      <c r="AH27" s="155">
        <f t="shared" si="8"/>
        <v>4.2852498678620732E-2</v>
      </c>
      <c r="AK27" s="159">
        <f t="shared" si="9"/>
        <v>628.15</v>
      </c>
      <c r="AL27" s="159">
        <f t="shared" si="10"/>
        <v>738.38000000000011</v>
      </c>
      <c r="AM27" s="159">
        <f t="shared" si="11"/>
        <v>2382.08</v>
      </c>
      <c r="AN27" s="159">
        <f t="shared" si="12"/>
        <v>2806.0299999999997</v>
      </c>
      <c r="AO27" s="159">
        <f t="shared" si="13"/>
        <v>57061.01</v>
      </c>
      <c r="AP27" s="159">
        <f t="shared" si="14"/>
        <v>67276.650000000009</v>
      </c>
    </row>
    <row r="28" spans="1:42">
      <c r="A28" t="s">
        <v>407</v>
      </c>
      <c r="B28">
        <v>0</v>
      </c>
      <c r="C28" t="s">
        <v>436</v>
      </c>
      <c r="D28" t="s">
        <v>437</v>
      </c>
      <c r="F28" t="s">
        <v>419</v>
      </c>
      <c r="G28" t="s">
        <v>415</v>
      </c>
      <c r="H28" s="159">
        <f>'Raw Results'!G28</f>
        <v>215.06</v>
      </c>
      <c r="I28" s="159">
        <f>'Raw Results'!H28</f>
        <v>225.66</v>
      </c>
      <c r="J28" s="155">
        <f t="shared" si="0"/>
        <v>4.9288570631451659E-2</v>
      </c>
      <c r="K28" s="159">
        <f>'Raw Results'!J28</f>
        <v>509.1</v>
      </c>
      <c r="L28" s="159">
        <f>'Raw Results'!L28</f>
        <v>635.63</v>
      </c>
      <c r="M28" s="155">
        <f t="shared" si="1"/>
        <v>0.24853663327440575</v>
      </c>
      <c r="N28" s="159">
        <f>'Raw Results'!N28</f>
        <v>68.61</v>
      </c>
      <c r="O28" s="159">
        <f>'Raw Results'!P28</f>
        <v>70.599999999999994</v>
      </c>
      <c r="P28" s="155">
        <f t="shared" si="2"/>
        <v>2.9004518291794124E-2</v>
      </c>
      <c r="Q28" s="159">
        <f>'Raw Results'!AA28</f>
        <v>4928.3</v>
      </c>
      <c r="R28" s="159">
        <f>'Raw Results'!AB28</f>
        <v>5187.7</v>
      </c>
      <c r="S28" s="155">
        <f t="shared" si="3"/>
        <v>5.2634782785138813E-2</v>
      </c>
      <c r="T28" s="159">
        <f>'Raw Results'!AD28</f>
        <v>11720.96</v>
      </c>
      <c r="U28" s="159">
        <f>'Raw Results'!AF28</f>
        <v>14634.03</v>
      </c>
      <c r="V28" s="155">
        <f t="shared" si="4"/>
        <v>0.24853510292672287</v>
      </c>
      <c r="W28" s="159">
        <f>'Raw Results'!AH28</f>
        <v>1405.06</v>
      </c>
      <c r="X28" s="159">
        <f>'Raw Results'!AJ28</f>
        <v>1445.79</v>
      </c>
      <c r="Y28" s="155">
        <f t="shared" si="5"/>
        <v>2.89880859180391E-2</v>
      </c>
      <c r="Z28" s="159">
        <f>'Raw Results'!AL28</f>
        <v>117805.18</v>
      </c>
      <c r="AA28" s="159">
        <f>'Raw Results'!AN28</f>
        <v>124074.14</v>
      </c>
      <c r="AB28" s="155">
        <f t="shared" si="6"/>
        <v>5.3214637930182752E-2</v>
      </c>
      <c r="AC28" s="159">
        <f>'Raw Results'!AP28</f>
        <v>280401.37</v>
      </c>
      <c r="AD28" s="159">
        <f>'Raw Results'!AR28</f>
        <v>350090.47</v>
      </c>
      <c r="AE28" s="155">
        <f t="shared" si="7"/>
        <v>0.24853337913434581</v>
      </c>
      <c r="AF28" s="159">
        <f>'Raw Results'!AT28</f>
        <v>34271.68</v>
      </c>
      <c r="AG28" s="159">
        <f>'Raw Results'!AV28</f>
        <v>35740.269999999997</v>
      </c>
      <c r="AH28" s="155">
        <f t="shared" si="8"/>
        <v>4.2851415512749784E-2</v>
      </c>
      <c r="AK28" s="159">
        <f t="shared" si="9"/>
        <v>792.7700000000001</v>
      </c>
      <c r="AL28" s="159">
        <f t="shared" si="10"/>
        <v>931.89</v>
      </c>
      <c r="AM28" s="159">
        <f t="shared" si="11"/>
        <v>18054.32</v>
      </c>
      <c r="AN28" s="159">
        <f t="shared" si="12"/>
        <v>21267.52</v>
      </c>
      <c r="AO28" s="159">
        <f t="shared" si="13"/>
        <v>432478.23</v>
      </c>
      <c r="AP28" s="159">
        <f t="shared" si="14"/>
        <v>509904.88</v>
      </c>
    </row>
    <row r="29" spans="1:42">
      <c r="A29" t="s">
        <v>407</v>
      </c>
      <c r="B29">
        <v>0</v>
      </c>
      <c r="C29" t="s">
        <v>436</v>
      </c>
      <c r="D29" t="s">
        <v>437</v>
      </c>
      <c r="F29" t="s">
        <v>420</v>
      </c>
      <c r="G29" t="s">
        <v>421</v>
      </c>
      <c r="H29" s="159">
        <f>'Raw Results'!G29</f>
        <v>727.51</v>
      </c>
      <c r="I29" s="159">
        <f>'Raw Results'!H29</f>
        <v>831</v>
      </c>
      <c r="J29" s="155">
        <f t="shared" si="0"/>
        <v>0.14225234017401825</v>
      </c>
      <c r="K29" s="159">
        <f>'Raw Results'!J29</f>
        <v>1690.44</v>
      </c>
      <c r="L29" s="159">
        <f>'Raw Results'!L29</f>
        <v>2211.5500000000002</v>
      </c>
      <c r="M29" s="155">
        <f t="shared" si="1"/>
        <v>0.30826885307967161</v>
      </c>
      <c r="N29" s="159">
        <f>'Raw Results'!N29</f>
        <v>254.82</v>
      </c>
      <c r="O29" s="159">
        <f>'Raw Results'!P29</f>
        <v>283.77999999999997</v>
      </c>
      <c r="P29" s="155">
        <f t="shared" si="2"/>
        <v>0.11364885016874648</v>
      </c>
      <c r="Q29" s="159">
        <f>'Raw Results'!AA29</f>
        <v>1215.45</v>
      </c>
      <c r="R29" s="159">
        <f>'Raw Results'!AB29</f>
        <v>1402.53</v>
      </c>
      <c r="S29" s="155">
        <f t="shared" si="3"/>
        <v>0.15391830186350727</v>
      </c>
      <c r="T29" s="159">
        <f>'Raw Results'!AD29</f>
        <v>2871.28</v>
      </c>
      <c r="U29" s="159">
        <f>'Raw Results'!AF29</f>
        <v>3798.16</v>
      </c>
      <c r="V29" s="155">
        <f t="shared" si="4"/>
        <v>0.3228107324956116</v>
      </c>
      <c r="W29" s="159">
        <f>'Raw Results'!AH29</f>
        <v>452.82</v>
      </c>
      <c r="X29" s="159">
        <f>'Raw Results'!AJ29</f>
        <v>508.82</v>
      </c>
      <c r="Y29" s="155">
        <f t="shared" si="5"/>
        <v>0.12366944922927432</v>
      </c>
      <c r="Z29" s="159">
        <f>'Raw Results'!AL29</f>
        <v>38570.65</v>
      </c>
      <c r="AA29" s="159">
        <f>'Raw Results'!AN29</f>
        <v>45913.82</v>
      </c>
      <c r="AB29" s="155">
        <f t="shared" si="6"/>
        <v>0.19038232438395511</v>
      </c>
      <c r="AC29" s="159">
        <f>'Raw Results'!AP29</f>
        <v>93513.83</v>
      </c>
      <c r="AD29" s="159">
        <f>'Raw Results'!AR29</f>
        <v>128044.43</v>
      </c>
      <c r="AE29" s="155">
        <f t="shared" si="7"/>
        <v>0.36925661156216133</v>
      </c>
      <c r="AF29" s="159">
        <f>'Raw Results'!AT29</f>
        <v>14547.55</v>
      </c>
      <c r="AG29" s="159">
        <f>'Raw Results'!AV29</f>
        <v>17050.5</v>
      </c>
      <c r="AH29" s="155">
        <f t="shared" si="8"/>
        <v>0.17205302611092596</v>
      </c>
      <c r="AK29" s="159">
        <f t="shared" si="9"/>
        <v>2672.77</v>
      </c>
      <c r="AL29" s="159">
        <f t="shared" si="10"/>
        <v>3326.33</v>
      </c>
      <c r="AM29" s="159">
        <f t="shared" si="11"/>
        <v>4539.55</v>
      </c>
      <c r="AN29" s="159">
        <f t="shared" si="12"/>
        <v>5709.5099999999993</v>
      </c>
      <c r="AO29" s="159">
        <f t="shared" si="13"/>
        <v>146632.03</v>
      </c>
      <c r="AP29" s="159">
        <f t="shared" si="14"/>
        <v>191008.75</v>
      </c>
    </row>
    <row r="30" spans="1:42">
      <c r="A30" t="s">
        <v>407</v>
      </c>
      <c r="B30">
        <v>0</v>
      </c>
      <c r="C30" t="s">
        <v>436</v>
      </c>
      <c r="D30" t="s">
        <v>437</v>
      </c>
      <c r="F30" t="s">
        <v>422</v>
      </c>
      <c r="G30" t="s">
        <v>421</v>
      </c>
      <c r="H30" s="159">
        <f>'Raw Results'!G30</f>
        <v>6633.12</v>
      </c>
      <c r="I30" s="159">
        <f>'Raw Results'!H30</f>
        <v>8533.39</v>
      </c>
      <c r="J30" s="155">
        <f t="shared" si="0"/>
        <v>0.28648207781556789</v>
      </c>
      <c r="K30" s="159">
        <f>'Raw Results'!J30</f>
        <v>14692.95</v>
      </c>
      <c r="L30" s="159">
        <f>'Raw Results'!L30</f>
        <v>21554.62</v>
      </c>
      <c r="M30" s="155">
        <f t="shared" si="1"/>
        <v>0.46700424353176168</v>
      </c>
      <c r="N30" s="159">
        <f>'Raw Results'!N30</f>
        <v>2107.58</v>
      </c>
      <c r="O30" s="159">
        <f>'Raw Results'!P30</f>
        <v>2635.98</v>
      </c>
      <c r="P30" s="155">
        <f t="shared" si="2"/>
        <v>0.25071408914489607</v>
      </c>
      <c r="Q30" s="159">
        <f>'Raw Results'!AA30</f>
        <v>10488.51</v>
      </c>
      <c r="R30" s="159">
        <f>'Raw Results'!AB30</f>
        <v>13688.41</v>
      </c>
      <c r="S30" s="155">
        <f t="shared" si="3"/>
        <v>0.30508623245818517</v>
      </c>
      <c r="T30" s="159">
        <f>'Raw Results'!AD30</f>
        <v>23513.39</v>
      </c>
      <c r="U30" s="159">
        <f>'Raw Results'!AF30</f>
        <v>35067.160000000003</v>
      </c>
      <c r="V30" s="155">
        <f t="shared" si="4"/>
        <v>0.49136981098854754</v>
      </c>
      <c r="W30" s="159">
        <f>'Raw Results'!AH30</f>
        <v>3614.46</v>
      </c>
      <c r="X30" s="159">
        <f>'Raw Results'!AJ30</f>
        <v>4591.08</v>
      </c>
      <c r="Y30" s="155">
        <f t="shared" si="5"/>
        <v>0.27019803788117724</v>
      </c>
      <c r="Z30" s="159">
        <f>'Raw Results'!AL30</f>
        <v>100913.04</v>
      </c>
      <c r="AA30" s="159">
        <f>'Raw Results'!AN30</f>
        <v>129586.78</v>
      </c>
      <c r="AB30" s="155">
        <f t="shared" si="6"/>
        <v>0.28414306020312147</v>
      </c>
      <c r="AC30" s="159">
        <f>'Raw Results'!AP30</f>
        <v>240791.56</v>
      </c>
      <c r="AD30" s="159">
        <f>'Raw Results'!AR30</f>
        <v>360008.08</v>
      </c>
      <c r="AE30" s="155">
        <f t="shared" si="7"/>
        <v>0.49510256920965179</v>
      </c>
      <c r="AF30" s="159">
        <f>'Raw Results'!AT30</f>
        <v>33491.35</v>
      </c>
      <c r="AG30" s="159">
        <f>'Raw Results'!AV30</f>
        <v>42208.95</v>
      </c>
      <c r="AH30" s="155">
        <f t="shared" si="8"/>
        <v>0.26029407593303938</v>
      </c>
      <c r="AK30" s="159">
        <f t="shared" si="9"/>
        <v>23433.65</v>
      </c>
      <c r="AL30" s="159">
        <f t="shared" si="10"/>
        <v>32723.989999999998</v>
      </c>
      <c r="AM30" s="159">
        <f t="shared" si="11"/>
        <v>37616.36</v>
      </c>
      <c r="AN30" s="159">
        <f t="shared" si="12"/>
        <v>53346.650000000009</v>
      </c>
      <c r="AO30" s="159">
        <f t="shared" si="13"/>
        <v>375195.94999999995</v>
      </c>
      <c r="AP30" s="159">
        <f t="shared" si="14"/>
        <v>531803.80999999994</v>
      </c>
    </row>
    <row r="31" spans="1:42">
      <c r="A31" t="s">
        <v>407</v>
      </c>
      <c r="B31">
        <v>0</v>
      </c>
      <c r="C31" t="s">
        <v>436</v>
      </c>
      <c r="D31" t="s">
        <v>437</v>
      </c>
      <c r="F31" t="s">
        <v>440</v>
      </c>
      <c r="G31" t="s">
        <v>413</v>
      </c>
      <c r="H31" s="159">
        <f>'Raw Results'!G31</f>
        <v>0</v>
      </c>
      <c r="I31" s="159">
        <f>'Raw Results'!H31</f>
        <v>0</v>
      </c>
      <c r="J31" s="155"/>
      <c r="K31" s="159">
        <f>'Raw Results'!J31</f>
        <v>0</v>
      </c>
      <c r="L31" s="159">
        <f>'Raw Results'!L31</f>
        <v>0</v>
      </c>
      <c r="M31" s="155"/>
      <c r="N31" s="159">
        <f>'Raw Results'!N31</f>
        <v>0</v>
      </c>
      <c r="O31" s="159">
        <f>'Raw Results'!P31</f>
        <v>0</v>
      </c>
      <c r="P31" s="155"/>
      <c r="Q31" s="159">
        <f>'Raw Results'!AA31</f>
        <v>0</v>
      </c>
      <c r="R31" s="159">
        <f>'Raw Results'!AB31</f>
        <v>0</v>
      </c>
      <c r="S31" s="155"/>
      <c r="T31" s="159">
        <f>'Raw Results'!AD31</f>
        <v>0</v>
      </c>
      <c r="U31" s="159">
        <f>'Raw Results'!AF31</f>
        <v>0</v>
      </c>
      <c r="V31" s="155"/>
      <c r="W31" s="159">
        <f>'Raw Results'!AH31</f>
        <v>0</v>
      </c>
      <c r="X31" s="159">
        <f>'Raw Results'!AJ31</f>
        <v>0</v>
      </c>
      <c r="Y31" s="155"/>
      <c r="Z31" s="159">
        <f>'Raw Results'!AL31</f>
        <v>0</v>
      </c>
      <c r="AA31" s="159">
        <f>'Raw Results'!AN31</f>
        <v>0</v>
      </c>
      <c r="AB31" s="155"/>
      <c r="AC31" s="159">
        <f>'Raw Results'!AP31</f>
        <v>0</v>
      </c>
      <c r="AD31" s="159">
        <f>'Raw Results'!AR31</f>
        <v>0</v>
      </c>
      <c r="AE31" s="155"/>
      <c r="AF31" s="159">
        <f>'Raw Results'!AT31</f>
        <v>0</v>
      </c>
      <c r="AG31" s="159">
        <f>'Raw Results'!AV31</f>
        <v>0</v>
      </c>
      <c r="AH31" s="155"/>
      <c r="AK31" s="159">
        <f t="shared" si="9"/>
        <v>0</v>
      </c>
      <c r="AL31" s="159">
        <f t="shared" si="10"/>
        <v>0</v>
      </c>
      <c r="AM31" s="159">
        <f t="shared" si="11"/>
        <v>0</v>
      </c>
      <c r="AN31" s="159">
        <f t="shared" si="12"/>
        <v>0</v>
      </c>
      <c r="AO31" s="159">
        <f t="shared" si="13"/>
        <v>0</v>
      </c>
      <c r="AP31" s="159">
        <f t="shared" si="14"/>
        <v>0</v>
      </c>
    </row>
    <row r="32" spans="1:42">
      <c r="A32" t="s">
        <v>407</v>
      </c>
      <c r="B32">
        <v>0</v>
      </c>
      <c r="C32" t="s">
        <v>436</v>
      </c>
      <c r="D32" t="s">
        <v>437</v>
      </c>
      <c r="F32" t="s">
        <v>441</v>
      </c>
      <c r="G32" t="s">
        <v>415</v>
      </c>
      <c r="H32" s="159">
        <f>'Raw Results'!G32</f>
        <v>882531.48</v>
      </c>
      <c r="I32" s="159">
        <f>'Raw Results'!H32</f>
        <v>913849.97</v>
      </c>
      <c r="J32" s="155">
        <f t="shared" si="0"/>
        <v>3.5487108063272703E-2</v>
      </c>
      <c r="K32" s="159">
        <f>'Raw Results'!J32</f>
        <v>2060987.69</v>
      </c>
      <c r="L32" s="159">
        <f>'Raw Results'!L32</f>
        <v>2534475.92</v>
      </c>
      <c r="M32" s="155">
        <f t="shared" si="1"/>
        <v>0.22973850464871043</v>
      </c>
      <c r="N32" s="159">
        <f>'Raw Results'!N32</f>
        <v>269181.26</v>
      </c>
      <c r="O32" s="159">
        <f>'Raw Results'!P32</f>
        <v>274864.57</v>
      </c>
      <c r="P32" s="155">
        <f t="shared" si="2"/>
        <v>2.1113319701378905E-2</v>
      </c>
      <c r="Q32" s="159">
        <f>'Raw Results'!AA32</f>
        <v>1450573.04</v>
      </c>
      <c r="R32" s="159">
        <f>'Raw Results'!AB32</f>
        <v>1508347.54</v>
      </c>
      <c r="S32" s="155">
        <f t="shared" si="3"/>
        <v>3.9828742439608558E-2</v>
      </c>
      <c r="T32" s="159">
        <f>'Raw Results'!AD32</f>
        <v>3403930.32</v>
      </c>
      <c r="U32" s="159">
        <f>'Raw Results'!AF32</f>
        <v>4195590.12</v>
      </c>
      <c r="V32" s="155">
        <f t="shared" si="4"/>
        <v>0.23257226957571808</v>
      </c>
      <c r="W32" s="159">
        <f>'Raw Results'!AH32</f>
        <v>402794.13</v>
      </c>
      <c r="X32" s="159">
        <f>'Raw Results'!AJ32</f>
        <v>410682.74</v>
      </c>
      <c r="Y32" s="155">
        <f t="shared" si="5"/>
        <v>1.9584719370165562E-2</v>
      </c>
      <c r="Z32" s="159">
        <f>'Raw Results'!AL32</f>
        <v>41685166.299999997</v>
      </c>
      <c r="AA32" s="159">
        <f>'Raw Results'!AN32</f>
        <v>42965893.240000002</v>
      </c>
      <c r="AB32" s="155">
        <f t="shared" si="6"/>
        <v>3.0723805460745043E-2</v>
      </c>
      <c r="AC32" s="159">
        <f>'Raw Results'!AP32</f>
        <v>98006472.060000002</v>
      </c>
      <c r="AD32" s="159">
        <f>'Raw Results'!AR32</f>
        <v>119703310.43000001</v>
      </c>
      <c r="AE32" s="155">
        <f t="shared" si="7"/>
        <v>0.22138168953492279</v>
      </c>
      <c r="AF32" s="159">
        <f>'Raw Results'!AT32</f>
        <v>11593886.1</v>
      </c>
      <c r="AG32" s="159">
        <f>'Raw Results'!AV32</f>
        <v>11951979.369999999</v>
      </c>
      <c r="AH32" s="155">
        <f t="shared" si="8"/>
        <v>3.0886388473317809E-2</v>
      </c>
      <c r="AK32" s="159">
        <f t="shared" si="9"/>
        <v>3212700.4299999997</v>
      </c>
      <c r="AL32" s="159">
        <f t="shared" si="10"/>
        <v>3723190.4599999995</v>
      </c>
      <c r="AM32" s="159">
        <f t="shared" si="11"/>
        <v>5257297.4899999993</v>
      </c>
      <c r="AN32" s="159">
        <f t="shared" si="12"/>
        <v>6114620.4000000004</v>
      </c>
      <c r="AO32" s="159">
        <f t="shared" si="13"/>
        <v>151285524.46000001</v>
      </c>
      <c r="AP32" s="159">
        <f t="shared" si="14"/>
        <v>174621183.04000002</v>
      </c>
    </row>
    <row r="33" spans="1:42">
      <c r="A33" t="s">
        <v>407</v>
      </c>
      <c r="B33">
        <v>0</v>
      </c>
      <c r="C33" t="s">
        <v>436</v>
      </c>
      <c r="D33" t="s">
        <v>437</v>
      </c>
      <c r="F33" t="s">
        <v>442</v>
      </c>
      <c r="G33" t="s">
        <v>415</v>
      </c>
      <c r="H33" s="159">
        <f>'Raw Results'!G33</f>
        <v>3259334.18</v>
      </c>
      <c r="I33" s="159">
        <f>'Raw Results'!H33</f>
        <v>3806125.69</v>
      </c>
      <c r="J33" s="155">
        <f t="shared" si="0"/>
        <v>0.16776172058552147</v>
      </c>
      <c r="K33" s="159">
        <f>'Raw Results'!J33</f>
        <v>7608448.3200000003</v>
      </c>
      <c r="L33" s="159">
        <f>'Raw Results'!L33</f>
        <v>10105856.9</v>
      </c>
      <c r="M33" s="155">
        <f t="shared" si="1"/>
        <v>0.32824151193025386</v>
      </c>
      <c r="N33" s="159">
        <f>'Raw Results'!N33</f>
        <v>1193053.73</v>
      </c>
      <c r="O33" s="159">
        <f>'Raw Results'!P33</f>
        <v>1352653.58</v>
      </c>
      <c r="P33" s="155">
        <f t="shared" si="2"/>
        <v>0.13377423496257801</v>
      </c>
      <c r="Q33" s="159">
        <f>'Raw Results'!AA33</f>
        <v>5674533.4299999997</v>
      </c>
      <c r="R33" s="159">
        <f>'Raw Results'!AB33</f>
        <v>6750020.8499999996</v>
      </c>
      <c r="S33" s="155">
        <f t="shared" si="3"/>
        <v>0.1895287838669055</v>
      </c>
      <c r="T33" s="159">
        <f>'Raw Results'!AD33</f>
        <v>13466620.859999999</v>
      </c>
      <c r="U33" s="159">
        <f>'Raw Results'!AF33</f>
        <v>18262971.52</v>
      </c>
      <c r="V33" s="155">
        <f t="shared" si="4"/>
        <v>0.35616586446319543</v>
      </c>
      <c r="W33" s="159">
        <f>'Raw Results'!AH33</f>
        <v>2293373.67</v>
      </c>
      <c r="X33" s="159">
        <f>'Raw Results'!AJ33</f>
        <v>2638838.5099999998</v>
      </c>
      <c r="Y33" s="155">
        <f t="shared" si="5"/>
        <v>0.15063608888472146</v>
      </c>
      <c r="Z33" s="159">
        <f>'Raw Results'!AL33</f>
        <v>164986681.62</v>
      </c>
      <c r="AA33" s="159">
        <f>'Raw Results'!AN33</f>
        <v>199451144.52000001</v>
      </c>
      <c r="AB33" s="155">
        <f t="shared" si="6"/>
        <v>0.2088923939895895</v>
      </c>
      <c r="AC33" s="159">
        <f>'Raw Results'!AP33</f>
        <v>402694029.69</v>
      </c>
      <c r="AD33" s="159">
        <f>'Raw Results'!AR33</f>
        <v>558548598.47000003</v>
      </c>
      <c r="AE33" s="155">
        <f t="shared" si="7"/>
        <v>0.38702974787080718</v>
      </c>
      <c r="AF33" s="159">
        <f>'Raw Results'!AT33</f>
        <v>66297442.710000001</v>
      </c>
      <c r="AG33" s="159">
        <f>'Raw Results'!AV33</f>
        <v>78491363.930000007</v>
      </c>
      <c r="AH33" s="155">
        <f t="shared" si="8"/>
        <v>0.18392747474950089</v>
      </c>
      <c r="AK33" s="159">
        <f t="shared" si="9"/>
        <v>12060836.23</v>
      </c>
      <c r="AL33" s="159">
        <f t="shared" si="10"/>
        <v>15264636.17</v>
      </c>
      <c r="AM33" s="159">
        <f t="shared" si="11"/>
        <v>21434527.960000001</v>
      </c>
      <c r="AN33" s="159">
        <f t="shared" si="12"/>
        <v>27651830.879999995</v>
      </c>
      <c r="AO33" s="159">
        <f t="shared" si="13"/>
        <v>633978154.01999998</v>
      </c>
      <c r="AP33" s="159">
        <f t="shared" si="14"/>
        <v>836491106.92000008</v>
      </c>
    </row>
    <row r="34" spans="1:42">
      <c r="A34" t="s">
        <v>407</v>
      </c>
      <c r="B34">
        <v>0</v>
      </c>
      <c r="C34" t="s">
        <v>436</v>
      </c>
      <c r="D34" t="s">
        <v>437</v>
      </c>
      <c r="F34" t="s">
        <v>423</v>
      </c>
      <c r="G34" t="s">
        <v>424</v>
      </c>
      <c r="H34" s="159">
        <f>'Raw Results'!G34</f>
        <v>79.95</v>
      </c>
      <c r="I34" s="159">
        <f>'Raw Results'!H34</f>
        <v>72.09</v>
      </c>
      <c r="J34" s="155">
        <f t="shared" si="0"/>
        <v>-9.8311444652908059E-2</v>
      </c>
      <c r="K34" s="159">
        <f>'Raw Results'!J34</f>
        <v>70.75</v>
      </c>
      <c r="L34" s="159">
        <f>'Raw Results'!L34</f>
        <v>69.69</v>
      </c>
      <c r="M34" s="155">
        <f t="shared" si="1"/>
        <v>-1.4982332155477064E-2</v>
      </c>
      <c r="N34" s="159">
        <f>'Raw Results'!N34</f>
        <v>73.540000000000006</v>
      </c>
      <c r="O34" s="159">
        <f>'Raw Results'!P34</f>
        <v>72.98</v>
      </c>
      <c r="P34" s="155">
        <f t="shared" si="2"/>
        <v>-7.6149034539026682E-3</v>
      </c>
      <c r="Q34" s="159">
        <f>'Raw Results'!AA34</f>
        <v>69.11</v>
      </c>
      <c r="R34" s="159">
        <f>'Raw Results'!AB34</f>
        <v>62.72</v>
      </c>
      <c r="S34" s="155">
        <f t="shared" si="3"/>
        <v>-9.2461293589929106E-2</v>
      </c>
      <c r="T34" s="159">
        <f>'Raw Results'!AD34</f>
        <v>61.7</v>
      </c>
      <c r="U34" s="159">
        <f>'Raw Results'!AF34</f>
        <v>60.91</v>
      </c>
      <c r="V34" s="155">
        <f t="shared" si="4"/>
        <v>-1.2803889789303181E-2</v>
      </c>
      <c r="W34" s="159">
        <f>'Raw Results'!AH34</f>
        <v>56.37</v>
      </c>
      <c r="X34" s="159">
        <f>'Raw Results'!AJ34</f>
        <v>55.85</v>
      </c>
      <c r="Y34" s="155">
        <f t="shared" si="5"/>
        <v>-9.2247649458931363E-3</v>
      </c>
      <c r="Z34" s="159">
        <f>'Raw Results'!AL34</f>
        <v>81.010000000000005</v>
      </c>
      <c r="AA34" s="159">
        <f>'Raw Results'!AN34</f>
        <v>72.88</v>
      </c>
      <c r="AB34" s="155">
        <f t="shared" si="6"/>
        <v>-0.10035798049623515</v>
      </c>
      <c r="AC34" s="159">
        <f>'Raw Results'!AP34</f>
        <v>72.459999999999994</v>
      </c>
      <c r="AD34" s="159">
        <f>'Raw Results'!AR34</f>
        <v>70.88</v>
      </c>
      <c r="AE34" s="155">
        <f t="shared" si="7"/>
        <v>-2.1805133866961059E-2</v>
      </c>
      <c r="AF34" s="159">
        <f>'Raw Results'!AT34</f>
        <v>71.48</v>
      </c>
      <c r="AG34" s="159">
        <f>'Raw Results'!AV34</f>
        <v>69.53</v>
      </c>
      <c r="AH34" s="155">
        <f t="shared" si="8"/>
        <v>-2.7280358142137699E-2</v>
      </c>
      <c r="AK34" s="159">
        <f>AK32/(AK52*0.21)</f>
        <v>55.318394007867994</v>
      </c>
      <c r="AL34" s="159">
        <f>AL32/(AL52*0.21)</f>
        <v>53.202246446034529</v>
      </c>
      <c r="AM34" s="159">
        <f t="shared" ref="AM34:AP34" si="15">AM32/(AM52*0.21)</f>
        <v>46.573378867702786</v>
      </c>
      <c r="AN34" s="159">
        <f t="shared" si="15"/>
        <v>44.966464532103529</v>
      </c>
      <c r="AO34" s="159">
        <f t="shared" si="15"/>
        <v>55.010795834983824</v>
      </c>
      <c r="AP34" s="159">
        <f t="shared" si="15"/>
        <v>52.554923154669858</v>
      </c>
    </row>
    <row r="35" spans="1:42">
      <c r="A35" t="s">
        <v>407</v>
      </c>
      <c r="B35">
        <v>1</v>
      </c>
      <c r="C35" t="s">
        <v>436</v>
      </c>
      <c r="D35" t="s">
        <v>437</v>
      </c>
      <c r="F35" t="s">
        <v>443</v>
      </c>
      <c r="G35" t="s">
        <v>426</v>
      </c>
      <c r="H35" s="159">
        <f>'Raw Results'!G35</f>
        <v>0</v>
      </c>
      <c r="I35" s="159">
        <f>'Raw Results'!H35</f>
        <v>0</v>
      </c>
      <c r="J35" s="155"/>
      <c r="K35" s="159">
        <f>'Raw Results'!J35</f>
        <v>0</v>
      </c>
      <c r="L35" s="159">
        <f>'Raw Results'!L35</f>
        <v>0</v>
      </c>
      <c r="M35" s="155"/>
      <c r="N35" s="159">
        <f>'Raw Results'!N35</f>
        <v>0</v>
      </c>
      <c r="O35" s="159">
        <f>'Raw Results'!P35</f>
        <v>0</v>
      </c>
      <c r="P35" s="155"/>
      <c r="Q35" s="159">
        <f>'Raw Results'!AA35</f>
        <v>0</v>
      </c>
      <c r="R35" s="159">
        <f>'Raw Results'!AB35</f>
        <v>0</v>
      </c>
      <c r="S35" s="155"/>
      <c r="T35" s="159">
        <f>'Raw Results'!AD35</f>
        <v>0</v>
      </c>
      <c r="U35" s="159">
        <f>'Raw Results'!AF35</f>
        <v>0</v>
      </c>
      <c r="V35" s="155"/>
      <c r="W35" s="159">
        <f>'Raw Results'!AH35</f>
        <v>0</v>
      </c>
      <c r="X35" s="159">
        <f>'Raw Results'!AJ35</f>
        <v>0</v>
      </c>
      <c r="Y35" s="155"/>
      <c r="Z35" s="159">
        <f>'Raw Results'!AL35</f>
        <v>0</v>
      </c>
      <c r="AA35" s="159">
        <f>'Raw Results'!AN35</f>
        <v>0</v>
      </c>
      <c r="AB35" s="155"/>
      <c r="AC35" s="159">
        <f>'Raw Results'!AP35</f>
        <v>0</v>
      </c>
      <c r="AD35" s="159">
        <f>'Raw Results'!AR35</f>
        <v>0</v>
      </c>
      <c r="AE35" s="155"/>
      <c r="AF35" s="159">
        <f>'Raw Results'!AT35</f>
        <v>0</v>
      </c>
      <c r="AG35" s="159">
        <f>'Raw Results'!AV35</f>
        <v>0</v>
      </c>
      <c r="AH35" s="155"/>
      <c r="AK35" s="159">
        <f t="shared" si="9"/>
        <v>0</v>
      </c>
      <c r="AL35" s="159">
        <f t="shared" si="10"/>
        <v>0</v>
      </c>
      <c r="AM35" s="159">
        <f t="shared" si="11"/>
        <v>0</v>
      </c>
      <c r="AN35" s="159">
        <f t="shared" si="12"/>
        <v>0</v>
      </c>
      <c r="AO35" s="159">
        <f t="shared" si="13"/>
        <v>0</v>
      </c>
      <c r="AP35" s="159">
        <f t="shared" si="14"/>
        <v>0</v>
      </c>
    </row>
    <row r="36" spans="1:42">
      <c r="A36" t="s">
        <v>407</v>
      </c>
      <c r="B36">
        <v>1</v>
      </c>
      <c r="C36" t="s">
        <v>436</v>
      </c>
      <c r="D36" t="s">
        <v>437</v>
      </c>
      <c r="F36" t="s">
        <v>444</v>
      </c>
      <c r="G36" t="s">
        <v>426</v>
      </c>
      <c r="H36" s="159">
        <f>'Raw Results'!G36</f>
        <v>0</v>
      </c>
      <c r="I36" s="159">
        <f>'Raw Results'!H36</f>
        <v>0</v>
      </c>
      <c r="J36" s="155"/>
      <c r="K36" s="159">
        <f>'Raw Results'!J36</f>
        <v>0</v>
      </c>
      <c r="L36" s="159">
        <f>'Raw Results'!L36</f>
        <v>0</v>
      </c>
      <c r="M36" s="155"/>
      <c r="N36" s="159">
        <f>'Raw Results'!N36</f>
        <v>0</v>
      </c>
      <c r="O36" s="159">
        <f>'Raw Results'!P36</f>
        <v>0</v>
      </c>
      <c r="P36" s="155"/>
      <c r="Q36" s="159">
        <f>'Raw Results'!AA36</f>
        <v>0</v>
      </c>
      <c r="R36" s="159">
        <f>'Raw Results'!AB36</f>
        <v>0</v>
      </c>
      <c r="S36" s="155"/>
      <c r="T36" s="159">
        <f>'Raw Results'!AD36</f>
        <v>0</v>
      </c>
      <c r="U36" s="159">
        <f>'Raw Results'!AF36</f>
        <v>0</v>
      </c>
      <c r="V36" s="155"/>
      <c r="W36" s="159">
        <f>'Raw Results'!AH36</f>
        <v>0</v>
      </c>
      <c r="X36" s="159">
        <f>'Raw Results'!AJ36</f>
        <v>0</v>
      </c>
      <c r="Y36" s="155"/>
      <c r="Z36" s="159">
        <f>'Raw Results'!AL36</f>
        <v>0</v>
      </c>
      <c r="AA36" s="159">
        <f>'Raw Results'!AN36</f>
        <v>0</v>
      </c>
      <c r="AB36" s="155"/>
      <c r="AC36" s="159">
        <f>'Raw Results'!AP36</f>
        <v>0</v>
      </c>
      <c r="AD36" s="159">
        <f>'Raw Results'!AR36</f>
        <v>0</v>
      </c>
      <c r="AE36" s="155"/>
      <c r="AF36" s="159">
        <f>'Raw Results'!AT36</f>
        <v>0</v>
      </c>
      <c r="AG36" s="159">
        <f>'Raw Results'!AV36</f>
        <v>0</v>
      </c>
      <c r="AH36" s="155"/>
      <c r="AK36" s="159">
        <f t="shared" si="9"/>
        <v>0</v>
      </c>
      <c r="AL36" s="159">
        <f t="shared" si="10"/>
        <v>0</v>
      </c>
      <c r="AM36" s="159">
        <f t="shared" si="11"/>
        <v>0</v>
      </c>
      <c r="AN36" s="159">
        <f t="shared" si="12"/>
        <v>0</v>
      </c>
      <c r="AO36" s="159">
        <f t="shared" si="13"/>
        <v>0</v>
      </c>
      <c r="AP36" s="159">
        <f t="shared" si="14"/>
        <v>0</v>
      </c>
    </row>
    <row r="37" spans="1:42">
      <c r="A37" t="s">
        <v>407</v>
      </c>
      <c r="B37">
        <v>1</v>
      </c>
      <c r="C37" t="s">
        <v>436</v>
      </c>
      <c r="D37" t="s">
        <v>437</v>
      </c>
      <c r="F37" t="s">
        <v>445</v>
      </c>
      <c r="G37" t="s">
        <v>426</v>
      </c>
      <c r="H37" s="159">
        <f>'Raw Results'!G37</f>
        <v>21780.25</v>
      </c>
      <c r="I37" s="159">
        <f>'Raw Results'!H37</f>
        <v>25125.02</v>
      </c>
      <c r="J37" s="155">
        <f t="shared" si="0"/>
        <v>0.15356894434177754</v>
      </c>
      <c r="K37" s="159">
        <f>'Raw Results'!J37</f>
        <v>61247.6</v>
      </c>
      <c r="L37" s="159">
        <f>'Raw Results'!L37</f>
        <v>76469.83</v>
      </c>
      <c r="M37" s="155">
        <f t="shared" si="1"/>
        <v>0.24853594263285425</v>
      </c>
      <c r="N37" s="159">
        <f>'Raw Results'!N37</f>
        <v>7946.22</v>
      </c>
      <c r="O37" s="159">
        <f>'Raw Results'!P37</f>
        <v>8176.5</v>
      </c>
      <c r="P37" s="155">
        <f t="shared" si="2"/>
        <v>2.8979816818562754E-2</v>
      </c>
      <c r="Q37" s="159">
        <f>'Raw Results'!AA37</f>
        <v>42247.69</v>
      </c>
      <c r="R37" s="159">
        <f>'Raw Results'!AB37</f>
        <v>48735.73</v>
      </c>
      <c r="S37" s="155">
        <f t="shared" si="3"/>
        <v>0.15357147337523069</v>
      </c>
      <c r="T37" s="159">
        <f>'Raw Results'!AD37</f>
        <v>118803.87</v>
      </c>
      <c r="U37" s="159">
        <f>'Raw Results'!AF37</f>
        <v>148330.88</v>
      </c>
      <c r="V37" s="155">
        <f t="shared" si="4"/>
        <v>0.24853575897822192</v>
      </c>
      <c r="W37" s="159">
        <f>'Raw Results'!AH37</f>
        <v>15527.63</v>
      </c>
      <c r="X37" s="159">
        <f>'Raw Results'!AJ37</f>
        <v>15977.72</v>
      </c>
      <c r="Y37" s="155">
        <f t="shared" si="5"/>
        <v>2.8986393931334026E-2</v>
      </c>
      <c r="Z37" s="159">
        <f>'Raw Results'!AL37</f>
        <v>1035769.24</v>
      </c>
      <c r="AA37" s="159">
        <f>'Raw Results'!AN37</f>
        <v>1194833.48</v>
      </c>
      <c r="AB37" s="155">
        <f t="shared" si="6"/>
        <v>0.15357111782929564</v>
      </c>
      <c r="AC37" s="159">
        <f>'Raw Results'!AP37</f>
        <v>2912663.85</v>
      </c>
      <c r="AD37" s="159">
        <f>'Raw Results'!AR37</f>
        <v>3636558.14</v>
      </c>
      <c r="AE37" s="155">
        <f t="shared" si="7"/>
        <v>0.2485334138369589</v>
      </c>
      <c r="AF37" s="159">
        <f>'Raw Results'!AT37</f>
        <v>361174.85</v>
      </c>
      <c r="AG37" s="159">
        <f>'Raw Results'!AV37</f>
        <v>380082.71</v>
      </c>
      <c r="AH37" s="155">
        <f t="shared" si="8"/>
        <v>5.2350987340342346E-2</v>
      </c>
      <c r="AK37" s="159">
        <f t="shared" si="9"/>
        <v>90974.07</v>
      </c>
      <c r="AL37" s="159">
        <f t="shared" si="10"/>
        <v>109771.35</v>
      </c>
      <c r="AM37" s="159">
        <f t="shared" si="11"/>
        <v>176579.19</v>
      </c>
      <c r="AN37" s="159">
        <f t="shared" si="12"/>
        <v>213044.33000000002</v>
      </c>
      <c r="AO37" s="159">
        <f t="shared" si="13"/>
        <v>4309607.9399999995</v>
      </c>
      <c r="AP37" s="159">
        <f t="shared" si="14"/>
        <v>5211474.33</v>
      </c>
    </row>
    <row r="38" spans="1:42">
      <c r="A38" t="s">
        <v>407</v>
      </c>
      <c r="B38">
        <v>1</v>
      </c>
      <c r="C38" t="s">
        <v>436</v>
      </c>
      <c r="D38" t="s">
        <v>437</v>
      </c>
      <c r="F38" t="s">
        <v>446</v>
      </c>
      <c r="G38" t="s">
        <v>426</v>
      </c>
      <c r="H38" s="159">
        <f>'Raw Results'!G38</f>
        <v>36526.44</v>
      </c>
      <c r="I38" s="159">
        <f>'Raw Results'!H38</f>
        <v>41729.31</v>
      </c>
      <c r="J38" s="155">
        <f t="shared" si="0"/>
        <v>0.14244120149677864</v>
      </c>
      <c r="K38" s="159">
        <f>'Raw Results'!J38</f>
        <v>91754.45</v>
      </c>
      <c r="L38" s="159">
        <f>'Raw Results'!L38</f>
        <v>114558.41</v>
      </c>
      <c r="M38" s="155">
        <f t="shared" si="1"/>
        <v>0.24853246899741654</v>
      </c>
      <c r="N38" s="159">
        <f>'Raw Results'!N38</f>
        <v>11908.38</v>
      </c>
      <c r="O38" s="159">
        <f>'Raw Results'!P38</f>
        <v>12253.37</v>
      </c>
      <c r="P38" s="155">
        <f t="shared" si="2"/>
        <v>2.8970355329608361E-2</v>
      </c>
      <c r="Q38" s="159">
        <f>'Raw Results'!AA38</f>
        <v>70851.22</v>
      </c>
      <c r="R38" s="159">
        <f>'Raw Results'!AB38</f>
        <v>80943.47</v>
      </c>
      <c r="S38" s="155">
        <f t="shared" si="3"/>
        <v>0.14244285419503008</v>
      </c>
      <c r="T38" s="159">
        <f>'Raw Results'!AD38</f>
        <v>177978.83</v>
      </c>
      <c r="U38" s="159">
        <f>'Raw Results'!AF38</f>
        <v>222212.71</v>
      </c>
      <c r="V38" s="155">
        <f t="shared" si="4"/>
        <v>0.2485345026709076</v>
      </c>
      <c r="W38" s="159">
        <f>'Raw Results'!AH38</f>
        <v>23293.48</v>
      </c>
      <c r="X38" s="159">
        <f>'Raw Results'!AJ38</f>
        <v>23968.880000000001</v>
      </c>
      <c r="Y38" s="155">
        <f t="shared" si="5"/>
        <v>2.8995238152478783E-2</v>
      </c>
      <c r="Z38" s="159">
        <f>'Raw Results'!AL38</f>
        <v>1737032.91</v>
      </c>
      <c r="AA38" s="159">
        <f>'Raw Results'!AN38</f>
        <v>1984453.36</v>
      </c>
      <c r="AB38" s="155">
        <f t="shared" si="6"/>
        <v>0.14243855057415131</v>
      </c>
      <c r="AC38" s="159">
        <f>'Raw Results'!AP38</f>
        <v>4363427.5599999996</v>
      </c>
      <c r="AD38" s="159">
        <f>'Raw Results'!AR38</f>
        <v>5447884.9699999997</v>
      </c>
      <c r="AE38" s="155">
        <f t="shared" si="7"/>
        <v>0.24853338232112193</v>
      </c>
      <c r="AF38" s="159">
        <f>'Raw Results'!AT38</f>
        <v>554884.76</v>
      </c>
      <c r="AG38" s="159">
        <f>'Raw Results'!AV38</f>
        <v>579137.21</v>
      </c>
      <c r="AH38" s="155">
        <f t="shared" si="8"/>
        <v>4.3707183451929643E-2</v>
      </c>
      <c r="AK38" s="159">
        <f t="shared" si="9"/>
        <v>140189.26999999999</v>
      </c>
      <c r="AL38" s="159">
        <f t="shared" si="10"/>
        <v>168541.09</v>
      </c>
      <c r="AM38" s="159">
        <f t="shared" si="11"/>
        <v>272123.52999999997</v>
      </c>
      <c r="AN38" s="159">
        <f t="shared" si="12"/>
        <v>327125.06</v>
      </c>
      <c r="AO38" s="159">
        <f t="shared" si="13"/>
        <v>6655345.2299999995</v>
      </c>
      <c r="AP38" s="159">
        <f t="shared" si="14"/>
        <v>8011475.54</v>
      </c>
    </row>
    <row r="39" spans="1:42">
      <c r="A39" t="s">
        <v>407</v>
      </c>
      <c r="B39">
        <v>0</v>
      </c>
      <c r="C39" t="s">
        <v>436</v>
      </c>
      <c r="D39" t="s">
        <v>437</v>
      </c>
      <c r="F39" t="s">
        <v>447</v>
      </c>
      <c r="G39" t="s">
        <v>424</v>
      </c>
      <c r="H39" s="159">
        <f>'Raw Results'!G39</f>
        <v>41.18</v>
      </c>
      <c r="I39" s="159">
        <f>'Raw Results'!H39</f>
        <v>31.34</v>
      </c>
      <c r="J39" s="155">
        <f t="shared" si="0"/>
        <v>-0.23895094706168044</v>
      </c>
      <c r="K39" s="159">
        <f>'Raw Results'!J39</f>
        <v>29.98</v>
      </c>
      <c r="L39" s="159">
        <f>'Raw Results'!L39</f>
        <v>23.63</v>
      </c>
      <c r="M39" s="155">
        <f t="shared" si="1"/>
        <v>-0.21180787191460979</v>
      </c>
      <c r="N39" s="159">
        <f>'Raw Results'!N39</f>
        <v>21.78</v>
      </c>
      <c r="O39" s="159">
        <f>'Raw Results'!P39</f>
        <v>17.78</v>
      </c>
      <c r="P39" s="155">
        <f t="shared" si="2"/>
        <v>-0.18365472910927455</v>
      </c>
      <c r="Q39" s="159">
        <f>'Raw Results'!AA39</f>
        <v>36.96</v>
      </c>
      <c r="R39" s="159">
        <f>'Raw Results'!AB39</f>
        <v>28.65</v>
      </c>
      <c r="S39" s="155">
        <f t="shared" si="3"/>
        <v>-0.22483766233766239</v>
      </c>
      <c r="T39" s="159">
        <f>'Raw Results'!AD39</f>
        <v>27.36</v>
      </c>
      <c r="U39" s="159">
        <f>'Raw Results'!AF39</f>
        <v>22.01</v>
      </c>
      <c r="V39" s="155">
        <f t="shared" si="4"/>
        <v>-0.19554093567251454</v>
      </c>
      <c r="W39" s="159">
        <f>'Raw Results'!AH39</f>
        <v>21.58</v>
      </c>
      <c r="X39" s="159">
        <f>'Raw Results'!AJ39</f>
        <v>17.88</v>
      </c>
      <c r="Y39" s="155">
        <f t="shared" si="5"/>
        <v>-0.17145505097312325</v>
      </c>
      <c r="Z39" s="159">
        <f>'Raw Results'!AL39</f>
        <v>43.83</v>
      </c>
      <c r="AA39" s="159">
        <f>'Raw Results'!AN39</f>
        <v>34.53</v>
      </c>
      <c r="AB39" s="155">
        <f t="shared" si="6"/>
        <v>-0.21218343600273779</v>
      </c>
      <c r="AC39" s="159">
        <f>'Raw Results'!AP39</f>
        <v>33.369999999999997</v>
      </c>
      <c r="AD39" s="159">
        <f>'Raw Results'!AR39</f>
        <v>27.46</v>
      </c>
      <c r="AE39" s="155">
        <f t="shared" si="7"/>
        <v>-0.1771051842972729</v>
      </c>
      <c r="AF39" s="159">
        <f>'Raw Results'!AT39</f>
        <v>25.45</v>
      </c>
      <c r="AG39" s="159">
        <f>'Raw Results'!AV39</f>
        <v>21.69</v>
      </c>
      <c r="AH39" s="155">
        <f t="shared" si="8"/>
        <v>-0.14774066797642429</v>
      </c>
      <c r="AK39" s="159">
        <f t="shared" si="9"/>
        <v>92.94</v>
      </c>
      <c r="AL39" s="159">
        <f t="shared" si="10"/>
        <v>72.75</v>
      </c>
      <c r="AM39" s="159">
        <f t="shared" si="11"/>
        <v>85.899999999999991</v>
      </c>
      <c r="AN39" s="159">
        <f t="shared" si="12"/>
        <v>68.539999999999992</v>
      </c>
      <c r="AO39" s="159">
        <f t="shared" si="13"/>
        <v>102.64999999999999</v>
      </c>
      <c r="AP39" s="159">
        <f t="shared" si="14"/>
        <v>83.68</v>
      </c>
    </row>
    <row r="40" spans="1:42">
      <c r="A40" t="s">
        <v>407</v>
      </c>
      <c r="B40">
        <v>1</v>
      </c>
      <c r="C40" t="s">
        <v>436</v>
      </c>
      <c r="D40" t="s">
        <v>437</v>
      </c>
      <c r="F40" t="s">
        <v>448</v>
      </c>
      <c r="G40" t="s">
        <v>426</v>
      </c>
      <c r="H40" s="159">
        <f>'Raw Results'!G40</f>
        <v>2223336.21</v>
      </c>
      <c r="I40" s="159">
        <f>'Raw Results'!H40</f>
        <v>3411790.93</v>
      </c>
      <c r="J40" s="155">
        <f t="shared" si="0"/>
        <v>0.53453666371043373</v>
      </c>
      <c r="K40" s="159">
        <f>'Raw Results'!J40</f>
        <v>7127740.1600000001</v>
      </c>
      <c r="L40" s="159">
        <f>'Raw Results'!L40</f>
        <v>12013993.6</v>
      </c>
      <c r="M40" s="155">
        <f t="shared" si="1"/>
        <v>0.68552631413544673</v>
      </c>
      <c r="N40" s="159">
        <f>'Raw Results'!N40</f>
        <v>1538823.41</v>
      </c>
      <c r="O40" s="159">
        <f>'Raw Results'!P40</f>
        <v>2137599.0099999998</v>
      </c>
      <c r="P40" s="155">
        <f t="shared" si="2"/>
        <v>0.38911261429276012</v>
      </c>
      <c r="Q40" s="159">
        <f>'Raw Results'!AA40</f>
        <v>4312660.3499999996</v>
      </c>
      <c r="R40" s="159">
        <f>'Raw Results'!AB40</f>
        <v>6617950.04</v>
      </c>
      <c r="S40" s="155">
        <f t="shared" si="3"/>
        <v>0.53454005252233705</v>
      </c>
      <c r="T40" s="159">
        <f>'Raw Results'!AD40</f>
        <v>13825897.199999999</v>
      </c>
      <c r="U40" s="159">
        <f>'Raw Results'!AF40</f>
        <v>23303912.91</v>
      </c>
      <c r="V40" s="155">
        <f t="shared" si="4"/>
        <v>0.68552626805296957</v>
      </c>
      <c r="W40" s="159">
        <f>'Raw Results'!AH40</f>
        <v>2984885.08</v>
      </c>
      <c r="X40" s="159">
        <f>'Raw Results'!AJ40</f>
        <v>4146370.71</v>
      </c>
      <c r="Y40" s="155">
        <f t="shared" si="5"/>
        <v>0.38912239462163811</v>
      </c>
      <c r="Z40" s="159">
        <f>'Raw Results'!AL40</f>
        <v>105731730.33</v>
      </c>
      <c r="AA40" s="159">
        <f>'Raw Results'!AN40</f>
        <v>162249495.81999999</v>
      </c>
      <c r="AB40" s="155">
        <f t="shared" si="6"/>
        <v>0.53453930351467838</v>
      </c>
      <c r="AC40" s="159">
        <f>'Raw Results'!AP40</f>
        <v>338963643.20999998</v>
      </c>
      <c r="AD40" s="159">
        <f>'Raw Results'!AR40</f>
        <v>571331032.23000002</v>
      </c>
      <c r="AE40" s="155">
        <f t="shared" si="7"/>
        <v>0.68552304553807331</v>
      </c>
      <c r="AF40" s="159">
        <f>'Raw Results'!AT40</f>
        <v>73178561.780000001</v>
      </c>
      <c r="AG40" s="159">
        <f>'Raw Results'!AV40</f>
        <v>101654861.84999999</v>
      </c>
      <c r="AH40" s="155">
        <f t="shared" si="8"/>
        <v>0.38913445929163754</v>
      </c>
      <c r="AK40" s="159">
        <f t="shared" si="9"/>
        <v>10889899.780000001</v>
      </c>
      <c r="AL40" s="159">
        <f t="shared" si="10"/>
        <v>17563383.539999999</v>
      </c>
      <c r="AM40" s="159">
        <f t="shared" si="11"/>
        <v>21123442.629999995</v>
      </c>
      <c r="AN40" s="159">
        <f t="shared" si="12"/>
        <v>34068233.659999996</v>
      </c>
      <c r="AO40" s="159">
        <f t="shared" si="13"/>
        <v>517873935.31999993</v>
      </c>
      <c r="AP40" s="159">
        <f t="shared" si="14"/>
        <v>835235389.89999998</v>
      </c>
    </row>
    <row r="41" spans="1:42">
      <c r="A41" t="s">
        <v>407</v>
      </c>
      <c r="B41">
        <v>0</v>
      </c>
      <c r="C41" t="s">
        <v>436</v>
      </c>
      <c r="D41" t="s">
        <v>437</v>
      </c>
      <c r="F41" t="s">
        <v>427</v>
      </c>
      <c r="G41" t="s">
        <v>421</v>
      </c>
      <c r="H41" s="159">
        <f>'Raw Results'!G41</f>
        <v>5.2</v>
      </c>
      <c r="I41" s="159">
        <f>'Raw Results'!H41</f>
        <v>4.3499999999999996</v>
      </c>
      <c r="J41" s="155">
        <f t="shared" si="0"/>
        <v>-0.16346153846153855</v>
      </c>
      <c r="K41" s="159">
        <f>'Raw Results'!J41</f>
        <v>12.07</v>
      </c>
      <c r="L41" s="159">
        <f>'Raw Results'!L41</f>
        <v>11.55</v>
      </c>
      <c r="M41" s="155">
        <f t="shared" si="1"/>
        <v>-4.3082021541010734E-2</v>
      </c>
      <c r="N41" s="159">
        <f>'Raw Results'!N41</f>
        <v>1.84</v>
      </c>
      <c r="O41" s="159">
        <f>'Raw Results'!P41</f>
        <v>1.49</v>
      </c>
      <c r="P41" s="155">
        <f t="shared" si="2"/>
        <v>-0.19021739130434787</v>
      </c>
      <c r="Q41" s="159">
        <f>'Raw Results'!AA41</f>
        <v>8.81</v>
      </c>
      <c r="R41" s="159">
        <f>'Raw Results'!AB41</f>
        <v>7.49</v>
      </c>
      <c r="S41" s="155">
        <f t="shared" si="3"/>
        <v>-0.14982973893303067</v>
      </c>
      <c r="T41" s="159">
        <f>'Raw Results'!AD41</f>
        <v>20.8</v>
      </c>
      <c r="U41" s="159">
        <f>'Raw Results'!AF41</f>
        <v>20.25</v>
      </c>
      <c r="V41" s="155">
        <f t="shared" si="4"/>
        <v>-2.6442307692307727E-2</v>
      </c>
      <c r="W41" s="159">
        <f>'Raw Results'!AH41</f>
        <v>3.34</v>
      </c>
      <c r="X41" s="159">
        <f>'Raw Results'!AJ41</f>
        <v>2.73</v>
      </c>
      <c r="Y41" s="155">
        <f t="shared" si="5"/>
        <v>-0.18263473053892212</v>
      </c>
      <c r="Z41" s="159">
        <f>'Raw Results'!AL41</f>
        <v>281.23</v>
      </c>
      <c r="AA41" s="159">
        <f>'Raw Results'!AN41</f>
        <v>315.27999999999997</v>
      </c>
      <c r="AB41" s="155">
        <f t="shared" si="6"/>
        <v>0.12107527646410395</v>
      </c>
      <c r="AC41" s="159">
        <f>'Raw Results'!AP41</f>
        <v>682.54</v>
      </c>
      <c r="AD41" s="159">
        <f>'Raw Results'!AR41</f>
        <v>878.79</v>
      </c>
      <c r="AE41" s="155">
        <f t="shared" si="7"/>
        <v>0.28752893603305302</v>
      </c>
      <c r="AF41" s="159">
        <f>'Raw Results'!AT41</f>
        <v>107.44</v>
      </c>
      <c r="AG41" s="159">
        <f>'Raw Results'!AV41</f>
        <v>118.23</v>
      </c>
      <c r="AH41" s="155">
        <f t="shared" si="8"/>
        <v>0.10042814594192113</v>
      </c>
      <c r="AK41" s="159">
        <f t="shared" si="9"/>
        <v>19.11</v>
      </c>
      <c r="AL41" s="159">
        <f t="shared" si="10"/>
        <v>17.39</v>
      </c>
      <c r="AM41" s="159">
        <f t="shared" si="11"/>
        <v>32.950000000000003</v>
      </c>
      <c r="AN41" s="159">
        <f t="shared" si="12"/>
        <v>30.470000000000002</v>
      </c>
      <c r="AO41" s="159">
        <f t="shared" si="13"/>
        <v>1071.21</v>
      </c>
      <c r="AP41" s="159">
        <f t="shared" si="14"/>
        <v>1312.3</v>
      </c>
    </row>
    <row r="42" spans="1:42">
      <c r="A42" t="s">
        <v>407</v>
      </c>
      <c r="B42">
        <v>0</v>
      </c>
      <c r="C42" t="s">
        <v>436</v>
      </c>
      <c r="D42" t="s">
        <v>437</v>
      </c>
      <c r="F42" t="s">
        <v>428</v>
      </c>
      <c r="G42" t="s">
        <v>421</v>
      </c>
      <c r="H42" s="159">
        <f>'Raw Results'!G42</f>
        <v>0</v>
      </c>
      <c r="I42" s="159">
        <f>'Raw Results'!H42</f>
        <v>0</v>
      </c>
      <c r="J42" s="155"/>
      <c r="K42" s="159">
        <f>'Raw Results'!J42</f>
        <v>0</v>
      </c>
      <c r="L42" s="159">
        <f>'Raw Results'!L42</f>
        <v>0</v>
      </c>
      <c r="M42" s="155"/>
      <c r="N42" s="159">
        <f>'Raw Results'!N42</f>
        <v>0</v>
      </c>
      <c r="O42" s="159">
        <f>'Raw Results'!P42</f>
        <v>0</v>
      </c>
      <c r="P42" s="155"/>
      <c r="Q42" s="159">
        <f>'Raw Results'!AA42</f>
        <v>737.71</v>
      </c>
      <c r="R42" s="159">
        <f>'Raw Results'!AB42</f>
        <v>938.37</v>
      </c>
      <c r="S42" s="155">
        <f t="shared" si="3"/>
        <v>0.27200390397310592</v>
      </c>
      <c r="T42" s="159">
        <f>'Raw Results'!AD42</f>
        <v>1654.58</v>
      </c>
      <c r="U42" s="159">
        <f>'Raw Results'!AF42</f>
        <v>2414.3000000000002</v>
      </c>
      <c r="V42" s="155">
        <f t="shared" si="4"/>
        <v>0.45916184167583329</v>
      </c>
      <c r="W42" s="159">
        <f>'Raw Results'!AH42</f>
        <v>245.96</v>
      </c>
      <c r="X42" s="159">
        <f>'Raw Results'!AJ42</f>
        <v>306.57</v>
      </c>
      <c r="Y42" s="155">
        <f t="shared" si="5"/>
        <v>0.24642218246869402</v>
      </c>
      <c r="Z42" s="159">
        <f>'Raw Results'!AL42</f>
        <v>36081.46</v>
      </c>
      <c r="AA42" s="159">
        <f>'Raw Results'!AN42</f>
        <v>26594.52</v>
      </c>
      <c r="AB42" s="155">
        <f t="shared" si="6"/>
        <v>-0.2629311563334743</v>
      </c>
      <c r="AC42" s="159">
        <f>'Raw Results'!AP42</f>
        <v>82834.98</v>
      </c>
      <c r="AD42" s="159">
        <f>'Raw Results'!AR42</f>
        <v>70459.39</v>
      </c>
      <c r="AE42" s="155">
        <f t="shared" si="7"/>
        <v>-0.14940053103169695</v>
      </c>
      <c r="AF42" s="159">
        <f>'Raw Results'!AT42</f>
        <v>11728.26</v>
      </c>
      <c r="AG42" s="159">
        <f>'Raw Results'!AV42</f>
        <v>8512.7000000000007</v>
      </c>
      <c r="AH42" s="155">
        <f t="shared" si="8"/>
        <v>-0.27417195730653987</v>
      </c>
      <c r="AK42" s="159">
        <f t="shared" si="9"/>
        <v>0</v>
      </c>
      <c r="AL42" s="159">
        <f t="shared" si="10"/>
        <v>0</v>
      </c>
      <c r="AM42" s="159">
        <f t="shared" si="11"/>
        <v>2638.25</v>
      </c>
      <c r="AN42" s="159">
        <f t="shared" si="12"/>
        <v>3659.2400000000002</v>
      </c>
      <c r="AO42" s="159">
        <f t="shared" si="13"/>
        <v>130644.7</v>
      </c>
      <c r="AP42" s="159">
        <f t="shared" si="14"/>
        <v>105566.61</v>
      </c>
    </row>
    <row r="43" spans="1:42">
      <c r="A43" t="s">
        <v>407</v>
      </c>
      <c r="B43">
        <v>1</v>
      </c>
      <c r="C43" t="s">
        <v>436</v>
      </c>
      <c r="D43" t="s">
        <v>437</v>
      </c>
      <c r="F43" t="s">
        <v>449</v>
      </c>
      <c r="G43" t="s">
        <v>430</v>
      </c>
      <c r="H43" s="159">
        <f>'Raw Results'!G43</f>
        <v>0</v>
      </c>
      <c r="I43" s="159">
        <f>'Raw Results'!H43</f>
        <v>0</v>
      </c>
      <c r="J43" s="155"/>
      <c r="K43" s="159">
        <f>'Raw Results'!J43</f>
        <v>0</v>
      </c>
      <c r="L43" s="159">
        <f>'Raw Results'!L43</f>
        <v>0</v>
      </c>
      <c r="M43" s="155"/>
      <c r="N43" s="159">
        <f>'Raw Results'!N43</f>
        <v>0</v>
      </c>
      <c r="O43" s="159">
        <f>'Raw Results'!P43</f>
        <v>0</v>
      </c>
      <c r="P43" s="155"/>
      <c r="Q43" s="159">
        <f>'Raw Results'!AA43</f>
        <v>0</v>
      </c>
      <c r="R43" s="159">
        <f>'Raw Results'!AB43</f>
        <v>0</v>
      </c>
      <c r="S43" s="155"/>
      <c r="T43" s="159">
        <f>'Raw Results'!AD43</f>
        <v>0</v>
      </c>
      <c r="U43" s="159">
        <f>'Raw Results'!AF43</f>
        <v>0</v>
      </c>
      <c r="V43" s="155"/>
      <c r="W43" s="159">
        <f>'Raw Results'!AH43</f>
        <v>0</v>
      </c>
      <c r="X43" s="159">
        <f>'Raw Results'!AJ43</f>
        <v>0</v>
      </c>
      <c r="Y43" s="155"/>
      <c r="Z43" s="159">
        <f>'Raw Results'!AL43</f>
        <v>0</v>
      </c>
      <c r="AA43" s="159">
        <f>'Raw Results'!AN43</f>
        <v>0</v>
      </c>
      <c r="AB43" s="155"/>
      <c r="AC43" s="159">
        <f>'Raw Results'!AP43</f>
        <v>0</v>
      </c>
      <c r="AD43" s="159">
        <f>'Raw Results'!AR43</f>
        <v>0</v>
      </c>
      <c r="AE43" s="155"/>
      <c r="AF43" s="159">
        <f>'Raw Results'!AT43</f>
        <v>0</v>
      </c>
      <c r="AG43" s="159">
        <f>'Raw Results'!AV43</f>
        <v>0</v>
      </c>
      <c r="AH43" s="155"/>
      <c r="AK43" s="159">
        <f t="shared" si="9"/>
        <v>0</v>
      </c>
      <c r="AL43" s="159">
        <f t="shared" si="10"/>
        <v>0</v>
      </c>
      <c r="AM43" s="159">
        <f t="shared" si="11"/>
        <v>0</v>
      </c>
      <c r="AN43" s="159">
        <f t="shared" si="12"/>
        <v>0</v>
      </c>
      <c r="AO43" s="159">
        <f t="shared" si="13"/>
        <v>0</v>
      </c>
      <c r="AP43" s="159">
        <f t="shared" si="14"/>
        <v>0</v>
      </c>
    </row>
    <row r="44" spans="1:42">
      <c r="A44" t="s">
        <v>407</v>
      </c>
      <c r="B44">
        <v>1</v>
      </c>
      <c r="C44" t="s">
        <v>436</v>
      </c>
      <c r="D44" t="s">
        <v>437</v>
      </c>
      <c r="F44" t="s">
        <v>450</v>
      </c>
      <c r="G44" t="s">
        <v>430</v>
      </c>
      <c r="H44" s="159">
        <f>'Raw Results'!G44</f>
        <v>0</v>
      </c>
      <c r="I44" s="159">
        <f>'Raw Results'!H44</f>
        <v>0</v>
      </c>
      <c r="J44" s="155"/>
      <c r="K44" s="159">
        <f>'Raw Results'!J44</f>
        <v>0</v>
      </c>
      <c r="L44" s="159">
        <f>'Raw Results'!L44</f>
        <v>0</v>
      </c>
      <c r="M44" s="155"/>
      <c r="N44" s="159">
        <f>'Raw Results'!N44</f>
        <v>0</v>
      </c>
      <c r="O44" s="159">
        <f>'Raw Results'!P44</f>
        <v>0</v>
      </c>
      <c r="P44" s="155"/>
      <c r="Q44" s="159">
        <f>'Raw Results'!AA44</f>
        <v>0</v>
      </c>
      <c r="R44" s="159">
        <f>'Raw Results'!AB44</f>
        <v>0</v>
      </c>
      <c r="S44" s="155"/>
      <c r="T44" s="159">
        <f>'Raw Results'!AD44</f>
        <v>0</v>
      </c>
      <c r="U44" s="159">
        <f>'Raw Results'!AF44</f>
        <v>0</v>
      </c>
      <c r="V44" s="155"/>
      <c r="W44" s="159">
        <f>'Raw Results'!AH44</f>
        <v>0</v>
      </c>
      <c r="X44" s="159">
        <f>'Raw Results'!AJ44</f>
        <v>0</v>
      </c>
      <c r="Y44" s="155"/>
      <c r="Z44" s="159">
        <f>'Raw Results'!AL44</f>
        <v>0</v>
      </c>
      <c r="AA44" s="159">
        <f>'Raw Results'!AN44</f>
        <v>0</v>
      </c>
      <c r="AB44" s="155"/>
      <c r="AC44" s="159">
        <f>'Raw Results'!AP44</f>
        <v>0</v>
      </c>
      <c r="AD44" s="159">
        <f>'Raw Results'!AR44</f>
        <v>0</v>
      </c>
      <c r="AE44" s="155"/>
      <c r="AF44" s="159">
        <f>'Raw Results'!AT44</f>
        <v>0</v>
      </c>
      <c r="AG44" s="159">
        <f>'Raw Results'!AV44</f>
        <v>0</v>
      </c>
      <c r="AH44" s="155"/>
      <c r="AK44" s="159">
        <f t="shared" si="9"/>
        <v>0</v>
      </c>
      <c r="AL44" s="159">
        <f t="shared" si="10"/>
        <v>0</v>
      </c>
      <c r="AM44" s="159">
        <f t="shared" si="11"/>
        <v>0</v>
      </c>
      <c r="AN44" s="159">
        <f t="shared" si="12"/>
        <v>0</v>
      </c>
      <c r="AO44" s="159">
        <f t="shared" si="13"/>
        <v>0</v>
      </c>
      <c r="AP44" s="159">
        <f t="shared" si="14"/>
        <v>0</v>
      </c>
    </row>
    <row r="45" spans="1:42">
      <c r="A45" t="s">
        <v>407</v>
      </c>
      <c r="B45">
        <v>1</v>
      </c>
      <c r="C45" t="s">
        <v>436</v>
      </c>
      <c r="D45" t="s">
        <v>437</v>
      </c>
      <c r="F45" t="s">
        <v>451</v>
      </c>
      <c r="G45" t="s">
        <v>430</v>
      </c>
      <c r="H45" s="159">
        <f>'Raw Results'!G45</f>
        <v>416.73</v>
      </c>
      <c r="I45" s="159">
        <f>'Raw Results'!H45</f>
        <v>423.28</v>
      </c>
      <c r="J45" s="155">
        <f t="shared" si="0"/>
        <v>1.5717610923139572E-2</v>
      </c>
      <c r="K45" s="159">
        <f>'Raw Results'!J45</f>
        <v>912.57</v>
      </c>
      <c r="L45" s="159">
        <f>'Raw Results'!L45</f>
        <v>1139.3699999999999</v>
      </c>
      <c r="M45" s="155">
        <f t="shared" si="1"/>
        <v>0.24852887997633039</v>
      </c>
      <c r="N45" s="159">
        <f>'Raw Results'!N45</f>
        <v>100.28</v>
      </c>
      <c r="O45" s="159">
        <f>'Raw Results'!P45</f>
        <v>103.19</v>
      </c>
      <c r="P45" s="155">
        <f t="shared" si="2"/>
        <v>2.901874750698042E-2</v>
      </c>
      <c r="Q45" s="159">
        <f>'Raw Results'!AA45</f>
        <v>808.34</v>
      </c>
      <c r="R45" s="159">
        <f>'Raw Results'!AB45</f>
        <v>821.04</v>
      </c>
      <c r="S45" s="155">
        <f t="shared" si="3"/>
        <v>1.5711210629190602E-2</v>
      </c>
      <c r="T45" s="159">
        <f>'Raw Results'!AD45</f>
        <v>1770.13</v>
      </c>
      <c r="U45" s="159">
        <f>'Raw Results'!AF45</f>
        <v>2210.08</v>
      </c>
      <c r="V45" s="155">
        <f t="shared" si="4"/>
        <v>0.24854106760520403</v>
      </c>
      <c r="W45" s="159">
        <f>'Raw Results'!AH45</f>
        <v>171.69</v>
      </c>
      <c r="X45" s="159">
        <f>'Raw Results'!AJ45</f>
        <v>176.67</v>
      </c>
      <c r="Y45" s="155">
        <f t="shared" si="5"/>
        <v>2.9005766206534975E-2</v>
      </c>
      <c r="Z45" s="159">
        <f>'Raw Results'!AL45</f>
        <v>19817.62</v>
      </c>
      <c r="AA45" s="159">
        <f>'Raw Results'!AN45</f>
        <v>20129.150000000001</v>
      </c>
      <c r="AB45" s="155">
        <f t="shared" si="6"/>
        <v>1.5719849305819895E-2</v>
      </c>
      <c r="AC45" s="159">
        <f>'Raw Results'!AP45</f>
        <v>43397.65</v>
      </c>
      <c r="AD45" s="159">
        <f>'Raw Results'!AR45</f>
        <v>54183.41</v>
      </c>
      <c r="AE45" s="155">
        <f t="shared" si="7"/>
        <v>0.24853327311501894</v>
      </c>
      <c r="AF45" s="159">
        <f>'Raw Results'!AT45</f>
        <v>4596.2</v>
      </c>
      <c r="AG45" s="159">
        <f>'Raw Results'!AV45</f>
        <v>4816.8599999999997</v>
      </c>
      <c r="AH45" s="155">
        <f t="shared" si="8"/>
        <v>4.8009225011966375E-2</v>
      </c>
      <c r="AK45" s="159">
        <f t="shared" si="9"/>
        <v>1429.5800000000002</v>
      </c>
      <c r="AL45" s="159">
        <f t="shared" si="10"/>
        <v>1665.84</v>
      </c>
      <c r="AM45" s="159">
        <f t="shared" si="11"/>
        <v>2750.1600000000003</v>
      </c>
      <c r="AN45" s="159">
        <f t="shared" si="12"/>
        <v>3207.79</v>
      </c>
      <c r="AO45" s="159">
        <f t="shared" si="13"/>
        <v>67811.47</v>
      </c>
      <c r="AP45" s="159">
        <f t="shared" si="14"/>
        <v>79129.42</v>
      </c>
    </row>
    <row r="46" spans="1:42">
      <c r="A46" t="s">
        <v>407</v>
      </c>
      <c r="B46">
        <v>1</v>
      </c>
      <c r="C46" t="s">
        <v>436</v>
      </c>
      <c r="D46" t="s">
        <v>437</v>
      </c>
      <c r="F46" t="s">
        <v>452</v>
      </c>
      <c r="G46" t="s">
        <v>430</v>
      </c>
      <c r="H46" s="159">
        <f>'Raw Results'!G46</f>
        <v>605.58000000000004</v>
      </c>
      <c r="I46" s="159">
        <f>'Raw Results'!H46</f>
        <v>610</v>
      </c>
      <c r="J46" s="155">
        <f t="shared" si="0"/>
        <v>7.2987879388354288E-3</v>
      </c>
      <c r="K46" s="159">
        <f>'Raw Results'!J46</f>
        <v>1208.1400000000001</v>
      </c>
      <c r="L46" s="159">
        <f>'Raw Results'!L46</f>
        <v>1508.4</v>
      </c>
      <c r="M46" s="155">
        <f t="shared" si="1"/>
        <v>0.2485307994106643</v>
      </c>
      <c r="N46" s="159">
        <f>'Raw Results'!N46</f>
        <v>153.9</v>
      </c>
      <c r="O46" s="159">
        <f>'Raw Results'!P46</f>
        <v>158.36000000000001</v>
      </c>
      <c r="P46" s="155">
        <f t="shared" si="2"/>
        <v>2.8979857050032538E-2</v>
      </c>
      <c r="Q46" s="159">
        <f>'Raw Results'!AA46</f>
        <v>1174.67</v>
      </c>
      <c r="R46" s="159">
        <f>'Raw Results'!AB46</f>
        <v>1185.17</v>
      </c>
      <c r="S46" s="155">
        <f t="shared" si="3"/>
        <v>8.9386806507359504E-3</v>
      </c>
      <c r="T46" s="159">
        <f>'Raw Results'!AD46</f>
        <v>2343.4699999999998</v>
      </c>
      <c r="U46" s="159">
        <f>'Raw Results'!AF46</f>
        <v>2925.9</v>
      </c>
      <c r="V46" s="155">
        <f t="shared" si="4"/>
        <v>0.24853315809462051</v>
      </c>
      <c r="W46" s="159">
        <f>'Raw Results'!AH46</f>
        <v>263.63</v>
      </c>
      <c r="X46" s="159">
        <f>'Raw Results'!AJ46</f>
        <v>271.27</v>
      </c>
      <c r="Y46" s="155">
        <f t="shared" si="5"/>
        <v>2.898000986230697E-2</v>
      </c>
      <c r="Z46" s="159">
        <f>'Raw Results'!AL46</f>
        <v>28798.880000000001</v>
      </c>
      <c r="AA46" s="159">
        <f>'Raw Results'!AN46</f>
        <v>29056.29</v>
      </c>
      <c r="AB46" s="155">
        <f t="shared" si="6"/>
        <v>8.9381948186873887E-3</v>
      </c>
      <c r="AC46" s="159">
        <f>'Raw Results'!AP46</f>
        <v>57453.8</v>
      </c>
      <c r="AD46" s="159">
        <f>'Raw Results'!AR46</f>
        <v>71732.98</v>
      </c>
      <c r="AE46" s="155">
        <f t="shared" si="7"/>
        <v>0.24853325628592002</v>
      </c>
      <c r="AF46" s="159">
        <f>'Raw Results'!AT46</f>
        <v>6332.65</v>
      </c>
      <c r="AG46" s="159">
        <f>'Raw Results'!AV46</f>
        <v>6582.18</v>
      </c>
      <c r="AH46" s="155">
        <f t="shared" si="8"/>
        <v>3.9403725138765076E-2</v>
      </c>
      <c r="AK46" s="159">
        <f t="shared" si="9"/>
        <v>1967.6200000000003</v>
      </c>
      <c r="AL46" s="159">
        <f t="shared" si="10"/>
        <v>2276.7600000000002</v>
      </c>
      <c r="AM46" s="159">
        <f t="shared" si="11"/>
        <v>3781.77</v>
      </c>
      <c r="AN46" s="159">
        <f t="shared" si="12"/>
        <v>4382.34</v>
      </c>
      <c r="AO46" s="159">
        <f t="shared" si="13"/>
        <v>92585.33</v>
      </c>
      <c r="AP46" s="159">
        <f t="shared" si="14"/>
        <v>107371.44999999998</v>
      </c>
    </row>
    <row r="47" spans="1:42">
      <c r="A47" t="s">
        <v>407</v>
      </c>
      <c r="B47">
        <v>1</v>
      </c>
      <c r="C47" t="s">
        <v>436</v>
      </c>
      <c r="D47" t="s">
        <v>437</v>
      </c>
      <c r="F47" t="s">
        <v>453</v>
      </c>
      <c r="G47" t="s">
        <v>430</v>
      </c>
      <c r="H47" s="159">
        <f>'Raw Results'!G47</f>
        <v>389.84</v>
      </c>
      <c r="I47" s="159">
        <f>'Raw Results'!H47</f>
        <v>396.16</v>
      </c>
      <c r="J47" s="155">
        <f t="shared" si="0"/>
        <v>1.6211779191463292E-2</v>
      </c>
      <c r="K47" s="159">
        <f>'Raw Results'!J47</f>
        <v>643.03</v>
      </c>
      <c r="L47" s="159">
        <f>'Raw Results'!L47</f>
        <v>802.85</v>
      </c>
      <c r="M47" s="155">
        <f t="shared" si="1"/>
        <v>0.24854205869088541</v>
      </c>
      <c r="N47" s="159">
        <f>'Raw Results'!N47</f>
        <v>74.23</v>
      </c>
      <c r="O47" s="159">
        <f>'Raw Results'!P47</f>
        <v>76.38</v>
      </c>
      <c r="P47" s="155">
        <f t="shared" si="2"/>
        <v>2.8964030715344084E-2</v>
      </c>
      <c r="Q47" s="159">
        <f>'Raw Results'!AA47</f>
        <v>756.19</v>
      </c>
      <c r="R47" s="159">
        <f>'Raw Results'!AB47</f>
        <v>768.45</v>
      </c>
      <c r="S47" s="155">
        <f t="shared" si="3"/>
        <v>1.6212856557214442E-2</v>
      </c>
      <c r="T47" s="159">
        <f>'Raw Results'!AD47</f>
        <v>1247.31</v>
      </c>
      <c r="U47" s="159">
        <f>'Raw Results'!AF47</f>
        <v>1557.31</v>
      </c>
      <c r="V47" s="155">
        <f t="shared" si="4"/>
        <v>0.24853484699072406</v>
      </c>
      <c r="W47" s="159">
        <f>'Raw Results'!AH47</f>
        <v>143.99</v>
      </c>
      <c r="X47" s="159">
        <f>'Raw Results'!AJ47</f>
        <v>148.16</v>
      </c>
      <c r="Y47" s="155">
        <f t="shared" si="5"/>
        <v>2.8960344468365769E-2</v>
      </c>
      <c r="Z47" s="159">
        <f>'Raw Results'!AL47</f>
        <v>18539.189999999999</v>
      </c>
      <c r="AA47" s="159">
        <f>'Raw Results'!AN47</f>
        <v>18839.830000000002</v>
      </c>
      <c r="AB47" s="155">
        <f t="shared" si="6"/>
        <v>1.6216458216351582E-2</v>
      </c>
      <c r="AC47" s="159">
        <f>'Raw Results'!AP47</f>
        <v>30579.82</v>
      </c>
      <c r="AD47" s="159">
        <f>'Raw Results'!AR47</f>
        <v>38179.919999999998</v>
      </c>
      <c r="AE47" s="155">
        <f t="shared" si="7"/>
        <v>0.24853318299453689</v>
      </c>
      <c r="AF47" s="159">
        <f>'Raw Results'!AT47</f>
        <v>3592.83</v>
      </c>
      <c r="AG47" s="159">
        <f>'Raw Results'!AV47</f>
        <v>3664.85</v>
      </c>
      <c r="AH47" s="155">
        <f t="shared" si="8"/>
        <v>2.0045479468830972E-2</v>
      </c>
      <c r="AK47" s="159">
        <f t="shared" si="9"/>
        <v>1107.0999999999999</v>
      </c>
      <c r="AL47" s="159">
        <f t="shared" si="10"/>
        <v>1275.3899999999999</v>
      </c>
      <c r="AM47" s="159">
        <f t="shared" si="11"/>
        <v>2147.4899999999998</v>
      </c>
      <c r="AN47" s="159">
        <f t="shared" si="12"/>
        <v>2473.92</v>
      </c>
      <c r="AO47" s="159">
        <f t="shared" si="13"/>
        <v>52711.839999999997</v>
      </c>
      <c r="AP47" s="159">
        <f t="shared" si="14"/>
        <v>60684.6</v>
      </c>
    </row>
    <row r="48" spans="1:42">
      <c r="A48" t="s">
        <v>407</v>
      </c>
      <c r="B48">
        <v>1</v>
      </c>
      <c r="C48" t="s">
        <v>436</v>
      </c>
      <c r="D48" t="s">
        <v>437</v>
      </c>
      <c r="F48" t="s">
        <v>454</v>
      </c>
      <c r="G48" t="s">
        <v>430</v>
      </c>
      <c r="H48" s="159">
        <f>'Raw Results'!G48</f>
        <v>34.21</v>
      </c>
      <c r="I48" s="159">
        <f>'Raw Results'!H48</f>
        <v>38.6</v>
      </c>
      <c r="J48" s="155">
        <f t="shared" si="0"/>
        <v>0.12832505115463316</v>
      </c>
      <c r="K48" s="159">
        <f>'Raw Results'!J48</f>
        <v>80.56</v>
      </c>
      <c r="L48" s="159">
        <f>'Raw Results'!L48</f>
        <v>100.58</v>
      </c>
      <c r="M48" s="155">
        <f t="shared" si="1"/>
        <v>0.24851042701092349</v>
      </c>
      <c r="N48" s="159">
        <f>'Raw Results'!N48</f>
        <v>6.9</v>
      </c>
      <c r="O48" s="159">
        <f>'Raw Results'!P48</f>
        <v>7.1</v>
      </c>
      <c r="P48" s="155">
        <f t="shared" si="2"/>
        <v>2.8985507246376708E-2</v>
      </c>
      <c r="Q48" s="159">
        <f>'Raw Results'!AA48</f>
        <v>66.37</v>
      </c>
      <c r="R48" s="159">
        <f>'Raw Results'!AB48</f>
        <v>74.88</v>
      </c>
      <c r="S48" s="155">
        <f t="shared" si="3"/>
        <v>0.12822058158806676</v>
      </c>
      <c r="T48" s="159">
        <f>'Raw Results'!AD48</f>
        <v>156.26</v>
      </c>
      <c r="U48" s="159">
        <f>'Raw Results'!AF48</f>
        <v>195.1</v>
      </c>
      <c r="V48" s="155">
        <f t="shared" si="4"/>
        <v>0.24856009215410219</v>
      </c>
      <c r="W48" s="159">
        <f>'Raw Results'!AH48</f>
        <v>13.39</v>
      </c>
      <c r="X48" s="159">
        <f>'Raw Results'!AJ48</f>
        <v>13.77</v>
      </c>
      <c r="Y48" s="155">
        <f t="shared" si="5"/>
        <v>2.8379387602688499E-2</v>
      </c>
      <c r="Z48" s="159">
        <f>'Raw Results'!AL48</f>
        <v>1626</v>
      </c>
      <c r="AA48" s="159">
        <f>'Raw Results'!AN48</f>
        <v>1835.95</v>
      </c>
      <c r="AB48" s="155">
        <f t="shared" si="6"/>
        <v>0.12912054120541208</v>
      </c>
      <c r="AC48" s="159">
        <f>'Raw Results'!AP48</f>
        <v>3831.03</v>
      </c>
      <c r="AD48" s="159">
        <f>'Raw Results'!AR48</f>
        <v>4783.18</v>
      </c>
      <c r="AE48" s="155">
        <f t="shared" si="7"/>
        <v>0.24853629441690617</v>
      </c>
      <c r="AF48" s="159">
        <f>'Raw Results'!AT48</f>
        <v>333.78</v>
      </c>
      <c r="AG48" s="159">
        <f>'Raw Results'!AV48</f>
        <v>340.55</v>
      </c>
      <c r="AH48" s="155">
        <f t="shared" si="8"/>
        <v>2.0282821019833541E-2</v>
      </c>
      <c r="AK48" s="159">
        <f t="shared" si="9"/>
        <v>121.67000000000002</v>
      </c>
      <c r="AL48" s="159">
        <f t="shared" si="10"/>
        <v>146.28</v>
      </c>
      <c r="AM48" s="159">
        <f t="shared" si="11"/>
        <v>236.01999999999998</v>
      </c>
      <c r="AN48" s="159">
        <f t="shared" si="12"/>
        <v>283.75</v>
      </c>
      <c r="AO48" s="159">
        <f t="shared" si="13"/>
        <v>5790.81</v>
      </c>
      <c r="AP48" s="159">
        <f t="shared" si="14"/>
        <v>6959.68</v>
      </c>
    </row>
    <row r="49" spans="1:42">
      <c r="A49" t="s">
        <v>407</v>
      </c>
      <c r="B49">
        <v>0</v>
      </c>
      <c r="C49" t="s">
        <v>436</v>
      </c>
      <c r="D49" t="s">
        <v>437</v>
      </c>
      <c r="F49" t="s">
        <v>429</v>
      </c>
      <c r="G49" t="s">
        <v>430</v>
      </c>
      <c r="H49" s="159">
        <f>'Raw Results'!G49</f>
        <v>2730.32</v>
      </c>
      <c r="I49" s="159">
        <f>'Raw Results'!H49</f>
        <v>2928.49</v>
      </c>
      <c r="J49" s="155">
        <f t="shared" si="0"/>
        <v>7.2581235899088603E-2</v>
      </c>
      <c r="K49" s="159">
        <f>'Raw Results'!J49</f>
        <v>5217.6899999999996</v>
      </c>
      <c r="L49" s="159">
        <f>'Raw Results'!L49</f>
        <v>6514.48</v>
      </c>
      <c r="M49" s="155">
        <f t="shared" si="1"/>
        <v>0.24853718791265869</v>
      </c>
      <c r="N49" s="159">
        <f>'Raw Results'!N49</f>
        <v>613.02</v>
      </c>
      <c r="O49" s="159">
        <f>'Raw Results'!P49</f>
        <v>630.79</v>
      </c>
      <c r="P49" s="155">
        <f t="shared" si="2"/>
        <v>2.8987634987439205E-2</v>
      </c>
      <c r="Q49" s="159">
        <f>'Raw Results'!AA49</f>
        <v>5296.07</v>
      </c>
      <c r="R49" s="159">
        <f>'Raw Results'!AB49</f>
        <v>5680.49</v>
      </c>
      <c r="S49" s="155">
        <f t="shared" si="3"/>
        <v>7.2585898600282875E-2</v>
      </c>
      <c r="T49" s="159">
        <f>'Raw Results'!AD49</f>
        <v>10120.92</v>
      </c>
      <c r="U49" s="159">
        <f>'Raw Results'!AF49</f>
        <v>12636.33</v>
      </c>
      <c r="V49" s="155">
        <f t="shared" si="4"/>
        <v>0.24853570624014415</v>
      </c>
      <c r="W49" s="159">
        <f>'Raw Results'!AH49</f>
        <v>1131.3699999999999</v>
      </c>
      <c r="X49" s="159">
        <f>'Raw Results'!AJ49</f>
        <v>1164.1600000000001</v>
      </c>
      <c r="Y49" s="155">
        <f t="shared" si="5"/>
        <v>2.898256096590876E-2</v>
      </c>
      <c r="Z49" s="159">
        <f>'Raw Results'!AL49</f>
        <v>129841.43</v>
      </c>
      <c r="AA49" s="159">
        <f>'Raw Results'!AN49</f>
        <v>139266.28</v>
      </c>
      <c r="AB49" s="155">
        <f t="shared" si="6"/>
        <v>7.2587386013847857E-2</v>
      </c>
      <c r="AC49" s="159">
        <f>'Raw Results'!AP49</f>
        <v>248130.32</v>
      </c>
      <c r="AD49" s="159">
        <f>'Raw Results'!AR49</f>
        <v>309799</v>
      </c>
      <c r="AE49" s="155">
        <f t="shared" si="7"/>
        <v>0.24853343194817945</v>
      </c>
      <c r="AF49" s="159">
        <f>'Raw Results'!AT49</f>
        <v>28061.83</v>
      </c>
      <c r="AG49" s="159">
        <f>'Raw Results'!AV49</f>
        <v>28993.74</v>
      </c>
      <c r="AH49" s="155">
        <f t="shared" si="8"/>
        <v>3.3209167042919145E-2</v>
      </c>
      <c r="AK49" s="159">
        <f t="shared" si="9"/>
        <v>8561.0300000000007</v>
      </c>
      <c r="AL49" s="159">
        <f t="shared" si="10"/>
        <v>10073.759999999998</v>
      </c>
      <c r="AM49" s="159">
        <f t="shared" si="11"/>
        <v>16548.36</v>
      </c>
      <c r="AN49" s="159">
        <f t="shared" si="12"/>
        <v>19480.98</v>
      </c>
      <c r="AO49" s="159">
        <f t="shared" si="13"/>
        <v>406033.58</v>
      </c>
      <c r="AP49" s="159">
        <f t="shared" si="14"/>
        <v>478059.02</v>
      </c>
    </row>
    <row r="50" spans="1:42">
      <c r="A50" t="s">
        <v>407</v>
      </c>
      <c r="B50">
        <v>0</v>
      </c>
      <c r="C50" t="s">
        <v>436</v>
      </c>
      <c r="D50" t="s">
        <v>437</v>
      </c>
      <c r="F50" t="s">
        <v>455</v>
      </c>
      <c r="G50" t="s">
        <v>430</v>
      </c>
      <c r="H50" s="159">
        <f>'Raw Results'!G50</f>
        <v>455.94</v>
      </c>
      <c r="I50" s="159">
        <f>'Raw Results'!H50</f>
        <v>518.26</v>
      </c>
      <c r="J50" s="155">
        <f t="shared" si="0"/>
        <v>0.13668465148923103</v>
      </c>
      <c r="K50" s="159">
        <f>'Raw Results'!J50</f>
        <v>983.07</v>
      </c>
      <c r="L50" s="159">
        <f>'Raw Results'!L50</f>
        <v>1227.4000000000001</v>
      </c>
      <c r="M50" s="155">
        <f t="shared" si="1"/>
        <v>0.24853774400602199</v>
      </c>
      <c r="N50" s="159">
        <f>'Raw Results'!N50</f>
        <v>114.72</v>
      </c>
      <c r="O50" s="159">
        <f>'Raw Results'!P50</f>
        <v>118.04</v>
      </c>
      <c r="P50" s="155">
        <f t="shared" si="2"/>
        <v>2.8940027894002854E-2</v>
      </c>
      <c r="Q50" s="159">
        <f>'Raw Results'!AA50</f>
        <v>884.39</v>
      </c>
      <c r="R50" s="159">
        <f>'Raw Results'!AB50</f>
        <v>1005.28</v>
      </c>
      <c r="S50" s="155">
        <f t="shared" si="3"/>
        <v>0.13669308789108875</v>
      </c>
      <c r="T50" s="159">
        <f>'Raw Results'!AD50</f>
        <v>1906.9</v>
      </c>
      <c r="U50" s="159">
        <f>'Raw Results'!AF50</f>
        <v>2380.83</v>
      </c>
      <c r="V50" s="155">
        <f t="shared" si="4"/>
        <v>0.24853427028160879</v>
      </c>
      <c r="W50" s="159">
        <f>'Raw Results'!AH50</f>
        <v>222.52</v>
      </c>
      <c r="X50" s="159">
        <f>'Raw Results'!AJ50</f>
        <v>228.97</v>
      </c>
      <c r="Y50" s="155">
        <f t="shared" si="5"/>
        <v>2.8986158547546235E-2</v>
      </c>
      <c r="Z50" s="159">
        <f>'Raw Results'!AL50</f>
        <v>21682.22</v>
      </c>
      <c r="AA50" s="159">
        <f>'Raw Results'!AN50</f>
        <v>24646.04</v>
      </c>
      <c r="AB50" s="155">
        <f t="shared" si="6"/>
        <v>0.13669356735611018</v>
      </c>
      <c r="AC50" s="159">
        <f>'Raw Results'!AP50</f>
        <v>46750.65</v>
      </c>
      <c r="AD50" s="159">
        <f>'Raw Results'!AR50</f>
        <v>58369.75</v>
      </c>
      <c r="AE50" s="155">
        <f t="shared" si="7"/>
        <v>0.24853344285052717</v>
      </c>
      <c r="AF50" s="159">
        <f>'Raw Results'!AT50</f>
        <v>5393.23</v>
      </c>
      <c r="AG50" s="159">
        <f>'Raw Results'!AV50</f>
        <v>5581</v>
      </c>
      <c r="AH50" s="155">
        <f t="shared" si="8"/>
        <v>3.4815871008653528E-2</v>
      </c>
      <c r="AK50" s="159">
        <f t="shared" si="9"/>
        <v>1553.73</v>
      </c>
      <c r="AL50" s="159">
        <f t="shared" si="10"/>
        <v>1863.7</v>
      </c>
      <c r="AM50" s="159">
        <f t="shared" si="11"/>
        <v>3013.81</v>
      </c>
      <c r="AN50" s="159">
        <f t="shared" si="12"/>
        <v>3615.0799999999995</v>
      </c>
      <c r="AO50" s="159">
        <f t="shared" si="13"/>
        <v>73826.099999999991</v>
      </c>
      <c r="AP50" s="159">
        <f t="shared" si="14"/>
        <v>88596.790000000008</v>
      </c>
    </row>
    <row r="51" spans="1:42">
      <c r="A51" t="s">
        <v>407</v>
      </c>
      <c r="B51">
        <v>0</v>
      </c>
      <c r="C51" t="s">
        <v>436</v>
      </c>
      <c r="D51" t="s">
        <v>437</v>
      </c>
      <c r="F51" t="s">
        <v>456</v>
      </c>
      <c r="G51" t="s">
        <v>430</v>
      </c>
      <c r="H51" s="159">
        <f>'Raw Results'!G51</f>
        <v>455.94</v>
      </c>
      <c r="I51" s="159">
        <f>'Raw Results'!H51</f>
        <v>518.26</v>
      </c>
      <c r="J51" s="155">
        <f t="shared" si="0"/>
        <v>0.13668465148923103</v>
      </c>
      <c r="K51" s="159">
        <f>'Raw Results'!J51</f>
        <v>983.07</v>
      </c>
      <c r="L51" s="159">
        <f>'Raw Results'!L51</f>
        <v>1227.4000000000001</v>
      </c>
      <c r="M51" s="155">
        <f t="shared" si="1"/>
        <v>0.24853774400602199</v>
      </c>
      <c r="N51" s="159">
        <f>'Raw Results'!N51</f>
        <v>114.72</v>
      </c>
      <c r="O51" s="159">
        <f>'Raw Results'!P51</f>
        <v>118.04</v>
      </c>
      <c r="P51" s="155">
        <f t="shared" si="2"/>
        <v>2.8940027894002854E-2</v>
      </c>
      <c r="Q51" s="159">
        <f>'Raw Results'!AA51</f>
        <v>884.39</v>
      </c>
      <c r="R51" s="159">
        <f>'Raw Results'!AB51</f>
        <v>1005.28</v>
      </c>
      <c r="S51" s="155">
        <f t="shared" si="3"/>
        <v>0.13669308789108875</v>
      </c>
      <c r="T51" s="159">
        <f>'Raw Results'!AD51</f>
        <v>1906.9</v>
      </c>
      <c r="U51" s="159">
        <f>'Raw Results'!AF51</f>
        <v>2380.83</v>
      </c>
      <c r="V51" s="155">
        <f t="shared" si="4"/>
        <v>0.24853427028160879</v>
      </c>
      <c r="W51" s="159">
        <f>'Raw Results'!AH51</f>
        <v>222.52</v>
      </c>
      <c r="X51" s="159">
        <f>'Raw Results'!AJ51</f>
        <v>228.97</v>
      </c>
      <c r="Y51" s="155">
        <f t="shared" si="5"/>
        <v>2.8986158547546235E-2</v>
      </c>
      <c r="Z51" s="159">
        <f>'Raw Results'!AL51</f>
        <v>21682.22</v>
      </c>
      <c r="AA51" s="159">
        <f>'Raw Results'!AN51</f>
        <v>24646.04</v>
      </c>
      <c r="AB51" s="155">
        <f t="shared" si="6"/>
        <v>0.13669356735611018</v>
      </c>
      <c r="AC51" s="159">
        <f>'Raw Results'!AP51</f>
        <v>46750.65</v>
      </c>
      <c r="AD51" s="159">
        <f>'Raw Results'!AR51</f>
        <v>58369.75</v>
      </c>
      <c r="AE51" s="155">
        <f t="shared" si="7"/>
        <v>0.24853344285052717</v>
      </c>
      <c r="AF51" s="159">
        <f>'Raw Results'!AT51</f>
        <v>5393.23</v>
      </c>
      <c r="AG51" s="159">
        <f>'Raw Results'!AV51</f>
        <v>5581</v>
      </c>
      <c r="AH51" s="155">
        <f t="shared" si="8"/>
        <v>3.4815871008653528E-2</v>
      </c>
      <c r="AK51" s="159">
        <f t="shared" si="9"/>
        <v>1553.73</v>
      </c>
      <c r="AL51" s="159">
        <f t="shared" si="10"/>
        <v>1863.7</v>
      </c>
      <c r="AM51" s="159">
        <f t="shared" si="11"/>
        <v>3013.81</v>
      </c>
      <c r="AN51" s="159">
        <f t="shared" si="12"/>
        <v>3615.0799999999995</v>
      </c>
      <c r="AO51" s="159">
        <f t="shared" si="13"/>
        <v>73826.099999999991</v>
      </c>
      <c r="AP51" s="159">
        <f t="shared" si="14"/>
        <v>88596.790000000008</v>
      </c>
    </row>
    <row r="52" spans="1:42">
      <c r="A52" t="s">
        <v>407</v>
      </c>
      <c r="B52">
        <v>1</v>
      </c>
      <c r="C52" t="s">
        <v>436</v>
      </c>
      <c r="D52" t="s">
        <v>437</v>
      </c>
      <c r="F52" t="s">
        <v>457</v>
      </c>
      <c r="G52" t="s">
        <v>426</v>
      </c>
      <c r="H52" s="159">
        <f>'Raw Results'!G52</f>
        <v>69651.78</v>
      </c>
      <c r="I52" s="159">
        <f>'Raw Results'!H52</f>
        <v>79991.61</v>
      </c>
      <c r="J52" s="155">
        <f t="shared" si="0"/>
        <v>0.14845033393260018</v>
      </c>
      <c r="K52" s="159">
        <f>'Raw Results'!J52</f>
        <v>183806.57</v>
      </c>
      <c r="L52" s="159">
        <f>'Raw Results'!L52</f>
        <v>229489.27</v>
      </c>
      <c r="M52" s="155">
        <f t="shared" si="1"/>
        <v>0.2485368178079814</v>
      </c>
      <c r="N52" s="159">
        <f>'Raw Results'!N52</f>
        <v>23096.560000000001</v>
      </c>
      <c r="O52" s="159">
        <f>'Raw Results'!P52</f>
        <v>23765.919999999998</v>
      </c>
      <c r="P52" s="155">
        <f t="shared" si="2"/>
        <v>2.8980939152843405E-2</v>
      </c>
      <c r="Q52" s="159">
        <f>'Raw Results'!AA52</f>
        <v>135105.29999999999</v>
      </c>
      <c r="R52" s="159">
        <f>'Raw Results'!AB52</f>
        <v>155162.09</v>
      </c>
      <c r="S52" s="155">
        <f t="shared" si="3"/>
        <v>0.14845302145807759</v>
      </c>
      <c r="T52" s="159">
        <f>'Raw Results'!AD52</f>
        <v>356535.32</v>
      </c>
      <c r="U52" s="159">
        <f>'Raw Results'!AF52</f>
        <v>445147.25</v>
      </c>
      <c r="V52" s="155">
        <f t="shared" si="4"/>
        <v>0.24853618990679519</v>
      </c>
      <c r="W52" s="159">
        <f>'Raw Results'!AH52</f>
        <v>45892.85</v>
      </c>
      <c r="X52" s="159">
        <f>'Raw Results'!AJ52</f>
        <v>47223</v>
      </c>
      <c r="Y52" s="155">
        <f t="shared" si="5"/>
        <v>2.8983817740672053E-2</v>
      </c>
      <c r="Z52" s="159">
        <f>'Raw Results'!AL52</f>
        <v>3312320.03</v>
      </c>
      <c r="AA52" s="159">
        <f>'Raw Results'!AN52</f>
        <v>3804045.59</v>
      </c>
      <c r="AB52" s="155">
        <f t="shared" si="6"/>
        <v>0.14845351763911535</v>
      </c>
      <c r="AC52" s="159">
        <f>'Raw Results'!AP52</f>
        <v>8741027.1099999994</v>
      </c>
      <c r="AD52" s="159">
        <f>'Raw Results'!AR52</f>
        <v>10913464.5</v>
      </c>
      <c r="AE52" s="155">
        <f t="shared" si="7"/>
        <v>0.24853342320774482</v>
      </c>
      <c r="AF52" s="159">
        <f>'Raw Results'!AT52</f>
        <v>1042396.13</v>
      </c>
      <c r="AG52" s="159">
        <f>'Raw Results'!AV52</f>
        <v>1104593.5900000001</v>
      </c>
      <c r="AH52" s="155">
        <f t="shared" si="8"/>
        <v>5.9667777162603318E-2</v>
      </c>
      <c r="AK52" s="159">
        <f t="shared" si="9"/>
        <v>276554.91000000003</v>
      </c>
      <c r="AL52" s="159">
        <f t="shared" si="10"/>
        <v>333246.8</v>
      </c>
      <c r="AM52" s="159">
        <f t="shared" si="11"/>
        <v>537533.47</v>
      </c>
      <c r="AN52" s="159">
        <f t="shared" si="12"/>
        <v>647532.34</v>
      </c>
      <c r="AO52" s="159">
        <f t="shared" si="13"/>
        <v>13095743.27</v>
      </c>
      <c r="AP52" s="159">
        <f t="shared" si="14"/>
        <v>15822103.68</v>
      </c>
    </row>
    <row r="53" spans="1:42">
      <c r="A53" t="s">
        <v>407</v>
      </c>
      <c r="B53">
        <v>0</v>
      </c>
      <c r="C53" t="s">
        <v>436</v>
      </c>
      <c r="D53" t="s">
        <v>437</v>
      </c>
      <c r="F53" t="s">
        <v>431</v>
      </c>
      <c r="G53" t="s">
        <v>410</v>
      </c>
      <c r="H53" s="159">
        <f>'Raw Results'!G53</f>
        <v>151116.9</v>
      </c>
      <c r="I53" s="159">
        <f>'Raw Results'!H53</f>
        <v>171615.92</v>
      </c>
      <c r="J53" s="155">
        <f t="shared" si="0"/>
        <v>0.13565008281668045</v>
      </c>
      <c r="K53" s="159">
        <f>'Raw Results'!J53</f>
        <v>351305.81</v>
      </c>
      <c r="L53" s="159">
        <f>'Raw Results'!L53</f>
        <v>457371.95</v>
      </c>
      <c r="M53" s="155">
        <f t="shared" si="1"/>
        <v>0.30191968644071104</v>
      </c>
      <c r="N53" s="159">
        <f>'Raw Results'!N53</f>
        <v>52809.91</v>
      </c>
      <c r="O53" s="159">
        <f>'Raw Results'!P53</f>
        <v>58486</v>
      </c>
      <c r="P53" s="155">
        <f t="shared" si="2"/>
        <v>0.10748153140196597</v>
      </c>
      <c r="Q53" s="159">
        <f>'Raw Results'!AA53</f>
        <v>251730.89</v>
      </c>
      <c r="R53" s="159">
        <f>'Raw Results'!AB53</f>
        <v>289227.61</v>
      </c>
      <c r="S53" s="155">
        <f t="shared" si="3"/>
        <v>0.14895557712444416</v>
      </c>
      <c r="T53" s="159">
        <f>'Raw Results'!AD53</f>
        <v>594668.85</v>
      </c>
      <c r="U53" s="159">
        <f>'Raw Results'!AF53</f>
        <v>783285.79</v>
      </c>
      <c r="V53" s="155">
        <f t="shared" si="4"/>
        <v>0.31717978838138244</v>
      </c>
      <c r="W53" s="159">
        <f>'Raw Results'!AH53</f>
        <v>93776.72</v>
      </c>
      <c r="X53" s="159">
        <f>'Raw Results'!AJ53</f>
        <v>104901.7</v>
      </c>
      <c r="Y53" s="155">
        <f t="shared" si="5"/>
        <v>0.11863264144875184</v>
      </c>
      <c r="Z53" s="159">
        <f>'Raw Results'!AL53</f>
        <v>6888371.7000000002</v>
      </c>
      <c r="AA53" s="159">
        <f>'Raw Results'!AN53</f>
        <v>8184553.0300000003</v>
      </c>
      <c r="AB53" s="155">
        <f t="shared" si="6"/>
        <v>0.18816948133039918</v>
      </c>
      <c r="AC53" s="159">
        <f>'Raw Results'!AP53</f>
        <v>16682801.9</v>
      </c>
      <c r="AD53" s="159">
        <f>'Raw Results'!AR53</f>
        <v>22839282.920000002</v>
      </c>
      <c r="AE53" s="155">
        <f t="shared" si="7"/>
        <v>0.36903159654494255</v>
      </c>
      <c r="AF53" s="159">
        <f>'Raw Results'!AT53</f>
        <v>2563130.2400000002</v>
      </c>
      <c r="AG53" s="159">
        <f>'Raw Results'!AV53</f>
        <v>3003346.44</v>
      </c>
      <c r="AH53" s="155">
        <f t="shared" si="8"/>
        <v>0.17174944648930507</v>
      </c>
      <c r="AK53" s="159">
        <f t="shared" si="9"/>
        <v>555232.62</v>
      </c>
      <c r="AL53" s="159">
        <f t="shared" si="10"/>
        <v>687473.87</v>
      </c>
      <c r="AM53" s="159">
        <f t="shared" si="11"/>
        <v>940176.46</v>
      </c>
      <c r="AN53" s="159">
        <f t="shared" si="12"/>
        <v>1177415.0999999999</v>
      </c>
      <c r="AO53" s="159">
        <f t="shared" si="13"/>
        <v>26134303.840000004</v>
      </c>
      <c r="AP53" s="159">
        <f t="shared" si="14"/>
        <v>34027182.390000001</v>
      </c>
    </row>
    <row r="54" spans="1:42">
      <c r="A54" t="s">
        <v>407</v>
      </c>
      <c r="B54">
        <v>0</v>
      </c>
      <c r="C54" t="s">
        <v>436</v>
      </c>
      <c r="D54" t="s">
        <v>437</v>
      </c>
      <c r="F54" t="s">
        <v>432</v>
      </c>
      <c r="G54" t="s">
        <v>415</v>
      </c>
      <c r="H54" s="159">
        <f>'Raw Results'!G54</f>
        <v>60298.879999999997</v>
      </c>
      <c r="I54" s="159">
        <f>'Raw Results'!H54</f>
        <v>85169.07</v>
      </c>
      <c r="J54" s="155">
        <f t="shared" si="0"/>
        <v>0.41244862259464871</v>
      </c>
      <c r="K54" s="159">
        <f>'Raw Results'!J54</f>
        <v>180911.24</v>
      </c>
      <c r="L54" s="159">
        <f>'Raw Results'!L54</f>
        <v>288170.12</v>
      </c>
      <c r="M54" s="155">
        <f t="shared" si="1"/>
        <v>0.59288123833544015</v>
      </c>
      <c r="N54" s="159">
        <f>'Raw Results'!N54</f>
        <v>35868.04</v>
      </c>
      <c r="O54" s="159">
        <f>'Raw Results'!P54</f>
        <v>47991.21</v>
      </c>
      <c r="P54" s="155">
        <f t="shared" si="2"/>
        <v>0.33799365674845899</v>
      </c>
      <c r="Q54" s="159">
        <f>'Raw Results'!AA54</f>
        <v>261693.62</v>
      </c>
      <c r="R54" s="159">
        <f>'Raw Results'!AB54</f>
        <v>341912.48</v>
      </c>
      <c r="S54" s="155">
        <f t="shared" si="3"/>
        <v>0.30653731642368653</v>
      </c>
      <c r="T54" s="159">
        <f>'Raw Results'!AD54</f>
        <v>723824.36</v>
      </c>
      <c r="U54" s="159">
        <f>'Raw Results'!AF54</f>
        <v>1083770.3500000001</v>
      </c>
      <c r="V54" s="155">
        <f t="shared" si="4"/>
        <v>0.49728360896834162</v>
      </c>
      <c r="W54" s="159">
        <f>'Raw Results'!AH54</f>
        <v>130476.33</v>
      </c>
      <c r="X54" s="159">
        <f>'Raw Results'!AJ54</f>
        <v>166564.39000000001</v>
      </c>
      <c r="Y54" s="155">
        <f t="shared" si="5"/>
        <v>0.27658702540146562</v>
      </c>
      <c r="Z54" s="159">
        <f>'Raw Results'!AL54</f>
        <v>14745911.16</v>
      </c>
      <c r="AA54" s="159">
        <f>'Raw Results'!AN54</f>
        <v>18537024.66</v>
      </c>
      <c r="AB54" s="155">
        <f t="shared" si="6"/>
        <v>0.25709591349524991</v>
      </c>
      <c r="AC54" s="159">
        <f>'Raw Results'!AP54</f>
        <v>38127614.609999999</v>
      </c>
      <c r="AD54" s="159">
        <f>'Raw Results'!AR54</f>
        <v>55045566.159999996</v>
      </c>
      <c r="AE54" s="155">
        <f t="shared" si="7"/>
        <v>0.4437191186244</v>
      </c>
      <c r="AF54" s="159">
        <f>'Raw Results'!AT54</f>
        <v>6461673.5</v>
      </c>
      <c r="AG54" s="159">
        <f>'Raw Results'!AV54</f>
        <v>7998225.7199999997</v>
      </c>
      <c r="AH54" s="155">
        <f t="shared" si="8"/>
        <v>0.23779477870554738</v>
      </c>
      <c r="AK54" s="159">
        <f t="shared" si="9"/>
        <v>277078.15999999997</v>
      </c>
      <c r="AL54" s="159">
        <f t="shared" si="10"/>
        <v>421330.4</v>
      </c>
      <c r="AM54" s="159">
        <f t="shared" si="11"/>
        <v>1115994.31</v>
      </c>
      <c r="AN54" s="159">
        <f t="shared" si="12"/>
        <v>1592247.2200000002</v>
      </c>
      <c r="AO54" s="159">
        <f t="shared" si="13"/>
        <v>59335199.269999996</v>
      </c>
      <c r="AP54" s="159">
        <f t="shared" si="14"/>
        <v>81580816.539999992</v>
      </c>
    </row>
    <row r="55" spans="1:42">
      <c r="A55" t="s">
        <v>407</v>
      </c>
      <c r="B55">
        <v>0</v>
      </c>
      <c r="C55" t="s">
        <v>436</v>
      </c>
      <c r="D55" t="s">
        <v>437</v>
      </c>
      <c r="F55" t="s">
        <v>458</v>
      </c>
      <c r="G55" t="s">
        <v>426</v>
      </c>
      <c r="H55" s="159">
        <f>'Raw Results'!G55</f>
        <v>0</v>
      </c>
      <c r="I55" s="159">
        <f>'Raw Results'!H55</f>
        <v>0</v>
      </c>
      <c r="J55" s="155"/>
      <c r="K55" s="159">
        <f>'Raw Results'!J55</f>
        <v>0</v>
      </c>
      <c r="L55" s="159">
        <f>'Raw Results'!L55</f>
        <v>0</v>
      </c>
      <c r="M55" s="155"/>
      <c r="N55" s="159">
        <f>'Raw Results'!N55</f>
        <v>0</v>
      </c>
      <c r="O55" s="159">
        <f>'Raw Results'!P55</f>
        <v>0</v>
      </c>
      <c r="P55" s="155"/>
      <c r="Q55" s="159">
        <f>'Raw Results'!AA55</f>
        <v>0</v>
      </c>
      <c r="R55" s="159">
        <f>'Raw Results'!AB55</f>
        <v>0</v>
      </c>
      <c r="S55" s="155"/>
      <c r="T55" s="159">
        <f>'Raw Results'!AD55</f>
        <v>0</v>
      </c>
      <c r="U55" s="159">
        <f>'Raw Results'!AF55</f>
        <v>0</v>
      </c>
      <c r="V55" s="155"/>
      <c r="W55" s="159">
        <f>'Raw Results'!AH55</f>
        <v>0</v>
      </c>
      <c r="X55" s="159">
        <f>'Raw Results'!AJ55</f>
        <v>0</v>
      </c>
      <c r="Y55" s="155"/>
      <c r="Z55" s="159">
        <f>'Raw Results'!AL55</f>
        <v>0</v>
      </c>
      <c r="AA55" s="159">
        <f>'Raw Results'!AN55</f>
        <v>0</v>
      </c>
      <c r="AB55" s="155"/>
      <c r="AC55" s="159">
        <f>'Raw Results'!AP55</f>
        <v>0</v>
      </c>
      <c r="AD55" s="159">
        <f>'Raw Results'!AR55</f>
        <v>0</v>
      </c>
      <c r="AE55" s="155"/>
      <c r="AF55" s="159">
        <f>'Raw Results'!AT55</f>
        <v>0</v>
      </c>
      <c r="AG55" s="159">
        <f>'Raw Results'!AV55</f>
        <v>0</v>
      </c>
      <c r="AH55" s="155"/>
      <c r="AK55" s="159">
        <f t="shared" si="9"/>
        <v>0</v>
      </c>
      <c r="AL55" s="159">
        <f t="shared" si="10"/>
        <v>0</v>
      </c>
      <c r="AM55" s="159">
        <f t="shared" si="11"/>
        <v>0</v>
      </c>
      <c r="AN55" s="159">
        <f t="shared" si="12"/>
        <v>0</v>
      </c>
      <c r="AO55" s="159">
        <f t="shared" si="13"/>
        <v>0</v>
      </c>
      <c r="AP55" s="159">
        <f t="shared" si="14"/>
        <v>0</v>
      </c>
    </row>
    <row r="56" spans="1:42">
      <c r="A56" t="s">
        <v>407</v>
      </c>
      <c r="B56">
        <v>0</v>
      </c>
      <c r="C56" t="s">
        <v>436</v>
      </c>
      <c r="D56" t="s">
        <v>437</v>
      </c>
      <c r="F56" t="s">
        <v>459</v>
      </c>
      <c r="G56" t="s">
        <v>426</v>
      </c>
      <c r="H56" s="159">
        <f>'Raw Results'!G56</f>
        <v>0</v>
      </c>
      <c r="I56" s="159">
        <f>'Raw Results'!H56</f>
        <v>0</v>
      </c>
      <c r="J56" s="155"/>
      <c r="K56" s="159">
        <f>'Raw Results'!J56</f>
        <v>0</v>
      </c>
      <c r="L56" s="159">
        <f>'Raw Results'!L56</f>
        <v>0</v>
      </c>
      <c r="M56" s="155"/>
      <c r="N56" s="159">
        <f>'Raw Results'!N56</f>
        <v>0</v>
      </c>
      <c r="O56" s="159">
        <f>'Raw Results'!P56</f>
        <v>0</v>
      </c>
      <c r="P56" s="155"/>
      <c r="Q56" s="159">
        <f>'Raw Results'!AA56</f>
        <v>0</v>
      </c>
      <c r="R56" s="159">
        <f>'Raw Results'!AB56</f>
        <v>0</v>
      </c>
      <c r="S56" s="155"/>
      <c r="T56" s="159">
        <f>'Raw Results'!AD56</f>
        <v>0</v>
      </c>
      <c r="U56" s="159">
        <f>'Raw Results'!AF56</f>
        <v>0</v>
      </c>
      <c r="V56" s="155"/>
      <c r="W56" s="159">
        <f>'Raw Results'!AH56</f>
        <v>0</v>
      </c>
      <c r="X56" s="159">
        <f>'Raw Results'!AJ56</f>
        <v>0</v>
      </c>
      <c r="Y56" s="155"/>
      <c r="Z56" s="159">
        <f>'Raw Results'!AL56</f>
        <v>0</v>
      </c>
      <c r="AA56" s="159">
        <f>'Raw Results'!AN56</f>
        <v>0</v>
      </c>
      <c r="AB56" s="155"/>
      <c r="AC56" s="159">
        <f>'Raw Results'!AP56</f>
        <v>0</v>
      </c>
      <c r="AD56" s="159">
        <f>'Raw Results'!AR56</f>
        <v>0</v>
      </c>
      <c r="AE56" s="155"/>
      <c r="AF56" s="159">
        <f>'Raw Results'!AT56</f>
        <v>0</v>
      </c>
      <c r="AG56" s="159">
        <f>'Raw Results'!AV56</f>
        <v>0</v>
      </c>
      <c r="AH56" s="155"/>
      <c r="AK56" s="159">
        <f t="shared" si="9"/>
        <v>0</v>
      </c>
      <c r="AL56" s="159">
        <f t="shared" si="10"/>
        <v>0</v>
      </c>
      <c r="AM56" s="159">
        <f t="shared" si="11"/>
        <v>0</v>
      </c>
      <c r="AN56" s="159">
        <f t="shared" si="12"/>
        <v>0</v>
      </c>
      <c r="AO56" s="159">
        <f t="shared" si="13"/>
        <v>0</v>
      </c>
      <c r="AP56" s="159">
        <f t="shared" si="14"/>
        <v>0</v>
      </c>
    </row>
    <row r="57" spans="1:42">
      <c r="A57" t="s">
        <v>407</v>
      </c>
      <c r="B57">
        <v>0</v>
      </c>
      <c r="C57" t="s">
        <v>436</v>
      </c>
      <c r="D57" t="s">
        <v>437</v>
      </c>
      <c r="F57" t="s">
        <v>460</v>
      </c>
      <c r="G57" t="s">
        <v>426</v>
      </c>
      <c r="H57" s="159">
        <f>'Raw Results'!G57</f>
        <v>503465.16</v>
      </c>
      <c r="I57" s="159">
        <f>'Raw Results'!H57</f>
        <v>533603.28</v>
      </c>
      <c r="J57" s="155">
        <f t="shared" si="0"/>
        <v>5.9861381470765633E-2</v>
      </c>
      <c r="K57" s="159">
        <f>'Raw Results'!J57</f>
        <v>1281100.04</v>
      </c>
      <c r="L57" s="159">
        <f>'Raw Results'!L57</f>
        <v>1599499.31</v>
      </c>
      <c r="M57" s="155">
        <f t="shared" si="1"/>
        <v>0.24853583643631766</v>
      </c>
      <c r="N57" s="159">
        <f>'Raw Results'!N57</f>
        <v>159846.39000000001</v>
      </c>
      <c r="O57" s="159">
        <f>'Raw Results'!P57</f>
        <v>164478.59</v>
      </c>
      <c r="P57" s="155">
        <f t="shared" si="2"/>
        <v>2.8979071720043111E-2</v>
      </c>
      <c r="Q57" s="159">
        <f>'Raw Results'!AA57</f>
        <v>775621.05</v>
      </c>
      <c r="R57" s="159">
        <f>'Raw Results'!AB57</f>
        <v>825057.65</v>
      </c>
      <c r="S57" s="155">
        <f t="shared" si="3"/>
        <v>6.3738084467924089E-2</v>
      </c>
      <c r="T57" s="159">
        <f>'Raw Results'!AD57</f>
        <v>1983753.71</v>
      </c>
      <c r="U57" s="159">
        <f>'Raw Results'!AF57</f>
        <v>2476787.52</v>
      </c>
      <c r="V57" s="155">
        <f t="shared" si="4"/>
        <v>0.24853579731931544</v>
      </c>
      <c r="W57" s="159">
        <f>'Raw Results'!AH57</f>
        <v>220748.81</v>
      </c>
      <c r="X57" s="159">
        <f>'Raw Results'!AJ57</f>
        <v>227147.51</v>
      </c>
      <c r="Y57" s="155">
        <f t="shared" si="5"/>
        <v>2.8986339722510902E-2</v>
      </c>
      <c r="Z57" s="159">
        <f>'Raw Results'!AL57</f>
        <v>18570068.289999999</v>
      </c>
      <c r="AA57" s="159">
        <f>'Raw Results'!AN57</f>
        <v>19766075.199999999</v>
      </c>
      <c r="AB57" s="155">
        <f t="shared" si="6"/>
        <v>6.4405089487153427E-2</v>
      </c>
      <c r="AC57" s="159">
        <f>'Raw Results'!AP57</f>
        <v>47537164.409999996</v>
      </c>
      <c r="AD57" s="159">
        <f>'Raw Results'!AR57</f>
        <v>59351738.130000003</v>
      </c>
      <c r="AE57" s="155">
        <f t="shared" si="7"/>
        <v>0.24853341310182719</v>
      </c>
      <c r="AF57" s="159">
        <f>'Raw Results'!AT57</f>
        <v>5739552.4500000002</v>
      </c>
      <c r="AG57" s="159">
        <f>'Raw Results'!AV57</f>
        <v>6015108.8600000003</v>
      </c>
      <c r="AH57" s="155">
        <f t="shared" si="8"/>
        <v>4.8010086570425915E-2</v>
      </c>
      <c r="AK57" s="159">
        <f t="shared" si="9"/>
        <v>1944411.5899999999</v>
      </c>
      <c r="AL57" s="159">
        <f t="shared" si="10"/>
        <v>2297581.1799999997</v>
      </c>
      <c r="AM57" s="159">
        <f t="shared" si="11"/>
        <v>2980123.57</v>
      </c>
      <c r="AN57" s="159">
        <f t="shared" si="12"/>
        <v>3528992.6799999997</v>
      </c>
      <c r="AO57" s="159">
        <f t="shared" si="13"/>
        <v>71846785.149999991</v>
      </c>
      <c r="AP57" s="159">
        <f t="shared" si="14"/>
        <v>85132922.189999998</v>
      </c>
    </row>
    <row r="58" spans="1:42">
      <c r="A58" t="s">
        <v>407</v>
      </c>
      <c r="B58">
        <v>0</v>
      </c>
      <c r="C58" t="s">
        <v>436</v>
      </c>
      <c r="D58" t="s">
        <v>437</v>
      </c>
      <c r="F58" t="s">
        <v>461</v>
      </c>
      <c r="G58" t="s">
        <v>426</v>
      </c>
      <c r="H58" s="159">
        <f>'Raw Results'!G58</f>
        <v>846268.59</v>
      </c>
      <c r="I58" s="159">
        <f>'Raw Results'!H58</f>
        <v>882659.08</v>
      </c>
      <c r="J58" s="155">
        <f t="shared" si="0"/>
        <v>4.3001111502909486E-2</v>
      </c>
      <c r="K58" s="159">
        <f>'Raw Results'!J58</f>
        <v>1914067.7</v>
      </c>
      <c r="L58" s="159">
        <f>'Raw Results'!L58</f>
        <v>2389775.7200000002</v>
      </c>
      <c r="M58" s="155">
        <f t="shared" si="1"/>
        <v>0.248532494435803</v>
      </c>
      <c r="N58" s="159">
        <f>'Raw Results'!N58</f>
        <v>270758.96999999997</v>
      </c>
      <c r="O58" s="159">
        <f>'Raw Results'!P58</f>
        <v>278602.89</v>
      </c>
      <c r="P58" s="155">
        <f t="shared" si="2"/>
        <v>2.8970120546698942E-2</v>
      </c>
      <c r="Q58" s="159">
        <f>'Raw Results'!AA58</f>
        <v>1284554.44</v>
      </c>
      <c r="R58" s="159">
        <f>'Raw Results'!AB58</f>
        <v>1343555.08</v>
      </c>
      <c r="S58" s="155">
        <f t="shared" si="3"/>
        <v>4.5930820962325376E-2</v>
      </c>
      <c r="T58" s="159">
        <f>'Raw Results'!AD58</f>
        <v>2915953.63</v>
      </c>
      <c r="U58" s="159">
        <f>'Raw Results'!AF58</f>
        <v>3640668.63</v>
      </c>
      <c r="V58" s="155">
        <f t="shared" si="4"/>
        <v>0.24853447343742568</v>
      </c>
      <c r="W58" s="159">
        <f>'Raw Results'!AH58</f>
        <v>366605.86</v>
      </c>
      <c r="X58" s="159">
        <f>'Raw Results'!AJ58</f>
        <v>377235.75</v>
      </c>
      <c r="Y58" s="155">
        <f t="shared" si="5"/>
        <v>2.8995417585523632E-2</v>
      </c>
      <c r="Z58" s="159">
        <f>'Raw Results'!AL58</f>
        <v>30675984.5</v>
      </c>
      <c r="AA58" s="159">
        <f>'Raw Results'!AN58</f>
        <v>32100586.77</v>
      </c>
      <c r="AB58" s="155">
        <f t="shared" si="6"/>
        <v>4.6440311312583936E-2</v>
      </c>
      <c r="AC58" s="159">
        <f>'Raw Results'!AP58</f>
        <v>69678908.400000006</v>
      </c>
      <c r="AD58" s="159">
        <f>'Raw Results'!AR58</f>
        <v>86996443.209999993</v>
      </c>
      <c r="AE58" s="155">
        <f t="shared" si="7"/>
        <v>0.24853338273594403</v>
      </c>
      <c r="AF58" s="159">
        <f>'Raw Results'!AT58</f>
        <v>8587025.6699999999</v>
      </c>
      <c r="AG58" s="159">
        <f>'Raw Results'!AV58</f>
        <v>8925383.6600000001</v>
      </c>
      <c r="AH58" s="155">
        <f t="shared" si="8"/>
        <v>3.9403397987047152E-2</v>
      </c>
      <c r="AK58" s="159">
        <f t="shared" si="9"/>
        <v>3031095.26</v>
      </c>
      <c r="AL58" s="159">
        <f t="shared" si="10"/>
        <v>3551037.6900000004</v>
      </c>
      <c r="AM58" s="159">
        <f t="shared" si="11"/>
        <v>4567113.9300000006</v>
      </c>
      <c r="AN58" s="159">
        <f t="shared" si="12"/>
        <v>5361459.46</v>
      </c>
      <c r="AO58" s="159">
        <f t="shared" si="13"/>
        <v>108941918.57000001</v>
      </c>
      <c r="AP58" s="159">
        <f t="shared" si="14"/>
        <v>128022413.63999999</v>
      </c>
    </row>
    <row r="59" spans="1:42">
      <c r="A59" t="s">
        <v>407</v>
      </c>
      <c r="B59">
        <v>0</v>
      </c>
      <c r="C59" t="s">
        <v>436</v>
      </c>
      <c r="D59" t="s">
        <v>437</v>
      </c>
      <c r="F59" t="s">
        <v>462</v>
      </c>
      <c r="G59" t="s">
        <v>463</v>
      </c>
      <c r="H59" s="159">
        <f>'Raw Results'!G59</f>
        <v>6936061.5599999996</v>
      </c>
      <c r="I59" s="159">
        <f>'Raw Results'!H59</f>
        <v>7906148.3600000003</v>
      </c>
      <c r="J59" s="155">
        <f t="shared" si="0"/>
        <v>0.13986133075785459</v>
      </c>
      <c r="K59" s="159">
        <f>'Raw Results'!J59</f>
        <v>16124545.859999999</v>
      </c>
      <c r="L59" s="159">
        <f>'Raw Results'!L59</f>
        <v>21069937.379999999</v>
      </c>
      <c r="M59" s="155">
        <f t="shared" si="1"/>
        <v>0.30669958477825926</v>
      </c>
      <c r="N59" s="159">
        <f>'Raw Results'!N59</f>
        <v>2423843.7000000002</v>
      </c>
      <c r="O59" s="159">
        <f>'Raw Results'!P59</f>
        <v>2694504.97</v>
      </c>
      <c r="P59" s="155">
        <f t="shared" si="2"/>
        <v>0.11166614002379774</v>
      </c>
      <c r="Q59" s="159">
        <f>'Raw Results'!AA59</f>
        <v>11320563.109999999</v>
      </c>
      <c r="R59" s="159">
        <f>'Raw Results'!AB59</f>
        <v>13059827.970000001</v>
      </c>
      <c r="S59" s="155">
        <f t="shared" si="3"/>
        <v>0.15363766299431031</v>
      </c>
      <c r="T59" s="159">
        <f>'Raw Results'!AD59</f>
        <v>26743245</v>
      </c>
      <c r="U59" s="159">
        <f>'Raw Results'!AF59</f>
        <v>35370746.799999997</v>
      </c>
      <c r="V59" s="155">
        <f t="shared" si="4"/>
        <v>0.32260489704970347</v>
      </c>
      <c r="W59" s="159">
        <f>'Raw Results'!AH59</f>
        <v>4214731.66</v>
      </c>
      <c r="X59" s="159">
        <f>'Raw Results'!AJ59</f>
        <v>4735152.0599999996</v>
      </c>
      <c r="Y59" s="155">
        <f t="shared" si="5"/>
        <v>0.12347652044827913</v>
      </c>
      <c r="Z59" s="159">
        <f>'Raw Results'!AL59</f>
        <v>261825029.94999999</v>
      </c>
      <c r="AA59" s="159">
        <f>'Raw Results'!AN59</f>
        <v>309482296.16000003</v>
      </c>
      <c r="AB59" s="155">
        <f t="shared" si="6"/>
        <v>0.18201951974989181</v>
      </c>
      <c r="AC59" s="159">
        <f>'Raw Results'!AP59</f>
        <v>634083340.10000002</v>
      </c>
      <c r="AD59" s="159">
        <f>'Raw Results'!AR59</f>
        <v>863635819.57000005</v>
      </c>
      <c r="AE59" s="155">
        <f t="shared" si="7"/>
        <v>0.36202256856929527</v>
      </c>
      <c r="AF59" s="159">
        <f>'Raw Results'!AT59</f>
        <v>97374808.810000002</v>
      </c>
      <c r="AG59" s="159">
        <f>'Raw Results'!AV59</f>
        <v>113528425.84</v>
      </c>
      <c r="AH59" s="155">
        <f t="shared" si="8"/>
        <v>0.16589112961976968</v>
      </c>
      <c r="AK59" s="159">
        <f t="shared" si="9"/>
        <v>25484451.119999997</v>
      </c>
      <c r="AL59" s="159">
        <f t="shared" si="10"/>
        <v>31670590.709999997</v>
      </c>
      <c r="AM59" s="159">
        <f t="shared" si="11"/>
        <v>42278539.769999996</v>
      </c>
      <c r="AN59" s="159">
        <f t="shared" si="12"/>
        <v>53165726.829999998</v>
      </c>
      <c r="AO59" s="159">
        <f t="shared" si="13"/>
        <v>993283178.8599999</v>
      </c>
      <c r="AP59" s="159">
        <f t="shared" si="14"/>
        <v>1286646541.5699999</v>
      </c>
    </row>
    <row r="60" spans="1:42">
      <c r="A60" t="s">
        <v>407</v>
      </c>
      <c r="B60">
        <v>0</v>
      </c>
      <c r="C60" t="s">
        <v>436</v>
      </c>
      <c r="D60" t="s">
        <v>437</v>
      </c>
      <c r="F60" t="s">
        <v>433</v>
      </c>
      <c r="G60" t="s">
        <v>434</v>
      </c>
      <c r="H60" s="159">
        <f>'Raw Results'!G60</f>
        <v>4141875.92</v>
      </c>
      <c r="I60" s="159">
        <f>'Raw Results'!H60</f>
        <v>4719986.93</v>
      </c>
      <c r="J60" s="155">
        <f t="shared" si="0"/>
        <v>0.13957709529840281</v>
      </c>
      <c r="K60" s="159">
        <f>'Raw Results'!J60</f>
        <v>9669463.7400000002</v>
      </c>
      <c r="L60" s="159">
        <f>'Raw Results'!L60</f>
        <v>12640365.85</v>
      </c>
      <c r="M60" s="155">
        <f t="shared" si="1"/>
        <v>0.307245798720995</v>
      </c>
      <c r="N60" s="159">
        <f>'Raw Results'!N60</f>
        <v>1462237.34</v>
      </c>
      <c r="O60" s="159">
        <f>'Raw Results'!P60</f>
        <v>1627520.46</v>
      </c>
      <c r="P60" s="155">
        <f t="shared" si="2"/>
        <v>0.11303439973704944</v>
      </c>
      <c r="Q60" s="159">
        <f>'Raw Results'!AA60</f>
        <v>7262227.2199999997</v>
      </c>
      <c r="R60" s="159">
        <f>'Raw Results'!AB60</f>
        <v>8409276.6799999997</v>
      </c>
      <c r="S60" s="155">
        <f t="shared" si="3"/>
        <v>0.15794733836488251</v>
      </c>
      <c r="T60" s="159">
        <f>'Raw Results'!AD60</f>
        <v>17237260.940000001</v>
      </c>
      <c r="U60" s="159">
        <f>'Raw Results'!AF60</f>
        <v>22897120.43</v>
      </c>
      <c r="V60" s="155">
        <f t="shared" si="4"/>
        <v>0.32835028196771021</v>
      </c>
      <c r="W60" s="159">
        <f>'Raw Results'!AH60</f>
        <v>2730507.73</v>
      </c>
      <c r="X60" s="159">
        <f>'Raw Results'!AJ60</f>
        <v>3083348.87</v>
      </c>
      <c r="Y60" s="155">
        <f t="shared" si="5"/>
        <v>0.12922180593863403</v>
      </c>
      <c r="Z60" s="159">
        <f>'Raw Results'!AL60</f>
        <v>210658962.53999999</v>
      </c>
      <c r="AA60" s="159">
        <f>'Raw Results'!AN60</f>
        <v>246866331</v>
      </c>
      <c r="AB60" s="155">
        <f t="shared" si="6"/>
        <v>0.17187670547425649</v>
      </c>
      <c r="AC60" s="159">
        <f>'Raw Results'!AP60</f>
        <v>511363550.67000002</v>
      </c>
      <c r="AD60" s="159">
        <f>'Raw Results'!AR60</f>
        <v>691181527.83000004</v>
      </c>
      <c r="AE60" s="155">
        <f t="shared" si="7"/>
        <v>0.35164410315204997</v>
      </c>
      <c r="AF60" s="159">
        <f>'Raw Results'!AT60</f>
        <v>78897337.180000007</v>
      </c>
      <c r="AG60" s="159">
        <f>'Raw Results'!AV60</f>
        <v>91444823.680000007</v>
      </c>
      <c r="AH60" s="155">
        <f t="shared" si="8"/>
        <v>0.15903561448941664</v>
      </c>
      <c r="AK60" s="159">
        <f t="shared" si="9"/>
        <v>15273577</v>
      </c>
      <c r="AL60" s="159">
        <f t="shared" si="10"/>
        <v>18987873.240000002</v>
      </c>
      <c r="AM60" s="159">
        <f t="shared" si="11"/>
        <v>27229995.890000001</v>
      </c>
      <c r="AN60" s="159">
        <f t="shared" si="12"/>
        <v>34389745.979999997</v>
      </c>
      <c r="AO60" s="159">
        <f t="shared" si="13"/>
        <v>800919850.3900001</v>
      </c>
      <c r="AP60" s="159">
        <f t="shared" si="14"/>
        <v>1029492682.51</v>
      </c>
    </row>
    <row r="61" spans="1:42">
      <c r="A61" t="s">
        <v>407</v>
      </c>
      <c r="B61">
        <v>0</v>
      </c>
      <c r="C61" t="s">
        <v>436</v>
      </c>
      <c r="D61" t="s">
        <v>437</v>
      </c>
      <c r="F61" t="s">
        <v>464</v>
      </c>
      <c r="G61" t="s">
        <v>434</v>
      </c>
      <c r="H61" s="159">
        <f>'Raw Results'!G61</f>
        <v>2805914.49</v>
      </c>
      <c r="I61" s="159">
        <f>'Raw Results'!H61</f>
        <v>3332824.19</v>
      </c>
      <c r="J61" s="155">
        <f t="shared" si="0"/>
        <v>0.18778537331691803</v>
      </c>
      <c r="K61" s="159">
        <f>'Raw Results'!J61</f>
        <v>6667424.0999999996</v>
      </c>
      <c r="L61" s="159">
        <f>'Raw Results'!L61</f>
        <v>8958611.6199999992</v>
      </c>
      <c r="M61" s="155">
        <f t="shared" si="1"/>
        <v>0.34363908544530708</v>
      </c>
      <c r="N61" s="159">
        <f>'Raw Results'!N61</f>
        <v>1073458.9099999999</v>
      </c>
      <c r="O61" s="159">
        <f>'Raw Results'!P61</f>
        <v>1234127.3400000001</v>
      </c>
      <c r="P61" s="155">
        <f t="shared" si="2"/>
        <v>0.14967357250777319</v>
      </c>
      <c r="Q61" s="159">
        <f>'Raw Results'!AA61</f>
        <v>5010470.84</v>
      </c>
      <c r="R61" s="159">
        <f>'Raw Results'!AB61</f>
        <v>6060730.6399999997</v>
      </c>
      <c r="S61" s="155">
        <f t="shared" si="3"/>
        <v>0.20961299517312426</v>
      </c>
      <c r="T61" s="159">
        <f>'Raw Results'!AD61</f>
        <v>12165463.6</v>
      </c>
      <c r="U61" s="159">
        <f>'Raw Results'!AF61</f>
        <v>16672196.27</v>
      </c>
      <c r="V61" s="155">
        <f t="shared" si="4"/>
        <v>0.37045301504169559</v>
      </c>
      <c r="W61" s="159">
        <f>'Raw Results'!AH61</f>
        <v>2096945.02</v>
      </c>
      <c r="X61" s="159">
        <f>'Raw Results'!AJ61</f>
        <v>2443458.7599999998</v>
      </c>
      <c r="Y61" s="155">
        <f t="shared" si="5"/>
        <v>0.16524693623106998</v>
      </c>
      <c r="Z61" s="159">
        <f>'Raw Results'!AL61</f>
        <v>145627669.66999999</v>
      </c>
      <c r="AA61" s="159">
        <f>'Raw Results'!AN61</f>
        <v>178987275.80000001</v>
      </c>
      <c r="AB61" s="155">
        <f t="shared" si="6"/>
        <v>0.22907464086732046</v>
      </c>
      <c r="AC61" s="159">
        <f>'Raw Results'!AP61</f>
        <v>364940708.92000002</v>
      </c>
      <c r="AD61" s="159">
        <f>'Raw Results'!AR61</f>
        <v>511547826.36000001</v>
      </c>
      <c r="AE61" s="155">
        <f t="shared" si="7"/>
        <v>0.40172859277296541</v>
      </c>
      <c r="AF61" s="159">
        <f>'Raw Results'!AT61</f>
        <v>60855773.659999996</v>
      </c>
      <c r="AG61" s="159">
        <f>'Raw Results'!AV61</f>
        <v>73103501.799999997</v>
      </c>
      <c r="AH61" s="155">
        <f t="shared" si="8"/>
        <v>0.20125827679765959</v>
      </c>
      <c r="AK61" s="159">
        <f t="shared" si="9"/>
        <v>10546797.5</v>
      </c>
      <c r="AL61" s="159">
        <f t="shared" si="10"/>
        <v>13525563.149999999</v>
      </c>
      <c r="AM61" s="159">
        <f t="shared" si="11"/>
        <v>19272879.459999997</v>
      </c>
      <c r="AN61" s="159">
        <f t="shared" si="12"/>
        <v>25176385.670000002</v>
      </c>
      <c r="AO61" s="159">
        <f t="shared" si="13"/>
        <v>571424152.25</v>
      </c>
      <c r="AP61" s="159">
        <f t="shared" si="14"/>
        <v>763638603.96000004</v>
      </c>
    </row>
    <row r="62" spans="1:42">
      <c r="A62" t="s">
        <v>407</v>
      </c>
      <c r="B62">
        <v>0</v>
      </c>
      <c r="C62" t="s">
        <v>436</v>
      </c>
      <c r="D62" t="s">
        <v>437</v>
      </c>
      <c r="F62" t="s">
        <v>465</v>
      </c>
      <c r="G62" t="s">
        <v>434</v>
      </c>
      <c r="H62" s="159">
        <f>'Raw Results'!G62</f>
        <v>53812.99</v>
      </c>
      <c r="I62" s="159">
        <f>'Raw Results'!H62</f>
        <v>58454.73</v>
      </c>
      <c r="J62" s="155">
        <f t="shared" si="0"/>
        <v>8.6256868462428971E-2</v>
      </c>
      <c r="K62" s="159">
        <f>'Raw Results'!J62</f>
        <v>143530.21</v>
      </c>
      <c r="L62" s="159">
        <f>'Raw Results'!L62</f>
        <v>171258.83</v>
      </c>
      <c r="M62" s="155">
        <f t="shared" si="1"/>
        <v>0.19319013049587258</v>
      </c>
      <c r="N62" s="159">
        <f>'Raw Results'!N62</f>
        <v>12101.04</v>
      </c>
      <c r="O62" s="159">
        <f>'Raw Results'!P62</f>
        <v>11902.78</v>
      </c>
      <c r="P62" s="155">
        <f t="shared" si="2"/>
        <v>-1.6383715779800762E-2</v>
      </c>
      <c r="Q62" s="159">
        <f>'Raw Results'!AA62</f>
        <v>88407.8</v>
      </c>
      <c r="R62" s="159">
        <f>'Raw Results'!AB62</f>
        <v>96501.32</v>
      </c>
      <c r="S62" s="155">
        <f t="shared" si="3"/>
        <v>9.154757838109312E-2</v>
      </c>
      <c r="T62" s="159">
        <f>'Raw Results'!AD62</f>
        <v>235868.65</v>
      </c>
      <c r="U62" s="159">
        <f>'Raw Results'!AF62</f>
        <v>282730.96999999997</v>
      </c>
      <c r="V62" s="155">
        <f t="shared" si="4"/>
        <v>0.19867973128264388</v>
      </c>
      <c r="W62" s="159">
        <f>'Raw Results'!AH62</f>
        <v>21725.82</v>
      </c>
      <c r="X62" s="159">
        <f>'Raw Results'!AJ62</f>
        <v>21455.09</v>
      </c>
      <c r="Y62" s="155">
        <f t="shared" si="5"/>
        <v>-1.2461209749505407E-2</v>
      </c>
      <c r="Z62" s="159">
        <f>'Raw Results'!AL62</f>
        <v>2572026.16</v>
      </c>
      <c r="AA62" s="159">
        <f>'Raw Results'!AN62</f>
        <v>2838311.81</v>
      </c>
      <c r="AB62" s="155">
        <f t="shared" si="6"/>
        <v>0.10353147030199719</v>
      </c>
      <c r="AC62" s="159">
        <f>'Raw Results'!AP62</f>
        <v>6862019.9000000004</v>
      </c>
      <c r="AD62" s="159">
        <f>'Raw Results'!AR62</f>
        <v>8314993.5800000001</v>
      </c>
      <c r="AE62" s="155">
        <f t="shared" si="7"/>
        <v>0.21174139701926536</v>
      </c>
      <c r="AF62" s="159">
        <f>'Raw Results'!AT62</f>
        <v>631732.85</v>
      </c>
      <c r="AG62" s="159">
        <f>'Raw Results'!AV62</f>
        <v>630942.4</v>
      </c>
      <c r="AH62" s="155">
        <f t="shared" si="8"/>
        <v>-1.2512409319856543E-3</v>
      </c>
      <c r="AK62" s="159">
        <f t="shared" si="9"/>
        <v>209444.24</v>
      </c>
      <c r="AL62" s="159">
        <f t="shared" si="10"/>
        <v>241616.34</v>
      </c>
      <c r="AM62" s="159">
        <f t="shared" si="11"/>
        <v>346002.27</v>
      </c>
      <c r="AN62" s="159">
        <f t="shared" si="12"/>
        <v>400687.38</v>
      </c>
      <c r="AO62" s="159">
        <f t="shared" si="13"/>
        <v>10065778.91</v>
      </c>
      <c r="AP62" s="159">
        <f t="shared" si="14"/>
        <v>11784247.790000001</v>
      </c>
    </row>
    <row r="63" spans="1:42">
      <c r="A63" t="s">
        <v>407</v>
      </c>
      <c r="B63">
        <v>0</v>
      </c>
      <c r="C63" t="s">
        <v>436</v>
      </c>
      <c r="D63" t="s">
        <v>437</v>
      </c>
      <c r="F63" t="s">
        <v>466</v>
      </c>
      <c r="G63" t="s">
        <v>434</v>
      </c>
      <c r="H63" s="159">
        <f>'Raw Results'!G63</f>
        <v>0</v>
      </c>
      <c r="I63" s="159">
        <f>'Raw Results'!H63</f>
        <v>0</v>
      </c>
      <c r="J63" s="155"/>
      <c r="K63" s="159">
        <f>'Raw Results'!J63</f>
        <v>0</v>
      </c>
      <c r="L63" s="159">
        <f>'Raw Results'!L63</f>
        <v>0</v>
      </c>
      <c r="M63" s="155"/>
      <c r="N63" s="159">
        <f>'Raw Results'!N63</f>
        <v>0</v>
      </c>
      <c r="O63" s="159">
        <f>'Raw Results'!P63</f>
        <v>0</v>
      </c>
      <c r="P63" s="155"/>
      <c r="Q63" s="159">
        <f>'Raw Results'!AA63</f>
        <v>0</v>
      </c>
      <c r="R63" s="159">
        <f>'Raw Results'!AB63</f>
        <v>0</v>
      </c>
      <c r="S63" s="155"/>
      <c r="T63" s="159">
        <f>'Raw Results'!AD63</f>
        <v>0</v>
      </c>
      <c r="U63" s="159">
        <f>'Raw Results'!AF63</f>
        <v>0</v>
      </c>
      <c r="V63" s="155"/>
      <c r="W63" s="159">
        <f>'Raw Results'!AH63</f>
        <v>0</v>
      </c>
      <c r="X63" s="159">
        <f>'Raw Results'!AJ63</f>
        <v>0</v>
      </c>
      <c r="Y63" s="155"/>
      <c r="Z63" s="159">
        <f>'Raw Results'!AL63</f>
        <v>0</v>
      </c>
      <c r="AA63" s="159">
        <f>'Raw Results'!AN63</f>
        <v>0</v>
      </c>
      <c r="AB63" s="155"/>
      <c r="AC63" s="159">
        <f>'Raw Results'!AP63</f>
        <v>0</v>
      </c>
      <c r="AD63" s="159">
        <f>'Raw Results'!AR63</f>
        <v>0</v>
      </c>
      <c r="AE63" s="155"/>
      <c r="AF63" s="159">
        <f>'Raw Results'!AT63</f>
        <v>0</v>
      </c>
      <c r="AG63" s="159">
        <f>'Raw Results'!AV63</f>
        <v>0</v>
      </c>
      <c r="AH63" s="155"/>
      <c r="AK63" s="159">
        <f t="shared" si="9"/>
        <v>0</v>
      </c>
      <c r="AL63" s="159">
        <f t="shared" si="10"/>
        <v>0</v>
      </c>
      <c r="AM63" s="159">
        <f t="shared" si="11"/>
        <v>0</v>
      </c>
      <c r="AN63" s="159">
        <f t="shared" si="12"/>
        <v>0</v>
      </c>
      <c r="AO63" s="159">
        <f t="shared" si="13"/>
        <v>0</v>
      </c>
      <c r="AP63" s="159">
        <f t="shared" si="14"/>
        <v>0</v>
      </c>
    </row>
    <row r="64" spans="1:42">
      <c r="A64" t="s">
        <v>407</v>
      </c>
      <c r="B64">
        <v>0</v>
      </c>
      <c r="C64" t="s">
        <v>436</v>
      </c>
      <c r="D64" t="s">
        <v>437</v>
      </c>
      <c r="F64" t="s">
        <v>467</v>
      </c>
      <c r="G64" t="s">
        <v>434</v>
      </c>
      <c r="H64" s="159">
        <f>'Raw Results'!G64</f>
        <v>0</v>
      </c>
      <c r="I64" s="159">
        <f>'Raw Results'!H64</f>
        <v>0</v>
      </c>
      <c r="J64" s="155"/>
      <c r="K64" s="159">
        <f>'Raw Results'!J64</f>
        <v>0</v>
      </c>
      <c r="L64" s="159">
        <f>'Raw Results'!L64</f>
        <v>0</v>
      </c>
      <c r="M64" s="155"/>
      <c r="N64" s="159">
        <f>'Raw Results'!N64</f>
        <v>0</v>
      </c>
      <c r="O64" s="159">
        <f>'Raw Results'!P64</f>
        <v>0</v>
      </c>
      <c r="P64" s="155"/>
      <c r="Q64" s="159">
        <f>'Raw Results'!AA64</f>
        <v>0</v>
      </c>
      <c r="R64" s="159">
        <f>'Raw Results'!AB64</f>
        <v>0</v>
      </c>
      <c r="S64" s="155"/>
      <c r="T64" s="159">
        <f>'Raw Results'!AD64</f>
        <v>0</v>
      </c>
      <c r="U64" s="159">
        <f>'Raw Results'!AF64</f>
        <v>0</v>
      </c>
      <c r="V64" s="155"/>
      <c r="W64" s="159">
        <f>'Raw Results'!AH64</f>
        <v>0</v>
      </c>
      <c r="X64" s="159">
        <f>'Raw Results'!AJ64</f>
        <v>0</v>
      </c>
      <c r="Y64" s="155"/>
      <c r="Z64" s="159">
        <f>'Raw Results'!AL64</f>
        <v>0</v>
      </c>
      <c r="AA64" s="159">
        <f>'Raw Results'!AN64</f>
        <v>0</v>
      </c>
      <c r="AB64" s="155"/>
      <c r="AC64" s="159">
        <f>'Raw Results'!AP64</f>
        <v>0</v>
      </c>
      <c r="AD64" s="159">
        <f>'Raw Results'!AR64</f>
        <v>0</v>
      </c>
      <c r="AE64" s="155"/>
      <c r="AF64" s="159">
        <f>'Raw Results'!AT64</f>
        <v>0</v>
      </c>
      <c r="AG64" s="159">
        <f>'Raw Results'!AV64</f>
        <v>0</v>
      </c>
      <c r="AH64" s="155"/>
      <c r="AK64" s="159">
        <f t="shared" si="9"/>
        <v>0</v>
      </c>
      <c r="AL64" s="159">
        <f t="shared" si="10"/>
        <v>0</v>
      </c>
      <c r="AM64" s="159">
        <f t="shared" si="11"/>
        <v>0</v>
      </c>
      <c r="AN64" s="159">
        <f t="shared" si="12"/>
        <v>0</v>
      </c>
      <c r="AO64" s="159">
        <f t="shared" si="13"/>
        <v>0</v>
      </c>
      <c r="AP64" s="159">
        <f t="shared" si="14"/>
        <v>0</v>
      </c>
    </row>
    <row r="65" spans="1:42">
      <c r="A65" t="s">
        <v>407</v>
      </c>
      <c r="B65">
        <v>0</v>
      </c>
      <c r="C65" t="s">
        <v>436</v>
      </c>
      <c r="D65" t="s">
        <v>437</v>
      </c>
      <c r="F65" t="s">
        <v>468</v>
      </c>
      <c r="G65" t="s">
        <v>434</v>
      </c>
      <c r="H65" s="159">
        <f>'Raw Results'!G65</f>
        <v>301578.94</v>
      </c>
      <c r="I65" s="159">
        <f>'Raw Results'!H65</f>
        <v>319726.53999999998</v>
      </c>
      <c r="J65" s="155">
        <f t="shared" si="0"/>
        <v>6.0175289428366502E-2</v>
      </c>
      <c r="K65" s="159">
        <f>'Raw Results'!J65</f>
        <v>767657.58</v>
      </c>
      <c r="L65" s="159">
        <f>'Raw Results'!L65</f>
        <v>958447</v>
      </c>
      <c r="M65" s="155">
        <f t="shared" si="1"/>
        <v>0.24853453541095766</v>
      </c>
      <c r="N65" s="159">
        <f>'Raw Results'!N65</f>
        <v>95796.86</v>
      </c>
      <c r="O65" s="159">
        <f>'Raw Results'!P65</f>
        <v>98572.97</v>
      </c>
      <c r="P65" s="155">
        <f t="shared" si="2"/>
        <v>2.8979133554064306E-2</v>
      </c>
      <c r="Q65" s="159">
        <f>'Raw Results'!AA65</f>
        <v>503686.54</v>
      </c>
      <c r="R65" s="159">
        <f>'Raw Results'!AB65</f>
        <v>535998.18000000005</v>
      </c>
      <c r="S65" s="155">
        <f t="shared" si="3"/>
        <v>6.4150294744822992E-2</v>
      </c>
      <c r="T65" s="159">
        <f>'Raw Results'!AD65</f>
        <v>1288545.08</v>
      </c>
      <c r="U65" s="159">
        <f>'Raw Results'!AF65</f>
        <v>1608794.66</v>
      </c>
      <c r="V65" s="155">
        <f t="shared" si="4"/>
        <v>0.24853579821980293</v>
      </c>
      <c r="W65" s="159">
        <f>'Raw Results'!AH65</f>
        <v>143387.73000000001</v>
      </c>
      <c r="X65" s="159">
        <f>'Raw Results'!AJ65</f>
        <v>147544.01</v>
      </c>
      <c r="Y65" s="155">
        <f t="shared" si="5"/>
        <v>2.8986301687041135E-2</v>
      </c>
      <c r="Z65" s="159">
        <f>'Raw Results'!AL65</f>
        <v>14490543.880000001</v>
      </c>
      <c r="AA65" s="159">
        <f>'Raw Results'!AN65</f>
        <v>15255645.539999999</v>
      </c>
      <c r="AB65" s="155">
        <f t="shared" si="6"/>
        <v>5.2800065086307739E-2</v>
      </c>
      <c r="AC65" s="159">
        <f>'Raw Results'!AP65</f>
        <v>37082257.270000003</v>
      </c>
      <c r="AD65" s="159">
        <f>'Raw Results'!AR65</f>
        <v>45797535.960000001</v>
      </c>
      <c r="AE65" s="155">
        <f t="shared" si="7"/>
        <v>0.2350255710309945</v>
      </c>
      <c r="AF65" s="159">
        <f>'Raw Results'!AT65</f>
        <v>4475986.62</v>
      </c>
      <c r="AG65" s="159">
        <f>'Raw Results'!AV65</f>
        <v>4641060.21</v>
      </c>
      <c r="AH65" s="155">
        <f t="shared" si="8"/>
        <v>3.6879822040218668E-2</v>
      </c>
      <c r="AK65" s="159">
        <f t="shared" si="9"/>
        <v>1165033.3800000001</v>
      </c>
      <c r="AL65" s="159">
        <f t="shared" si="10"/>
        <v>1376746.51</v>
      </c>
      <c r="AM65" s="159">
        <f t="shared" si="11"/>
        <v>1935619.35</v>
      </c>
      <c r="AN65" s="159">
        <f t="shared" si="12"/>
        <v>2292336.8499999996</v>
      </c>
      <c r="AO65" s="159">
        <f t="shared" si="13"/>
        <v>56048787.770000003</v>
      </c>
      <c r="AP65" s="159">
        <f t="shared" si="14"/>
        <v>65694241.710000001</v>
      </c>
    </row>
    <row r="66" spans="1:42">
      <c r="A66" t="s">
        <v>407</v>
      </c>
      <c r="B66">
        <v>0</v>
      </c>
      <c r="C66" t="s">
        <v>436</v>
      </c>
      <c r="D66" t="s">
        <v>437</v>
      </c>
      <c r="F66" t="s">
        <v>469</v>
      </c>
      <c r="G66" t="s">
        <v>434</v>
      </c>
      <c r="H66" s="159">
        <f>'Raw Results'!G66</f>
        <v>506916.56</v>
      </c>
      <c r="I66" s="159">
        <f>'Raw Results'!H66</f>
        <v>528883.01</v>
      </c>
      <c r="J66" s="155">
        <f t="shared" si="0"/>
        <v>4.333346300621943E-2</v>
      </c>
      <c r="K66" s="159">
        <f>'Raw Results'!J66</f>
        <v>1146954.28</v>
      </c>
      <c r="L66" s="159">
        <f>'Raw Results'!L66</f>
        <v>1432009.68</v>
      </c>
      <c r="M66" s="155">
        <f t="shared" si="1"/>
        <v>0.24853248727577867</v>
      </c>
      <c r="N66" s="159">
        <f>'Raw Results'!N66</f>
        <v>162195.45000000001</v>
      </c>
      <c r="O66" s="159">
        <f>'Raw Results'!P66</f>
        <v>166894.28</v>
      </c>
      <c r="P66" s="155">
        <f t="shared" si="2"/>
        <v>2.8970171481382413E-2</v>
      </c>
      <c r="Q66" s="159">
        <f>'Raw Results'!AA66</f>
        <v>833615.58</v>
      </c>
      <c r="R66" s="159">
        <f>'Raw Results'!AB66</f>
        <v>872168.42</v>
      </c>
      <c r="S66" s="155">
        <f t="shared" si="3"/>
        <v>4.6247744074073192E-2</v>
      </c>
      <c r="T66" s="159">
        <f>'Raw Results'!AD66</f>
        <v>1892667.81</v>
      </c>
      <c r="U66" s="159">
        <f>'Raw Results'!AF66</f>
        <v>2363061.0099999998</v>
      </c>
      <c r="V66" s="155">
        <f t="shared" si="4"/>
        <v>0.24853447473172785</v>
      </c>
      <c r="W66" s="159">
        <f>'Raw Results'!AH66</f>
        <v>237958.43</v>
      </c>
      <c r="X66" s="159">
        <f>'Raw Results'!AJ66</f>
        <v>244858.13</v>
      </c>
      <c r="Y66" s="155">
        <f t="shared" si="5"/>
        <v>2.8995400583202754E-2</v>
      </c>
      <c r="Z66" s="159">
        <f>'Raw Results'!AL66</f>
        <v>23901281.84</v>
      </c>
      <c r="AA66" s="159">
        <f>'Raw Results'!AN66</f>
        <v>24750074.09</v>
      </c>
      <c r="AB66" s="155">
        <f t="shared" si="6"/>
        <v>3.5512415429514887E-2</v>
      </c>
      <c r="AC66" s="159">
        <f>'Raw Results'!AP66</f>
        <v>54264263.409999996</v>
      </c>
      <c r="AD66" s="159">
        <f>'Raw Results'!AR66</f>
        <v>67063156.130000003</v>
      </c>
      <c r="AE66" s="155">
        <f t="shared" si="7"/>
        <v>0.23586227685975342</v>
      </c>
      <c r="AF66" s="159">
        <f>'Raw Results'!AT66</f>
        <v>6684804.6900000004</v>
      </c>
      <c r="AG66" s="159">
        <f>'Raw Results'!AV66</f>
        <v>6879440.2699999996</v>
      </c>
      <c r="AH66" s="155">
        <f t="shared" si="8"/>
        <v>2.9116120668590414E-2</v>
      </c>
      <c r="AK66" s="159">
        <f t="shared" si="9"/>
        <v>1816066.29</v>
      </c>
      <c r="AL66" s="159">
        <f t="shared" si="10"/>
        <v>2127786.9699999997</v>
      </c>
      <c r="AM66" s="159">
        <f t="shared" si="11"/>
        <v>2964241.8200000003</v>
      </c>
      <c r="AN66" s="159">
        <f t="shared" si="12"/>
        <v>3480087.5599999996</v>
      </c>
      <c r="AO66" s="159">
        <f t="shared" si="13"/>
        <v>84850349.939999998</v>
      </c>
      <c r="AP66" s="159">
        <f t="shared" si="14"/>
        <v>98692670.489999995</v>
      </c>
    </row>
    <row r="67" spans="1:42">
      <c r="A67" t="s">
        <v>407</v>
      </c>
      <c r="B67">
        <v>0</v>
      </c>
      <c r="C67" t="s">
        <v>436</v>
      </c>
      <c r="D67" t="s">
        <v>437</v>
      </c>
      <c r="F67" t="s">
        <v>470</v>
      </c>
      <c r="G67" t="s">
        <v>434</v>
      </c>
      <c r="H67" s="159">
        <f>'Raw Results'!G67</f>
        <v>431401.79</v>
      </c>
      <c r="I67" s="159">
        <f>'Raw Results'!H67</f>
        <v>433456.82</v>
      </c>
      <c r="J67" s="155">
        <f t="shared" ref="J67:J75" si="16">(I67-H67)/H67</f>
        <v>4.7636102761651217E-3</v>
      </c>
      <c r="K67" s="159">
        <f>'Raw Results'!J67</f>
        <v>831064.58</v>
      </c>
      <c r="L67" s="159">
        <f>'Raw Results'!L67</f>
        <v>985951.66</v>
      </c>
      <c r="M67" s="155">
        <f t="shared" ref="M67:M75" si="17">(L67-K67)/K67</f>
        <v>0.18637189422752209</v>
      </c>
      <c r="N67" s="159">
        <f>'Raw Results'!N67</f>
        <v>108877.48</v>
      </c>
      <c r="O67" s="159">
        <f>'Raw Results'!P67</f>
        <v>106416.23</v>
      </c>
      <c r="P67" s="155">
        <f t="shared" ref="P67:P75" si="18">(O67-N67)/N67</f>
        <v>-2.2605684848694147E-2</v>
      </c>
      <c r="Q67" s="159">
        <f>'Raw Results'!AA67</f>
        <v>754096.34</v>
      </c>
      <c r="R67" s="159">
        <f>'Raw Results'!AB67</f>
        <v>763897.5</v>
      </c>
      <c r="S67" s="155">
        <f t="shared" ref="S67:S75" si="19">(R67-Q67)/Q67</f>
        <v>1.2997225261695387E-2</v>
      </c>
      <c r="T67" s="159">
        <f>'Raw Results'!AD67</f>
        <v>1461730.34</v>
      </c>
      <c r="U67" s="159">
        <f>'Raw Results'!AF67</f>
        <v>1740189.48</v>
      </c>
      <c r="V67" s="155">
        <f t="shared" ref="V67:V75" si="20">(U67-T67)/T67</f>
        <v>0.19049966493819911</v>
      </c>
      <c r="W67" s="159">
        <f>'Raw Results'!AH67</f>
        <v>212057.22</v>
      </c>
      <c r="X67" s="159">
        <f>'Raw Results'!AJ67</f>
        <v>207927.74</v>
      </c>
      <c r="Y67" s="155">
        <f t="shared" ref="Y67:Y75" si="21">(X67-W67)/W67</f>
        <v>-1.9473423258118776E-2</v>
      </c>
      <c r="Z67" s="159">
        <f>'Raw Results'!AL67</f>
        <v>21976679.640000001</v>
      </c>
      <c r="AA67" s="159">
        <f>'Raw Results'!AN67</f>
        <v>22670047.030000001</v>
      </c>
      <c r="AB67" s="155">
        <f t="shared" ref="AB67:AB75" si="22">(AA67-Z67)/Z67</f>
        <v>3.155014321353599E-2</v>
      </c>
      <c r="AC67" s="159">
        <f>'Raw Results'!AP67</f>
        <v>42606271.549999997</v>
      </c>
      <c r="AD67" s="159">
        <f>'Raw Results'!AR67</f>
        <v>51652288.329999998</v>
      </c>
      <c r="AE67" s="155">
        <f t="shared" ref="AE67:AE75" si="23">(AD67-AC67)/AC67</f>
        <v>0.21231655460356755</v>
      </c>
      <c r="AF67" s="159">
        <f>'Raw Results'!AT67</f>
        <v>5704281.3899999997</v>
      </c>
      <c r="AG67" s="159">
        <f>'Raw Results'!AV67</f>
        <v>5649626.0300000003</v>
      </c>
      <c r="AH67" s="155">
        <f t="shared" ref="AH67:AH75" si="24">(AG67-AF67)/AF67</f>
        <v>-9.5814628106905865E-3</v>
      </c>
      <c r="AK67" s="159">
        <f t="shared" ref="AK67:AK75" si="25">SUM(H67,K67,N67)</f>
        <v>1371343.8499999999</v>
      </c>
      <c r="AL67" s="159">
        <f t="shared" ref="AL67:AL75" si="26">SUM(I67,L67,O67)</f>
        <v>1525824.71</v>
      </c>
      <c r="AM67" s="159">
        <f t="shared" ref="AM67:AM75" si="27">SUM(Q67,T67,W67)</f>
        <v>2427883.9000000004</v>
      </c>
      <c r="AN67" s="159">
        <f t="shared" ref="AN67:AN75" si="28">SUM(R67,U67,X67)</f>
        <v>2712014.7199999997</v>
      </c>
      <c r="AO67" s="159">
        <f t="shared" ref="AO67:AO75" si="29">SUM(Z67,AC67,AF67)</f>
        <v>70287232.579999998</v>
      </c>
      <c r="AP67" s="159">
        <f t="shared" ref="AP67:AP75" si="30">SUM(AA67,AD67,AG67)</f>
        <v>79971961.390000001</v>
      </c>
    </row>
    <row r="68" spans="1:42">
      <c r="A68" t="s">
        <v>407</v>
      </c>
      <c r="B68">
        <v>0</v>
      </c>
      <c r="C68" t="s">
        <v>436</v>
      </c>
      <c r="D68" t="s">
        <v>437</v>
      </c>
      <c r="F68" t="s">
        <v>471</v>
      </c>
      <c r="G68" t="s">
        <v>434</v>
      </c>
      <c r="H68" s="159">
        <f>'Raw Results'!G68</f>
        <v>42251.15</v>
      </c>
      <c r="I68" s="159">
        <f>'Raw Results'!H68</f>
        <v>46641.64</v>
      </c>
      <c r="J68" s="155">
        <f t="shared" si="16"/>
        <v>0.10391409464594449</v>
      </c>
      <c r="K68" s="159">
        <f>'Raw Results'!J68</f>
        <v>112832.99</v>
      </c>
      <c r="L68" s="159">
        <f>'Raw Results'!L68</f>
        <v>134086.04999999999</v>
      </c>
      <c r="M68" s="155">
        <f t="shared" si="17"/>
        <v>0.18835856428159869</v>
      </c>
      <c r="N68" s="159">
        <f>'Raw Results'!N68</f>
        <v>9807.59</v>
      </c>
      <c r="O68" s="159">
        <f>'Raw Results'!P68</f>
        <v>9606.86</v>
      </c>
      <c r="P68" s="155">
        <f t="shared" si="18"/>
        <v>-2.0466801732127827E-2</v>
      </c>
      <c r="Q68" s="159">
        <f>'Raw Results'!AA68</f>
        <v>71950.12</v>
      </c>
      <c r="R68" s="159">
        <f>'Raw Results'!AB68</f>
        <v>79980.62</v>
      </c>
      <c r="S68" s="155">
        <f t="shared" si="19"/>
        <v>0.1116120445664302</v>
      </c>
      <c r="T68" s="159">
        <f>'Raw Results'!AD68</f>
        <v>192985.46</v>
      </c>
      <c r="U68" s="159">
        <f>'Raw Results'!AF68</f>
        <v>230148.03</v>
      </c>
      <c r="V68" s="155">
        <f t="shared" si="20"/>
        <v>0.19256668352113163</v>
      </c>
      <c r="W68" s="159">
        <f>'Raw Results'!AH68</f>
        <v>18433.52</v>
      </c>
      <c r="X68" s="159">
        <f>'Raw Results'!AJ68</f>
        <v>18105.12</v>
      </c>
      <c r="Y68" s="155">
        <f t="shared" si="21"/>
        <v>-1.781537112824905E-2</v>
      </c>
      <c r="Z68" s="159">
        <f>'Raw Results'!AL68</f>
        <v>2090761.36</v>
      </c>
      <c r="AA68" s="159">
        <f>'Raw Results'!AN68</f>
        <v>2364977.73</v>
      </c>
      <c r="AB68" s="155">
        <f t="shared" si="22"/>
        <v>0.13115622626582302</v>
      </c>
      <c r="AC68" s="159">
        <f>'Raw Results'!AP68</f>
        <v>5608029.6200000001</v>
      </c>
      <c r="AD68" s="159">
        <f>'Raw Results'!AR68</f>
        <v>6805727.4800000004</v>
      </c>
      <c r="AE68" s="155">
        <f t="shared" si="23"/>
        <v>0.21356839053214563</v>
      </c>
      <c r="AF68" s="159">
        <f>'Raw Results'!AT68</f>
        <v>544757.97</v>
      </c>
      <c r="AG68" s="159">
        <f>'Raw Results'!AV68</f>
        <v>540252.98</v>
      </c>
      <c r="AH68" s="155">
        <f t="shared" si="24"/>
        <v>-8.2697092068244379E-3</v>
      </c>
      <c r="AK68" s="159">
        <f t="shared" si="25"/>
        <v>164891.73000000001</v>
      </c>
      <c r="AL68" s="159">
        <f t="shared" si="26"/>
        <v>190334.55</v>
      </c>
      <c r="AM68" s="159">
        <f t="shared" si="27"/>
        <v>283369.09999999998</v>
      </c>
      <c r="AN68" s="159">
        <f t="shared" si="28"/>
        <v>328233.77</v>
      </c>
      <c r="AO68" s="159">
        <f t="shared" si="29"/>
        <v>8243548.9500000002</v>
      </c>
      <c r="AP68" s="159">
        <f t="shared" si="30"/>
        <v>9710958.1900000013</v>
      </c>
    </row>
    <row r="69" spans="1:42">
      <c r="A69" t="s">
        <v>407</v>
      </c>
      <c r="B69">
        <v>0</v>
      </c>
      <c r="C69" t="s">
        <v>436</v>
      </c>
      <c r="D69" t="s">
        <v>437</v>
      </c>
      <c r="F69" t="s">
        <v>435</v>
      </c>
      <c r="G69" t="s">
        <v>421</v>
      </c>
      <c r="H69" s="159">
        <f>'Raw Results'!G69</f>
        <v>5.2</v>
      </c>
      <c r="I69" s="159">
        <f>'Raw Results'!H69</f>
        <v>4.3499999999999996</v>
      </c>
      <c r="J69" s="155">
        <f t="shared" si="16"/>
        <v>-0.16346153846153855</v>
      </c>
      <c r="K69" s="159">
        <f>'Raw Results'!J69</f>
        <v>12.07</v>
      </c>
      <c r="L69" s="159">
        <f>'Raw Results'!L69</f>
        <v>11.55</v>
      </c>
      <c r="M69" s="155">
        <f t="shared" si="17"/>
        <v>-4.3082021541010734E-2</v>
      </c>
      <c r="N69" s="159">
        <f>'Raw Results'!N69</f>
        <v>1.84</v>
      </c>
      <c r="O69" s="159">
        <f>'Raw Results'!P69</f>
        <v>1.49</v>
      </c>
      <c r="P69" s="155">
        <f t="shared" si="18"/>
        <v>-0.19021739130434787</v>
      </c>
      <c r="Q69" s="159">
        <f>'Raw Results'!AA69</f>
        <v>746.52</v>
      </c>
      <c r="R69" s="159">
        <f>'Raw Results'!AB69</f>
        <v>945.86</v>
      </c>
      <c r="S69" s="155">
        <f t="shared" si="19"/>
        <v>0.26702566575577352</v>
      </c>
      <c r="T69" s="159">
        <f>'Raw Results'!AD69</f>
        <v>1675.38</v>
      </c>
      <c r="U69" s="159">
        <f>'Raw Results'!AF69</f>
        <v>2434.56</v>
      </c>
      <c r="V69" s="155">
        <f t="shared" si="20"/>
        <v>0.45313898936360691</v>
      </c>
      <c r="W69" s="159">
        <f>'Raw Results'!AH69</f>
        <v>249.3</v>
      </c>
      <c r="X69" s="159">
        <f>'Raw Results'!AJ69</f>
        <v>309.3</v>
      </c>
      <c r="Y69" s="155">
        <f t="shared" si="21"/>
        <v>0.24067388688327315</v>
      </c>
      <c r="Z69" s="159">
        <f>'Raw Results'!AL69</f>
        <v>36362.69</v>
      </c>
      <c r="AA69" s="159">
        <f>'Raw Results'!AN69</f>
        <v>26909.8</v>
      </c>
      <c r="AB69" s="155">
        <f t="shared" si="22"/>
        <v>-0.25996124049128383</v>
      </c>
      <c r="AC69" s="159">
        <f>'Raw Results'!AP69</f>
        <v>83517.53</v>
      </c>
      <c r="AD69" s="159">
        <f>'Raw Results'!AR69</f>
        <v>71338.179999999993</v>
      </c>
      <c r="AE69" s="155">
        <f t="shared" si="23"/>
        <v>-0.14582986350290777</v>
      </c>
      <c r="AF69" s="159">
        <f>'Raw Results'!AT69</f>
        <v>11835.7</v>
      </c>
      <c r="AG69" s="159">
        <f>'Raw Results'!AV69</f>
        <v>8630.93</v>
      </c>
      <c r="AH69" s="155">
        <f t="shared" si="24"/>
        <v>-0.27077147950691555</v>
      </c>
      <c r="AK69" s="159">
        <f t="shared" si="25"/>
        <v>19.11</v>
      </c>
      <c r="AL69" s="159">
        <f t="shared" si="26"/>
        <v>17.39</v>
      </c>
      <c r="AM69" s="159">
        <f t="shared" si="27"/>
        <v>2671.2000000000003</v>
      </c>
      <c r="AN69" s="159">
        <f t="shared" si="28"/>
        <v>3689.7200000000003</v>
      </c>
      <c r="AO69" s="159">
        <f t="shared" si="29"/>
        <v>131715.92000000001</v>
      </c>
      <c r="AP69" s="159">
        <f t="shared" si="30"/>
        <v>106878.91</v>
      </c>
    </row>
    <row r="70" spans="1:42">
      <c r="A70" t="s">
        <v>407</v>
      </c>
      <c r="B70">
        <v>1</v>
      </c>
      <c r="C70" t="s">
        <v>472</v>
      </c>
      <c r="D70" t="s">
        <v>473</v>
      </c>
      <c r="F70" t="s">
        <v>474</v>
      </c>
      <c r="G70" t="s">
        <v>426</v>
      </c>
      <c r="H70" s="159">
        <f>'Raw Results'!G70</f>
        <v>0</v>
      </c>
      <c r="I70" s="159">
        <f>'Raw Results'!H70</f>
        <v>0</v>
      </c>
      <c r="J70" s="155"/>
      <c r="K70" s="159">
        <f>'Raw Results'!J70</f>
        <v>0</v>
      </c>
      <c r="L70" s="159">
        <f>'Raw Results'!L70</f>
        <v>0</v>
      </c>
      <c r="M70" s="155"/>
      <c r="N70" s="159">
        <f>'Raw Results'!N70</f>
        <v>0</v>
      </c>
      <c r="O70" s="159">
        <f>'Raw Results'!P70</f>
        <v>0</v>
      </c>
      <c r="P70" s="155"/>
      <c r="Q70" s="159">
        <f>'Raw Results'!AA70</f>
        <v>0</v>
      </c>
      <c r="R70" s="159">
        <f>'Raw Results'!AB70</f>
        <v>0</v>
      </c>
      <c r="S70" s="155"/>
      <c r="T70" s="159">
        <f>'Raw Results'!AD70</f>
        <v>0</v>
      </c>
      <c r="U70" s="159">
        <f>'Raw Results'!AF70</f>
        <v>0</v>
      </c>
      <c r="V70" s="155"/>
      <c r="W70" s="159">
        <f>'Raw Results'!AH70</f>
        <v>0</v>
      </c>
      <c r="X70" s="159">
        <f>'Raw Results'!AJ70</f>
        <v>0</v>
      </c>
      <c r="Y70" s="155"/>
      <c r="Z70" s="159">
        <f>'Raw Results'!AL70</f>
        <v>0</v>
      </c>
      <c r="AA70" s="159">
        <f>'Raw Results'!AN70</f>
        <v>0</v>
      </c>
      <c r="AB70" s="155"/>
      <c r="AC70" s="159">
        <f>'Raw Results'!AP70</f>
        <v>0</v>
      </c>
      <c r="AD70" s="159">
        <f>'Raw Results'!AR70</f>
        <v>0</v>
      </c>
      <c r="AE70" s="155"/>
      <c r="AF70" s="159">
        <f>'Raw Results'!AT70</f>
        <v>0</v>
      </c>
      <c r="AG70" s="159">
        <f>'Raw Results'!AV70</f>
        <v>0</v>
      </c>
      <c r="AH70" s="155"/>
      <c r="AK70" s="159">
        <f t="shared" si="25"/>
        <v>0</v>
      </c>
      <c r="AL70" s="159">
        <f t="shared" si="26"/>
        <v>0</v>
      </c>
      <c r="AM70" s="159">
        <f t="shared" si="27"/>
        <v>0</v>
      </c>
      <c r="AN70" s="159">
        <f t="shared" si="28"/>
        <v>0</v>
      </c>
      <c r="AO70" s="159">
        <f t="shared" si="29"/>
        <v>0</v>
      </c>
      <c r="AP70" s="159">
        <f t="shared" si="30"/>
        <v>0</v>
      </c>
    </row>
    <row r="71" spans="1:42">
      <c r="A71" t="s">
        <v>407</v>
      </c>
      <c r="B71">
        <v>1</v>
      </c>
      <c r="C71" t="s">
        <v>472</v>
      </c>
      <c r="D71" t="s">
        <v>473</v>
      </c>
      <c r="F71" t="s">
        <v>433</v>
      </c>
      <c r="G71" t="s">
        <v>434</v>
      </c>
      <c r="H71" s="159">
        <f>'Raw Results'!G71</f>
        <v>0</v>
      </c>
      <c r="I71" s="159">
        <f>'Raw Results'!H71</f>
        <v>0</v>
      </c>
      <c r="J71" s="155"/>
      <c r="K71" s="159">
        <f>'Raw Results'!J71</f>
        <v>0</v>
      </c>
      <c r="L71" s="159">
        <f>'Raw Results'!L71</f>
        <v>0</v>
      </c>
      <c r="M71" s="155"/>
      <c r="N71" s="159">
        <f>'Raw Results'!N71</f>
        <v>0</v>
      </c>
      <c r="O71" s="159">
        <f>'Raw Results'!P71</f>
        <v>0</v>
      </c>
      <c r="P71" s="155"/>
      <c r="Q71" s="159">
        <f>'Raw Results'!AA71</f>
        <v>0</v>
      </c>
      <c r="R71" s="159">
        <f>'Raw Results'!AB71</f>
        <v>0</v>
      </c>
      <c r="S71" s="155"/>
      <c r="T71" s="159">
        <f>'Raw Results'!AD71</f>
        <v>0</v>
      </c>
      <c r="U71" s="159">
        <f>'Raw Results'!AF71</f>
        <v>0</v>
      </c>
      <c r="V71" s="155"/>
      <c r="W71" s="159">
        <f>'Raw Results'!AH71</f>
        <v>0</v>
      </c>
      <c r="X71" s="159">
        <f>'Raw Results'!AJ71</f>
        <v>0</v>
      </c>
      <c r="Y71" s="155"/>
      <c r="Z71" s="159">
        <f>'Raw Results'!AL71</f>
        <v>0</v>
      </c>
      <c r="AA71" s="159">
        <f>'Raw Results'!AN71</f>
        <v>0</v>
      </c>
      <c r="AB71" s="155"/>
      <c r="AC71" s="159">
        <f>'Raw Results'!AP71</f>
        <v>0</v>
      </c>
      <c r="AD71" s="159">
        <f>'Raw Results'!AR71</f>
        <v>0</v>
      </c>
      <c r="AE71" s="155"/>
      <c r="AF71" s="159">
        <f>'Raw Results'!AT71</f>
        <v>0</v>
      </c>
      <c r="AG71" s="159">
        <f>'Raw Results'!AV71</f>
        <v>0</v>
      </c>
      <c r="AH71" s="155"/>
      <c r="AK71" s="159">
        <f t="shared" si="25"/>
        <v>0</v>
      </c>
      <c r="AL71" s="159">
        <f t="shared" si="26"/>
        <v>0</v>
      </c>
      <c r="AM71" s="159">
        <f t="shared" si="27"/>
        <v>0</v>
      </c>
      <c r="AN71" s="159">
        <f t="shared" si="28"/>
        <v>0</v>
      </c>
      <c r="AO71" s="159">
        <f t="shared" si="29"/>
        <v>0</v>
      </c>
      <c r="AP71" s="159">
        <f t="shared" si="30"/>
        <v>0</v>
      </c>
    </row>
    <row r="72" spans="1:42">
      <c r="A72" t="s">
        <v>407</v>
      </c>
      <c r="B72">
        <v>1</v>
      </c>
      <c r="C72" t="s">
        <v>472</v>
      </c>
      <c r="D72" t="s">
        <v>472</v>
      </c>
      <c r="F72" t="s">
        <v>425</v>
      </c>
      <c r="G72" t="s">
        <v>426</v>
      </c>
      <c r="H72" s="159">
        <f>'Raw Results'!G72</f>
        <v>2223336.21</v>
      </c>
      <c r="I72" s="159">
        <f>'Raw Results'!H72</f>
        <v>3411790.93</v>
      </c>
      <c r="J72" s="155">
        <f t="shared" si="16"/>
        <v>0.53453666371043373</v>
      </c>
      <c r="K72" s="159">
        <f>'Raw Results'!J72</f>
        <v>7127740.1600000001</v>
      </c>
      <c r="L72" s="159">
        <f>'Raw Results'!L72</f>
        <v>12013993.6</v>
      </c>
      <c r="M72" s="155">
        <f t="shared" si="17"/>
        <v>0.68552631413544673</v>
      </c>
      <c r="N72" s="159">
        <f>'Raw Results'!N72</f>
        <v>1538823.41</v>
      </c>
      <c r="O72" s="159">
        <f>'Raw Results'!P72</f>
        <v>2137599.0099999998</v>
      </c>
      <c r="P72" s="155">
        <f t="shared" si="18"/>
        <v>0.38911261429276012</v>
      </c>
      <c r="Q72" s="159">
        <f>'Raw Results'!AA72</f>
        <v>4312660.3499999996</v>
      </c>
      <c r="R72" s="159">
        <f>'Raw Results'!AB72</f>
        <v>6617950.04</v>
      </c>
      <c r="S72" s="155">
        <f t="shared" si="19"/>
        <v>0.53454005252233705</v>
      </c>
      <c r="T72" s="159">
        <f>'Raw Results'!AD72</f>
        <v>13825897.199999999</v>
      </c>
      <c r="U72" s="159">
        <f>'Raw Results'!AF72</f>
        <v>23303912.91</v>
      </c>
      <c r="V72" s="155">
        <f t="shared" si="20"/>
        <v>0.68552626805296957</v>
      </c>
      <c r="W72" s="159">
        <f>'Raw Results'!AH72</f>
        <v>2984885.08</v>
      </c>
      <c r="X72" s="159">
        <f>'Raw Results'!AJ72</f>
        <v>4146370.71</v>
      </c>
      <c r="Y72" s="155">
        <f t="shared" si="21"/>
        <v>0.38912239462163811</v>
      </c>
      <c r="Z72" s="159">
        <f>'Raw Results'!AL72</f>
        <v>105731730.33</v>
      </c>
      <c r="AA72" s="159">
        <f>'Raw Results'!AN72</f>
        <v>162249495.81999999</v>
      </c>
      <c r="AB72" s="155">
        <f t="shared" si="22"/>
        <v>0.53453930351467838</v>
      </c>
      <c r="AC72" s="159">
        <f>'Raw Results'!AP72</f>
        <v>338963643.20999998</v>
      </c>
      <c r="AD72" s="159">
        <f>'Raw Results'!AR72</f>
        <v>571331032.23000002</v>
      </c>
      <c r="AE72" s="155">
        <f t="shared" si="23"/>
        <v>0.68552304553807331</v>
      </c>
      <c r="AF72" s="159">
        <f>'Raw Results'!AT72</f>
        <v>73178561.780000001</v>
      </c>
      <c r="AG72" s="159">
        <f>'Raw Results'!AV72</f>
        <v>101654861.84999999</v>
      </c>
      <c r="AH72" s="155">
        <f t="shared" si="24"/>
        <v>0.38913445929163754</v>
      </c>
      <c r="AK72" s="159">
        <f t="shared" si="25"/>
        <v>10889899.780000001</v>
      </c>
      <c r="AL72" s="159">
        <f t="shared" si="26"/>
        <v>17563383.539999999</v>
      </c>
      <c r="AM72" s="159">
        <f t="shared" si="27"/>
        <v>21123442.629999995</v>
      </c>
      <c r="AN72" s="159">
        <f t="shared" si="28"/>
        <v>34068233.659999996</v>
      </c>
      <c r="AO72" s="159">
        <f t="shared" si="29"/>
        <v>517873935.31999993</v>
      </c>
      <c r="AP72" s="159">
        <f t="shared" si="30"/>
        <v>835235389.89999998</v>
      </c>
    </row>
    <row r="73" spans="1:42">
      <c r="A73" t="s">
        <v>407</v>
      </c>
      <c r="B73">
        <v>1</v>
      </c>
      <c r="C73" t="s">
        <v>472</v>
      </c>
      <c r="D73" t="s">
        <v>472</v>
      </c>
      <c r="F73" t="s">
        <v>457</v>
      </c>
      <c r="G73" t="s">
        <v>426</v>
      </c>
      <c r="H73" s="159">
        <f>'Raw Results'!G73</f>
        <v>69651.78</v>
      </c>
      <c r="I73" s="159">
        <f>'Raw Results'!H73</f>
        <v>79991.61</v>
      </c>
      <c r="J73" s="155">
        <f t="shared" si="16"/>
        <v>0.14845033393260018</v>
      </c>
      <c r="K73" s="159">
        <f>'Raw Results'!J73</f>
        <v>183806.57</v>
      </c>
      <c r="L73" s="159">
        <f>'Raw Results'!L73</f>
        <v>229489.27</v>
      </c>
      <c r="M73" s="155">
        <f t="shared" si="17"/>
        <v>0.2485368178079814</v>
      </c>
      <c r="N73" s="159">
        <f>'Raw Results'!N73</f>
        <v>23096.560000000001</v>
      </c>
      <c r="O73" s="159">
        <f>'Raw Results'!P73</f>
        <v>23765.919999999998</v>
      </c>
      <c r="P73" s="155">
        <f t="shared" si="18"/>
        <v>2.8980939152843405E-2</v>
      </c>
      <c r="Q73" s="159">
        <f>'Raw Results'!AA73</f>
        <v>135105.29999999999</v>
      </c>
      <c r="R73" s="159">
        <f>'Raw Results'!AB73</f>
        <v>155162.09</v>
      </c>
      <c r="S73" s="155">
        <f t="shared" si="19"/>
        <v>0.14845302145807759</v>
      </c>
      <c r="T73" s="159">
        <f>'Raw Results'!AD73</f>
        <v>356535.32</v>
      </c>
      <c r="U73" s="159">
        <f>'Raw Results'!AF73</f>
        <v>445147.25</v>
      </c>
      <c r="V73" s="155">
        <f t="shared" si="20"/>
        <v>0.24853618990679519</v>
      </c>
      <c r="W73" s="159">
        <f>'Raw Results'!AH73</f>
        <v>45892.85</v>
      </c>
      <c r="X73" s="159">
        <f>'Raw Results'!AJ73</f>
        <v>47223</v>
      </c>
      <c r="Y73" s="155">
        <f t="shared" si="21"/>
        <v>2.8983817740672053E-2</v>
      </c>
      <c r="Z73" s="159">
        <f>'Raw Results'!AL73</f>
        <v>3312320.03</v>
      </c>
      <c r="AA73" s="159">
        <f>'Raw Results'!AN73</f>
        <v>3804045.59</v>
      </c>
      <c r="AB73" s="155">
        <f t="shared" si="22"/>
        <v>0.14845351763911535</v>
      </c>
      <c r="AC73" s="159">
        <f>'Raw Results'!AP73</f>
        <v>8741027.1099999994</v>
      </c>
      <c r="AD73" s="159">
        <f>'Raw Results'!AR73</f>
        <v>10913464.5</v>
      </c>
      <c r="AE73" s="155">
        <f t="shared" si="23"/>
        <v>0.24853342320774482</v>
      </c>
      <c r="AF73" s="159">
        <f>'Raw Results'!AT73</f>
        <v>1042396.13</v>
      </c>
      <c r="AG73" s="159">
        <f>'Raw Results'!AV73</f>
        <v>1104593.5900000001</v>
      </c>
      <c r="AH73" s="155">
        <f t="shared" si="24"/>
        <v>5.9667777162603318E-2</v>
      </c>
      <c r="AK73" s="159">
        <f t="shared" si="25"/>
        <v>276554.91000000003</v>
      </c>
      <c r="AL73" s="159">
        <f t="shared" si="26"/>
        <v>333246.8</v>
      </c>
      <c r="AM73" s="159">
        <f t="shared" si="27"/>
        <v>537533.47</v>
      </c>
      <c r="AN73" s="159">
        <f t="shared" si="28"/>
        <v>647532.34</v>
      </c>
      <c r="AO73" s="159">
        <f t="shared" si="29"/>
        <v>13095743.27</v>
      </c>
      <c r="AP73" s="159">
        <f t="shared" si="30"/>
        <v>15822103.68</v>
      </c>
    </row>
    <row r="74" spans="1:42">
      <c r="A74" t="s">
        <v>407</v>
      </c>
      <c r="B74">
        <v>1</v>
      </c>
      <c r="C74" t="s">
        <v>472</v>
      </c>
      <c r="D74" t="s">
        <v>472</v>
      </c>
      <c r="F74" t="s">
        <v>462</v>
      </c>
      <c r="G74" t="s">
        <v>463</v>
      </c>
      <c r="H74" s="159">
        <f>'Raw Results'!G74</f>
        <v>6936061.5599999996</v>
      </c>
      <c r="I74" s="159">
        <f>'Raw Results'!H74</f>
        <v>7906148.3600000003</v>
      </c>
      <c r="J74" s="155">
        <f t="shared" si="16"/>
        <v>0.13986133075785459</v>
      </c>
      <c r="K74" s="159">
        <f>'Raw Results'!J74</f>
        <v>16124545.859999999</v>
      </c>
      <c r="L74" s="159">
        <f>'Raw Results'!L74</f>
        <v>21069937.379999999</v>
      </c>
      <c r="M74" s="155">
        <f t="shared" si="17"/>
        <v>0.30669958477825926</v>
      </c>
      <c r="N74" s="159">
        <f>'Raw Results'!N74</f>
        <v>2423843.7000000002</v>
      </c>
      <c r="O74" s="159">
        <f>'Raw Results'!P74</f>
        <v>2694504.97</v>
      </c>
      <c r="P74" s="155">
        <f t="shared" si="18"/>
        <v>0.11166614002379774</v>
      </c>
      <c r="Q74" s="159">
        <f>'Raw Results'!AA74</f>
        <v>11320563.109999999</v>
      </c>
      <c r="R74" s="159">
        <f>'Raw Results'!AB74</f>
        <v>13059827.970000001</v>
      </c>
      <c r="S74" s="155">
        <f t="shared" si="19"/>
        <v>0.15363766299431031</v>
      </c>
      <c r="T74" s="159">
        <f>'Raw Results'!AD74</f>
        <v>26743245</v>
      </c>
      <c r="U74" s="159">
        <f>'Raw Results'!AF74</f>
        <v>35370746.799999997</v>
      </c>
      <c r="V74" s="155">
        <f t="shared" si="20"/>
        <v>0.32260489704970347</v>
      </c>
      <c r="W74" s="159">
        <f>'Raw Results'!AH74</f>
        <v>4214731.66</v>
      </c>
      <c r="X74" s="159">
        <f>'Raw Results'!AJ74</f>
        <v>4735152.0599999996</v>
      </c>
      <c r="Y74" s="155">
        <f t="shared" si="21"/>
        <v>0.12347652044827913</v>
      </c>
      <c r="Z74" s="159">
        <f>'Raw Results'!AL74</f>
        <v>261825029.94999999</v>
      </c>
      <c r="AA74" s="159">
        <f>'Raw Results'!AN74</f>
        <v>309482296.16000003</v>
      </c>
      <c r="AB74" s="155">
        <f t="shared" si="22"/>
        <v>0.18201951974989181</v>
      </c>
      <c r="AC74" s="159">
        <f>'Raw Results'!AP74</f>
        <v>634083340.10000002</v>
      </c>
      <c r="AD74" s="159">
        <f>'Raw Results'!AR74</f>
        <v>863635819.57000005</v>
      </c>
      <c r="AE74" s="155">
        <f t="shared" si="23"/>
        <v>0.36202256856929527</v>
      </c>
      <c r="AF74" s="159">
        <f>'Raw Results'!AT74</f>
        <v>97374808.810000002</v>
      </c>
      <c r="AG74" s="159">
        <f>'Raw Results'!AV74</f>
        <v>113528425.84</v>
      </c>
      <c r="AH74" s="155">
        <f t="shared" si="24"/>
        <v>0.16589112961976968</v>
      </c>
      <c r="AK74" s="159">
        <f t="shared" si="25"/>
        <v>25484451.119999997</v>
      </c>
      <c r="AL74" s="159">
        <f t="shared" si="26"/>
        <v>31670590.709999997</v>
      </c>
      <c r="AM74" s="159">
        <f t="shared" si="27"/>
        <v>42278539.769999996</v>
      </c>
      <c r="AN74" s="159">
        <f t="shared" si="28"/>
        <v>53165726.829999998</v>
      </c>
      <c r="AO74" s="159">
        <f t="shared" si="29"/>
        <v>993283178.8599999</v>
      </c>
      <c r="AP74" s="159">
        <f t="shared" si="30"/>
        <v>1286646541.5699999</v>
      </c>
    </row>
    <row r="75" spans="1:42">
      <c r="A75" t="s">
        <v>407</v>
      </c>
      <c r="B75">
        <v>1</v>
      </c>
      <c r="C75" t="s">
        <v>472</v>
      </c>
      <c r="D75" t="s">
        <v>472</v>
      </c>
      <c r="F75" t="s">
        <v>433</v>
      </c>
      <c r="G75" t="s">
        <v>434</v>
      </c>
      <c r="H75" s="159">
        <f>'Raw Results'!G75</f>
        <v>4141875.92</v>
      </c>
      <c r="I75" s="159">
        <f>'Raw Results'!H75</f>
        <v>4719986.93</v>
      </c>
      <c r="J75" s="155">
        <f t="shared" si="16"/>
        <v>0.13957709529840281</v>
      </c>
      <c r="K75" s="159">
        <f>'Raw Results'!J75</f>
        <v>9669463.7400000002</v>
      </c>
      <c r="L75" s="159">
        <f>'Raw Results'!L75</f>
        <v>12640365.85</v>
      </c>
      <c r="M75" s="155">
        <f t="shared" si="17"/>
        <v>0.307245798720995</v>
      </c>
      <c r="N75" s="159">
        <f>'Raw Results'!N75</f>
        <v>1462237.34</v>
      </c>
      <c r="O75" s="159">
        <f>'Raw Results'!P75</f>
        <v>1627520.46</v>
      </c>
      <c r="P75" s="155">
        <f t="shared" si="18"/>
        <v>0.11303439973704944</v>
      </c>
      <c r="Q75" s="159">
        <f>'Raw Results'!AA75</f>
        <v>7262227.2199999997</v>
      </c>
      <c r="R75" s="159">
        <f>'Raw Results'!AB75</f>
        <v>8409276.6799999997</v>
      </c>
      <c r="S75" s="155">
        <f t="shared" si="19"/>
        <v>0.15794733836488251</v>
      </c>
      <c r="T75" s="159">
        <f>'Raw Results'!AD75</f>
        <v>17237260.940000001</v>
      </c>
      <c r="U75" s="159">
        <f>'Raw Results'!AF75</f>
        <v>22897120.43</v>
      </c>
      <c r="V75" s="155">
        <f t="shared" si="20"/>
        <v>0.32835028196771021</v>
      </c>
      <c r="W75" s="159">
        <f>'Raw Results'!AH75</f>
        <v>2730507.73</v>
      </c>
      <c r="X75" s="159">
        <f>'Raw Results'!AJ75</f>
        <v>3083348.87</v>
      </c>
      <c r="Y75" s="155">
        <f t="shared" si="21"/>
        <v>0.12922180593863403</v>
      </c>
      <c r="Z75" s="159">
        <f>'Raw Results'!AL75</f>
        <v>210658962.53999999</v>
      </c>
      <c r="AA75" s="159">
        <f>'Raw Results'!AN75</f>
        <v>246866331</v>
      </c>
      <c r="AB75" s="155">
        <f t="shared" si="22"/>
        <v>0.17187670547425649</v>
      </c>
      <c r="AC75" s="159">
        <f>'Raw Results'!AP75</f>
        <v>511363550.67000002</v>
      </c>
      <c r="AD75" s="159">
        <f>'Raw Results'!AR75</f>
        <v>691181527.83000004</v>
      </c>
      <c r="AE75" s="155">
        <f t="shared" si="23"/>
        <v>0.35164410315204997</v>
      </c>
      <c r="AF75" s="159">
        <f>'Raw Results'!AT75</f>
        <v>78897337.180000007</v>
      </c>
      <c r="AG75" s="159">
        <f>'Raw Results'!AV75</f>
        <v>91444823.680000007</v>
      </c>
      <c r="AH75" s="155">
        <f t="shared" si="24"/>
        <v>0.15903561448941664</v>
      </c>
      <c r="AK75" s="159">
        <f t="shared" si="25"/>
        <v>15273577</v>
      </c>
      <c r="AL75" s="159">
        <f t="shared" si="26"/>
        <v>18987873.240000002</v>
      </c>
      <c r="AM75" s="159">
        <f t="shared" si="27"/>
        <v>27229995.890000001</v>
      </c>
      <c r="AN75" s="159">
        <f t="shared" si="28"/>
        <v>34389745.979999997</v>
      </c>
      <c r="AO75" s="159">
        <f t="shared" si="29"/>
        <v>800919850.3900001</v>
      </c>
      <c r="AP75" s="159">
        <f t="shared" si="30"/>
        <v>1029492682.51</v>
      </c>
    </row>
    <row r="76" spans="1:42">
      <c r="Q76" s="159"/>
      <c r="R76" s="159"/>
      <c r="S76" s="155"/>
      <c r="T76" s="159"/>
      <c r="U76" s="159"/>
      <c r="V76" s="155"/>
      <c r="W76" s="159"/>
      <c r="X76" s="159"/>
      <c r="Y76" s="155"/>
      <c r="Z76" s="159"/>
      <c r="AA76" s="159"/>
      <c r="AB76" s="155"/>
      <c r="AC76" s="159"/>
      <c r="AD76" s="159"/>
      <c r="AE76" s="155"/>
      <c r="AF76" s="159"/>
      <c r="AG76" s="159"/>
      <c r="AH76" s="155"/>
    </row>
    <row r="77" spans="1:42">
      <c r="Q77" s="159"/>
      <c r="R77" s="159"/>
      <c r="S77" s="155"/>
      <c r="T77" s="159"/>
      <c r="U77" s="159"/>
      <c r="V77" s="155"/>
      <c r="W77" s="159"/>
      <c r="X77" s="159"/>
      <c r="Y77" s="155"/>
      <c r="Z77" s="159"/>
      <c r="AA77" s="159"/>
      <c r="AB77" s="155"/>
      <c r="AC77" s="159"/>
      <c r="AD77" s="159"/>
      <c r="AE77" s="155"/>
      <c r="AF77" s="159"/>
      <c r="AG77" s="159"/>
      <c r="AH77" s="155"/>
    </row>
    <row r="78" spans="1:42">
      <c r="Q78" s="159"/>
      <c r="R78" s="159"/>
      <c r="S78" s="155"/>
      <c r="T78" s="159"/>
      <c r="U78" s="159"/>
      <c r="V78" s="155"/>
      <c r="W78" s="159"/>
      <c r="X78" s="159"/>
      <c r="Y78" s="155"/>
      <c r="Z78" s="159"/>
      <c r="AA78" s="159"/>
      <c r="AB78" s="155"/>
      <c r="AC78" s="159"/>
      <c r="AD78" s="159"/>
      <c r="AE78" s="155"/>
      <c r="AF78" s="159"/>
      <c r="AG78" s="159"/>
      <c r="AH78" s="155"/>
    </row>
    <row r="79" spans="1:42">
      <c r="Q79" s="159"/>
      <c r="R79" s="159"/>
      <c r="S79" s="155"/>
      <c r="T79" s="159"/>
      <c r="U79" s="159"/>
      <c r="V79" s="155"/>
      <c r="W79" s="159"/>
      <c r="X79" s="159"/>
      <c r="Y79" s="155"/>
      <c r="Z79" s="159"/>
      <c r="AA79" s="159"/>
      <c r="AB79" s="155"/>
      <c r="AC79" s="159"/>
      <c r="AD79" s="159"/>
      <c r="AE79" s="155"/>
      <c r="AF79" s="159"/>
      <c r="AG79" s="159"/>
      <c r="AH79" s="155"/>
    </row>
    <row r="80" spans="1:42">
      <c r="Q80" s="159"/>
      <c r="R80" s="159"/>
      <c r="S80" s="155"/>
      <c r="T80" s="159"/>
      <c r="U80" s="159"/>
      <c r="V80" s="155"/>
      <c r="W80" s="159"/>
      <c r="X80" s="159"/>
      <c r="Y80" s="155"/>
      <c r="Z80" s="159"/>
      <c r="AA80" s="159"/>
      <c r="AB80" s="155"/>
      <c r="AC80" s="159"/>
      <c r="AD80" s="159"/>
      <c r="AE80" s="155"/>
      <c r="AF80" s="159"/>
      <c r="AG80" s="159"/>
      <c r="AH80" s="155"/>
    </row>
    <row r="81" spans="17:34">
      <c r="Q81" s="159"/>
      <c r="R81" s="159"/>
      <c r="S81" s="155"/>
      <c r="T81" s="159"/>
      <c r="U81" s="159"/>
      <c r="V81" s="155"/>
      <c r="W81" s="159"/>
      <c r="X81" s="159"/>
      <c r="Y81" s="155"/>
      <c r="Z81" s="159"/>
      <c r="AA81" s="159"/>
      <c r="AB81" s="155"/>
      <c r="AC81" s="159"/>
      <c r="AD81" s="159"/>
      <c r="AE81" s="155"/>
      <c r="AF81" s="159"/>
      <c r="AG81" s="159"/>
      <c r="AH81" s="155"/>
    </row>
    <row r="82" spans="17:34">
      <c r="Q82" s="159"/>
      <c r="R82" s="159"/>
      <c r="S82" s="155"/>
      <c r="T82" s="159"/>
      <c r="U82" s="159"/>
      <c r="V82" s="155"/>
      <c r="W82" s="159"/>
      <c r="X82" s="159"/>
      <c r="Y82" s="155"/>
      <c r="Z82" s="159"/>
      <c r="AA82" s="159"/>
      <c r="AB82" s="155"/>
      <c r="AC82" s="159"/>
      <c r="AD82" s="159"/>
      <c r="AE82" s="155"/>
      <c r="AF82" s="159"/>
      <c r="AG82" s="159"/>
      <c r="AH82" s="155"/>
    </row>
    <row r="83" spans="17:34">
      <c r="Q83" s="159"/>
      <c r="R83" s="159"/>
      <c r="S83" s="155"/>
      <c r="T83" s="159"/>
      <c r="U83" s="159"/>
      <c r="V83" s="155"/>
      <c r="W83" s="159"/>
      <c r="X83" s="159"/>
      <c r="Y83" s="155"/>
      <c r="Z83" s="159"/>
      <c r="AA83" s="159"/>
      <c r="AB83" s="155"/>
      <c r="AC83" s="159"/>
      <c r="AD83" s="159"/>
      <c r="AE83" s="155"/>
      <c r="AF83" s="159"/>
      <c r="AG83" s="159"/>
      <c r="AH83" s="155"/>
    </row>
    <row r="84" spans="17:34">
      <c r="Q84" s="159"/>
      <c r="R84" s="159"/>
      <c r="S84" s="155"/>
      <c r="T84" s="159"/>
      <c r="U84" s="159"/>
      <c r="V84" s="155"/>
      <c r="W84" s="159"/>
      <c r="X84" s="159"/>
      <c r="Y84" s="155"/>
      <c r="Z84" s="159"/>
      <c r="AA84" s="159"/>
      <c r="AB84" s="155"/>
      <c r="AC84" s="159"/>
      <c r="AD84" s="159"/>
      <c r="AE84" s="155"/>
      <c r="AF84" s="159"/>
      <c r="AG84" s="159"/>
      <c r="AH84" s="155"/>
    </row>
    <row r="85" spans="17:34">
      <c r="Q85" s="159"/>
      <c r="R85" s="159"/>
      <c r="S85" s="155"/>
      <c r="T85" s="159"/>
      <c r="U85" s="159"/>
      <c r="V85" s="155"/>
      <c r="W85" s="159"/>
      <c r="X85" s="159"/>
      <c r="Y85" s="155"/>
      <c r="Z85" s="159"/>
      <c r="AA85" s="159"/>
      <c r="AB85" s="155"/>
      <c r="AC85" s="159"/>
      <c r="AD85" s="159"/>
      <c r="AE85" s="155"/>
      <c r="AF85" s="159"/>
      <c r="AG85" s="159"/>
      <c r="AH85" s="155"/>
    </row>
    <row r="86" spans="17:34">
      <c r="Q86" s="159"/>
      <c r="R86" s="159"/>
      <c r="S86" s="155"/>
      <c r="T86" s="159"/>
      <c r="U86" s="159"/>
      <c r="V86" s="155"/>
      <c r="W86" s="159"/>
      <c r="X86" s="159"/>
      <c r="Y86" s="155"/>
      <c r="Z86" s="159"/>
      <c r="AA86" s="159"/>
      <c r="AB86" s="155"/>
      <c r="AC86" s="159"/>
      <c r="AD86" s="159"/>
      <c r="AE86" s="155"/>
      <c r="AF86" s="159"/>
      <c r="AG86" s="159"/>
      <c r="AH86" s="155"/>
    </row>
    <row r="87" spans="17:34">
      <c r="Q87" s="159"/>
      <c r="R87" s="159"/>
      <c r="S87" s="155"/>
      <c r="T87" s="159"/>
      <c r="U87" s="159"/>
      <c r="V87" s="155"/>
      <c r="W87" s="159"/>
      <c r="X87" s="159"/>
      <c r="Y87" s="155"/>
      <c r="Z87" s="159"/>
      <c r="AA87" s="159"/>
      <c r="AB87" s="155"/>
      <c r="AC87" s="159"/>
      <c r="AD87" s="159"/>
      <c r="AE87" s="155"/>
      <c r="AF87" s="159"/>
      <c r="AG87" s="159"/>
      <c r="AH87" s="155"/>
    </row>
    <row r="88" spans="17:34">
      <c r="Q88" s="159"/>
      <c r="R88" s="159"/>
      <c r="S88" s="155"/>
      <c r="T88" s="159"/>
      <c r="U88" s="159"/>
      <c r="V88" s="155"/>
      <c r="W88" s="159"/>
      <c r="X88" s="159"/>
      <c r="Y88" s="155"/>
      <c r="Z88" s="159"/>
      <c r="AA88" s="159"/>
      <c r="AB88" s="155"/>
      <c r="AC88" s="159"/>
      <c r="AD88" s="159"/>
      <c r="AE88" s="155"/>
      <c r="AF88" s="159"/>
      <c r="AG88" s="159"/>
      <c r="AH88" s="155"/>
    </row>
    <row r="89" spans="17:34">
      <c r="Q89" s="159"/>
      <c r="R89" s="159"/>
      <c r="S89" s="155"/>
      <c r="T89" s="159"/>
      <c r="U89" s="159"/>
      <c r="V89" s="155"/>
      <c r="W89" s="159"/>
      <c r="X89" s="159"/>
      <c r="Y89" s="155"/>
      <c r="Z89" s="159"/>
      <c r="AA89" s="159"/>
      <c r="AB89" s="155"/>
      <c r="AC89" s="159"/>
      <c r="AD89" s="159"/>
      <c r="AE89" s="155"/>
      <c r="AF89" s="159"/>
      <c r="AG89" s="159"/>
      <c r="AH89" s="155"/>
    </row>
    <row r="90" spans="17:34">
      <c r="Q90" s="159"/>
      <c r="R90" s="159"/>
      <c r="S90" s="155"/>
      <c r="T90" s="159"/>
      <c r="U90" s="159"/>
      <c r="V90" s="155"/>
      <c r="W90" s="159"/>
      <c r="X90" s="159"/>
      <c r="Y90" s="155"/>
      <c r="Z90" s="159"/>
      <c r="AA90" s="159"/>
      <c r="AB90" s="155"/>
      <c r="AC90" s="159"/>
      <c r="AD90" s="159"/>
      <c r="AE90" s="155"/>
      <c r="AF90" s="159"/>
      <c r="AG90" s="159"/>
      <c r="AH90" s="155"/>
    </row>
    <row r="91" spans="17:34">
      <c r="Q91" s="159"/>
      <c r="R91" s="159"/>
      <c r="S91" s="155"/>
      <c r="T91" s="159"/>
      <c r="U91" s="159"/>
      <c r="V91" s="155"/>
      <c r="W91" s="159"/>
      <c r="X91" s="159"/>
      <c r="Y91" s="155"/>
      <c r="Z91" s="159"/>
      <c r="AA91" s="159"/>
      <c r="AB91" s="155"/>
      <c r="AC91" s="159"/>
      <c r="AD91" s="159"/>
      <c r="AE91" s="155"/>
      <c r="AF91" s="159"/>
      <c r="AG91" s="159"/>
      <c r="AH91" s="155"/>
    </row>
    <row r="92" spans="17:34">
      <c r="Q92" s="159"/>
      <c r="R92" s="159"/>
      <c r="S92" s="155"/>
      <c r="T92" s="159"/>
      <c r="U92" s="159"/>
      <c r="V92" s="155"/>
      <c r="W92" s="159"/>
      <c r="X92" s="159"/>
      <c r="Y92" s="155"/>
      <c r="Z92" s="159"/>
      <c r="AA92" s="159"/>
      <c r="AB92" s="155"/>
      <c r="AC92" s="159"/>
      <c r="AD92" s="159"/>
      <c r="AE92" s="155"/>
      <c r="AF92" s="159"/>
      <c r="AG92" s="159"/>
      <c r="AH92" s="155"/>
    </row>
  </sheetData>
  <autoFilter ref="A1:AH75" xr:uid="{B113C4CD-9260-4F16-996D-8733D0A889BA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56F96-334C-4EC1-81C9-D4A2F240AF4F}">
  <dimension ref="A1:U64"/>
  <sheetViews>
    <sheetView workbookViewId="0">
      <selection activeCell="F34" sqref="F34"/>
    </sheetView>
  </sheetViews>
  <sheetFormatPr defaultColWidth="8.85546875" defaultRowHeight="14.45"/>
  <cols>
    <col min="1" max="1" width="35.140625" bestFit="1" customWidth="1"/>
    <col min="2" max="2" width="17.7109375" bestFit="1" customWidth="1"/>
    <col min="3" max="5" width="13.5703125" bestFit="1" customWidth="1"/>
    <col min="6" max="6" width="15" bestFit="1" customWidth="1"/>
    <col min="7" max="8" width="13.5703125" bestFit="1" customWidth="1"/>
    <col min="9" max="10" width="15" bestFit="1" customWidth="1"/>
    <col min="14" max="14" width="10.85546875" bestFit="1" customWidth="1"/>
    <col min="20" max="20" width="35.140625" bestFit="1" customWidth="1"/>
    <col min="21" max="21" width="11.140625" bestFit="1" customWidth="1"/>
    <col min="22" max="22" width="11" bestFit="1" customWidth="1"/>
  </cols>
  <sheetData>
    <row r="1" spans="1:21">
      <c r="C1" s="321" t="s">
        <v>487</v>
      </c>
      <c r="D1" s="321"/>
      <c r="E1" s="321" t="s">
        <v>488</v>
      </c>
      <c r="F1" s="321"/>
      <c r="G1" s="321" t="s">
        <v>489</v>
      </c>
      <c r="H1" s="321"/>
      <c r="I1" s="321" t="s">
        <v>490</v>
      </c>
      <c r="J1" s="321"/>
    </row>
    <row r="2" spans="1:21">
      <c r="C2" t="s">
        <v>491</v>
      </c>
      <c r="D2" t="s">
        <v>492</v>
      </c>
      <c r="E2" t="s">
        <v>491</v>
      </c>
      <c r="F2" t="s">
        <v>492</v>
      </c>
      <c r="G2" t="s">
        <v>491</v>
      </c>
      <c r="H2" t="s">
        <v>492</v>
      </c>
      <c r="I2" t="s">
        <v>491</v>
      </c>
      <c r="J2" t="s">
        <v>492</v>
      </c>
      <c r="M2" s="160" t="s">
        <v>493</v>
      </c>
      <c r="N2" s="160"/>
      <c r="U2" s="29" t="s">
        <v>494</v>
      </c>
    </row>
    <row r="3" spans="1:21">
      <c r="A3" s="161" t="s">
        <v>433</v>
      </c>
      <c r="B3" s="161" t="s">
        <v>495</v>
      </c>
      <c r="C3" s="98">
        <f>'Processed Results'!AK60/1000</f>
        <v>15273.576999999999</v>
      </c>
      <c r="D3" s="98">
        <f>'Processed Results'!AL60/1000</f>
        <v>18987.873240000001</v>
      </c>
      <c r="E3" s="98">
        <f>'Processed Results'!AM60/1000</f>
        <v>27229.995890000002</v>
      </c>
      <c r="F3" s="98">
        <f>'Processed Results'!AN60/1000</f>
        <v>34389.74598</v>
      </c>
      <c r="G3" s="98">
        <f>'Processed Results'!AO60/1000</f>
        <v>800919.85039000015</v>
      </c>
      <c r="H3" s="98">
        <f>'Processed Results'!AP60/1000</f>
        <v>1029492.68251</v>
      </c>
      <c r="I3" s="98">
        <f>SUM(C3,E3,G3)</f>
        <v>843423.4232800001</v>
      </c>
      <c r="J3" s="98">
        <f>SUM(D3,F3,H3)</f>
        <v>1082870.3017299999</v>
      </c>
      <c r="L3" s="160"/>
      <c r="M3" t="s">
        <v>491</v>
      </c>
      <c r="N3" t="s">
        <v>492</v>
      </c>
      <c r="O3" s="160" t="s">
        <v>496</v>
      </c>
      <c r="T3" t="s">
        <v>497</v>
      </c>
    </row>
    <row r="4" spans="1:21">
      <c r="A4" s="161" t="s">
        <v>441</v>
      </c>
      <c r="B4" s="161" t="s">
        <v>495</v>
      </c>
      <c r="C4" s="98">
        <f>'Processed Results'!AK32/1000</f>
        <v>3212.7004299999999</v>
      </c>
      <c r="D4" s="98">
        <f>'Processed Results'!AL32/1000</f>
        <v>3723.1904599999993</v>
      </c>
      <c r="E4" s="98">
        <f>'Processed Results'!AM32/1000</f>
        <v>5257.297489999999</v>
      </c>
      <c r="F4" s="98">
        <f>'Processed Results'!AN32/1000</f>
        <v>6114.6204000000007</v>
      </c>
      <c r="G4" s="98">
        <f>'Processed Results'!AO32/1000</f>
        <v>151285.52446000002</v>
      </c>
      <c r="H4" s="98">
        <f>'Processed Results'!AP32/1000</f>
        <v>174621.18304000003</v>
      </c>
      <c r="I4" s="98">
        <f t="shared" ref="I4:I7" si="0">SUM(C4,E4,G4)</f>
        <v>159755.52238000001</v>
      </c>
      <c r="J4" s="98">
        <f t="shared" ref="J4:J7" si="1">SUM(D4,F4,H4)</f>
        <v>184458.99390000003</v>
      </c>
      <c r="M4" s="98">
        <f>I3</f>
        <v>843423.4232800001</v>
      </c>
      <c r="N4" s="98">
        <f>J3</f>
        <v>1082870.3017299999</v>
      </c>
      <c r="O4" s="103">
        <f>(N4-M4)/M4</f>
        <v>0.28389877710392702</v>
      </c>
      <c r="T4" t="s">
        <v>498</v>
      </c>
      <c r="U4" s="98">
        <f>N4</f>
        <v>1082870.3017299999</v>
      </c>
    </row>
    <row r="5" spans="1:21">
      <c r="A5" s="161" t="s">
        <v>442</v>
      </c>
      <c r="B5" s="161" t="s">
        <v>495</v>
      </c>
      <c r="C5" s="98">
        <f>'Processed Results'!AK33/1000</f>
        <v>12060.836230000001</v>
      </c>
      <c r="D5" s="98">
        <f>'Processed Results'!AL33/1000</f>
        <v>15264.63617</v>
      </c>
      <c r="E5" s="98">
        <f>'Processed Results'!AM33/1000</f>
        <v>21434.527959999999</v>
      </c>
      <c r="F5" s="98">
        <f>'Processed Results'!AN33/1000</f>
        <v>27651.830879999994</v>
      </c>
      <c r="G5" s="98">
        <f>'Processed Results'!AO33/1000</f>
        <v>633978.15402000002</v>
      </c>
      <c r="H5" s="98">
        <f>'Processed Results'!AP33/1000</f>
        <v>836491.10692000005</v>
      </c>
      <c r="I5" s="98">
        <f t="shared" si="0"/>
        <v>667473.51821000001</v>
      </c>
      <c r="J5" s="98">
        <f t="shared" si="1"/>
        <v>879407.57397000003</v>
      </c>
      <c r="T5" t="s">
        <v>499</v>
      </c>
      <c r="U5" s="76">
        <f>M4</f>
        <v>843423.4232800001</v>
      </c>
    </row>
    <row r="6" spans="1:21">
      <c r="A6" t="s">
        <v>457</v>
      </c>
      <c r="B6" t="s">
        <v>426</v>
      </c>
      <c r="C6" s="98">
        <f>'Processed Results'!AK52</f>
        <v>276554.91000000003</v>
      </c>
      <c r="D6" s="98">
        <f>'Processed Results'!AL52</f>
        <v>333246.8</v>
      </c>
      <c r="E6" s="98">
        <f>'Processed Results'!AM52</f>
        <v>537533.47</v>
      </c>
      <c r="F6" s="98">
        <f>'Processed Results'!AN52</f>
        <v>647532.34</v>
      </c>
      <c r="G6" s="98">
        <f>'Processed Results'!AO52</f>
        <v>13095743.27</v>
      </c>
      <c r="H6" s="98">
        <f>'Processed Results'!AP52</f>
        <v>15822103.68</v>
      </c>
      <c r="I6" s="98">
        <f t="shared" ref="I6" si="2">SUM(C6,E6,G6)</f>
        <v>13909831.65</v>
      </c>
      <c r="J6" s="98">
        <f t="shared" ref="J6" si="3">SUM(D6,F6,H6)</f>
        <v>16802882.82</v>
      </c>
      <c r="T6" t="s">
        <v>500</v>
      </c>
      <c r="U6" s="76">
        <f>U4-U5</f>
        <v>239446.87844999984</v>
      </c>
    </row>
    <row r="7" spans="1:21">
      <c r="A7" t="s">
        <v>448</v>
      </c>
      <c r="B7" t="s">
        <v>426</v>
      </c>
      <c r="C7" s="98">
        <f>'Processed Results'!AK40</f>
        <v>10889899.780000001</v>
      </c>
      <c r="D7" s="98">
        <f>'Processed Results'!AL40</f>
        <v>17563383.539999999</v>
      </c>
      <c r="E7" s="98">
        <f>'Processed Results'!AM40</f>
        <v>21123442.629999995</v>
      </c>
      <c r="F7" s="98">
        <f>'Processed Results'!AN40</f>
        <v>34068233.659999996</v>
      </c>
      <c r="G7" s="98">
        <f>'Processed Results'!AO40</f>
        <v>517873935.31999993</v>
      </c>
      <c r="H7" s="98">
        <f>'Processed Results'!AP40</f>
        <v>835235389.89999998</v>
      </c>
      <c r="I7" s="98">
        <f t="shared" si="0"/>
        <v>549887277.7299999</v>
      </c>
      <c r="J7" s="98">
        <f t="shared" si="1"/>
        <v>886867007.10000002</v>
      </c>
      <c r="T7" t="s">
        <v>501</v>
      </c>
      <c r="U7" s="76">
        <f>U6/25</f>
        <v>9577.875137999994</v>
      </c>
    </row>
    <row r="8" spans="1:21">
      <c r="A8" s="161" t="s">
        <v>502</v>
      </c>
      <c r="B8" s="161" t="s">
        <v>503</v>
      </c>
      <c r="C8" s="162">
        <f>((C4*1000/C9)+(C5*1000/C10))/1000</f>
        <v>445.75696326800005</v>
      </c>
      <c r="D8" s="162">
        <f t="shared" ref="D8:J8" si="4">((D4*1000/D9)+(D5*1000/D10))/1000</f>
        <v>695.238282024</v>
      </c>
      <c r="E8" s="162">
        <f t="shared" si="4"/>
        <v>864.8765863279998</v>
      </c>
      <c r="F8" s="162">
        <f t="shared" si="4"/>
        <v>1348.810909696</v>
      </c>
      <c r="G8" s="162">
        <f t="shared" si="4"/>
        <v>21186.418184091995</v>
      </c>
      <c r="H8" s="162">
        <f t="shared" si="4"/>
        <v>33057.021653240001</v>
      </c>
      <c r="I8" s="162">
        <f t="shared" si="4"/>
        <v>22497.051733687997</v>
      </c>
      <c r="J8" s="162">
        <f t="shared" si="4"/>
        <v>35101.070844959999</v>
      </c>
    </row>
    <row r="9" spans="1:21">
      <c r="A9" s="161" t="s">
        <v>504</v>
      </c>
      <c r="B9" s="161" t="s">
        <v>505</v>
      </c>
      <c r="C9" s="159">
        <f>(C4*1000)/(C6*0.21)</f>
        <v>55.318394007867994</v>
      </c>
      <c r="D9" s="159">
        <f>(D4*1000)/(D6*0.21)</f>
        <v>53.202246446034529</v>
      </c>
      <c r="E9" s="159">
        <f t="shared" ref="E9:J9" si="5">(E4*1000)/(E6*0.21)</f>
        <v>46.573378867702786</v>
      </c>
      <c r="F9" s="159">
        <f t="shared" si="5"/>
        <v>44.966464532103529</v>
      </c>
      <c r="G9" s="159">
        <f t="shared" si="5"/>
        <v>55.010795834983824</v>
      </c>
      <c r="H9" s="159">
        <f t="shared" si="5"/>
        <v>52.554923154669858</v>
      </c>
      <c r="I9" s="159">
        <f t="shared" si="5"/>
        <v>54.690854778382942</v>
      </c>
      <c r="J9" s="159">
        <f t="shared" si="5"/>
        <v>52.275325064045859</v>
      </c>
    </row>
    <row r="10" spans="1:21">
      <c r="A10" s="161" t="s">
        <v>506</v>
      </c>
      <c r="B10" s="161" t="s">
        <v>505</v>
      </c>
      <c r="C10" s="159">
        <f>C5*1000/(C7*0.0356)</f>
        <v>31.110252747483209</v>
      </c>
      <c r="D10" s="159">
        <f>D5*1000/(D7*0.0356)</f>
        <v>24.413400408361206</v>
      </c>
      <c r="E10" s="159">
        <f t="shared" ref="E10:J10" si="6">E5*1000/(E7*0.0356)</f>
        <v>28.503567934867068</v>
      </c>
      <c r="F10" s="159">
        <f t="shared" si="6"/>
        <v>22.799445084935172</v>
      </c>
      <c r="G10" s="159">
        <f t="shared" si="6"/>
        <v>34.387471348441892</v>
      </c>
      <c r="H10" s="159">
        <f t="shared" si="6"/>
        <v>28.13211878920886</v>
      </c>
      <c r="I10" s="159">
        <f t="shared" si="6"/>
        <v>34.096544671652602</v>
      </c>
      <c r="J10" s="159">
        <f t="shared" si="6"/>
        <v>27.853623762319266</v>
      </c>
    </row>
    <row r="11" spans="1:21">
      <c r="A11" s="161" t="s">
        <v>507</v>
      </c>
      <c r="B11" s="161" t="s">
        <v>508</v>
      </c>
      <c r="C11" s="159">
        <f>'Processed Results'!AK59/1000</f>
        <v>25484.451119999998</v>
      </c>
      <c r="D11" s="159">
        <f>'[1]Processed Results'!I59/1000</f>
        <v>3088933.6262500002</v>
      </c>
      <c r="E11" s="159">
        <f>'[1]Processed Results'!K59/1000</f>
        <v>3485489.4817300001</v>
      </c>
      <c r="F11" s="159">
        <f>'[1]Processed Results'!L59/1000</f>
        <v>3830966.3661099998</v>
      </c>
      <c r="G11" s="159">
        <f>'[1]Processed Results'!N59/1000</f>
        <v>828805.72302999999</v>
      </c>
      <c r="H11" s="159">
        <f>'[1]Processed Results'!O59/1000</f>
        <v>849945.51954999997</v>
      </c>
      <c r="I11" s="159">
        <f>SUM(C11,E11,G11)</f>
        <v>4339779.6558800004</v>
      </c>
      <c r="J11" s="159">
        <f>SUM(D11,F11,H11)</f>
        <v>7769845.5119099999</v>
      </c>
    </row>
    <row r="12" spans="1:21">
      <c r="A12" s="161" t="s">
        <v>509</v>
      </c>
      <c r="B12" s="161" t="s">
        <v>510</v>
      </c>
      <c r="C12" s="159">
        <f>'Processed Results'!AK49</f>
        <v>8561.0300000000007</v>
      </c>
      <c r="D12" s="159">
        <f>'Processed Results'!AL49</f>
        <v>10073.759999999998</v>
      </c>
      <c r="E12" s="159">
        <f>'Processed Results'!AM49</f>
        <v>16548.36</v>
      </c>
      <c r="F12" s="159">
        <f>'Processed Results'!AN49</f>
        <v>19480.98</v>
      </c>
      <c r="G12" s="159">
        <f>'Processed Results'!AO49</f>
        <v>406033.58</v>
      </c>
      <c r="H12" s="159">
        <f>'Processed Results'!AP49</f>
        <v>478059.02</v>
      </c>
      <c r="I12" s="159">
        <f>SUM(C12,E12,G12)</f>
        <v>431142.97000000003</v>
      </c>
      <c r="J12" s="159">
        <f>SUM(D12,F12,H12)</f>
        <v>507613.76</v>
      </c>
    </row>
    <row r="13" spans="1:21">
      <c r="A13" s="161" t="s">
        <v>506</v>
      </c>
      <c r="B13" s="161" t="s">
        <v>511</v>
      </c>
      <c r="C13" s="159">
        <f>C3*1000/C7</f>
        <v>1.4025452307697912</v>
      </c>
      <c r="D13" s="159">
        <f t="shared" ref="D13:J13" si="7">D3*1000/D7</f>
        <v>1.0811056535180581</v>
      </c>
      <c r="E13" s="159">
        <f t="shared" si="7"/>
        <v>1.2890889220551265</v>
      </c>
      <c r="F13" s="159">
        <f t="shared" si="7"/>
        <v>1.0094373052389121</v>
      </c>
      <c r="G13" s="159">
        <f t="shared" si="7"/>
        <v>1.5465536992030755</v>
      </c>
      <c r="H13" s="159">
        <f t="shared" si="7"/>
        <v>1.232577899546687</v>
      </c>
      <c r="I13" s="159">
        <f>I3*1000/I7</f>
        <v>1.5338114872592659</v>
      </c>
      <c r="J13" s="159">
        <f t="shared" si="7"/>
        <v>1.2210064114019965</v>
      </c>
    </row>
    <row r="14" spans="1:21">
      <c r="A14" s="161" t="s">
        <v>512</v>
      </c>
      <c r="B14" s="161" t="s">
        <v>513</v>
      </c>
      <c r="C14" s="148">
        <f>C17/C12</f>
        <v>64.354808942381936</v>
      </c>
      <c r="D14" s="148">
        <f t="shared" ref="D14:J14" si="8">D17/D12</f>
        <v>67.728270278426336</v>
      </c>
      <c r="E14" s="148">
        <f t="shared" si="8"/>
        <v>55.118651636778509</v>
      </c>
      <c r="F14" s="148">
        <f t="shared" si="8"/>
        <v>58.674629818417763</v>
      </c>
      <c r="G14" s="148">
        <f t="shared" si="8"/>
        <v>52.818165088710145</v>
      </c>
      <c r="H14" s="148">
        <f t="shared" si="8"/>
        <v>58.051453856053165</v>
      </c>
      <c r="I14" s="148">
        <f>I17/I12</f>
        <v>53.135542022174214</v>
      </c>
      <c r="J14" s="148">
        <f t="shared" si="8"/>
        <v>58.2674093980431</v>
      </c>
    </row>
    <row r="16" spans="1:21">
      <c r="A16" s="160" t="s">
        <v>514</v>
      </c>
      <c r="B16" s="160"/>
    </row>
    <row r="17" spans="1:15">
      <c r="A17" s="160" t="s">
        <v>409</v>
      </c>
      <c r="B17" s="161" t="s">
        <v>410</v>
      </c>
      <c r="C17" s="98">
        <f>'Processed Results'!AK21</f>
        <v>550943.45000000007</v>
      </c>
      <c r="D17" s="98">
        <f>'Processed Results'!AL21</f>
        <v>682278.34</v>
      </c>
      <c r="E17" s="98">
        <f>'Processed Results'!AM21</f>
        <v>912123.29</v>
      </c>
      <c r="F17" s="98">
        <f>'Processed Results'!AN21</f>
        <v>1143039.29</v>
      </c>
      <c r="G17" s="98">
        <f>'Processed Results'!AO21</f>
        <v>21445948.66</v>
      </c>
      <c r="H17" s="98">
        <f>'Processed Results'!AP21</f>
        <v>27752021.139999997</v>
      </c>
      <c r="I17" s="98">
        <f>SUM(C17,E17,G17)</f>
        <v>22909015.399999999</v>
      </c>
      <c r="J17" s="98">
        <f>SUM(D17,F17,H17)</f>
        <v>29577338.769999996</v>
      </c>
    </row>
    <row r="18" spans="1:15">
      <c r="A18" s="160" t="s">
        <v>411</v>
      </c>
      <c r="B18" s="161" t="s">
        <v>410</v>
      </c>
      <c r="C18" s="98">
        <f>'Processed Results'!AK22</f>
        <v>4289.16</v>
      </c>
      <c r="D18" s="98">
        <f>'Processed Results'!AL22</f>
        <v>5195.55</v>
      </c>
      <c r="E18" s="98">
        <f>'Processed Results'!AM22</f>
        <v>28053.17</v>
      </c>
      <c r="F18" s="98">
        <f>'Processed Results'!AN22</f>
        <v>34375.82</v>
      </c>
      <c r="G18" s="98">
        <f>'Processed Results'!AO22</f>
        <v>4688355.18</v>
      </c>
      <c r="H18" s="98">
        <f>'Processed Results'!AP22</f>
        <v>6275161.25</v>
      </c>
      <c r="I18" s="98">
        <f t="shared" ref="I18:I27" si="9">SUM(C18,E18,G18)</f>
        <v>4720697.51</v>
      </c>
      <c r="J18" s="98">
        <f t="shared" ref="J18:J27" si="10">SUM(D18,F18,H18)</f>
        <v>6314732.6200000001</v>
      </c>
    </row>
    <row r="19" spans="1:15">
      <c r="A19" s="160" t="s">
        <v>414</v>
      </c>
      <c r="B19" s="161" t="s">
        <v>415</v>
      </c>
      <c r="C19" s="98">
        <f>'Processed Results'!AK24</f>
        <v>217797.99</v>
      </c>
      <c r="D19" s="98">
        <f>'Processed Results'!AL24</f>
        <v>351267.67</v>
      </c>
      <c r="E19" s="98">
        <f>'Processed Results'!AM24</f>
        <v>570332.94999999995</v>
      </c>
      <c r="F19" s="98">
        <f>'Processed Results'!AN24</f>
        <v>919842.31</v>
      </c>
      <c r="G19" s="98">
        <f>'Processed Results'!AO24</f>
        <v>13982596.26</v>
      </c>
      <c r="H19" s="98">
        <f>'Processed Results'!AP24</f>
        <v>22551355.529999997</v>
      </c>
      <c r="I19" s="98">
        <f t="shared" si="9"/>
        <v>14770727.199999999</v>
      </c>
      <c r="J19" s="98">
        <f t="shared" si="10"/>
        <v>23822465.509999998</v>
      </c>
    </row>
    <row r="20" spans="1:15">
      <c r="A20" s="160" t="s">
        <v>416</v>
      </c>
      <c r="B20" s="161" t="s">
        <v>415</v>
      </c>
      <c r="C20" s="98">
        <f>'Processed Results'!AK25</f>
        <v>12827.45</v>
      </c>
      <c r="D20" s="98">
        <f>'Processed Results'!AL25</f>
        <v>15456.98</v>
      </c>
      <c r="E20" s="98">
        <f>'Processed Results'!AM25</f>
        <v>44260.740000000005</v>
      </c>
      <c r="F20" s="98">
        <f>'Processed Results'!AN25</f>
        <v>53318.080000000002</v>
      </c>
      <c r="G20" s="98">
        <f>'Processed Results'!AO25</f>
        <v>1078309.07</v>
      </c>
      <c r="H20" s="98">
        <f>'Processed Results'!AP25</f>
        <v>1302798.75</v>
      </c>
      <c r="I20" s="98">
        <f t="shared" si="9"/>
        <v>1135397.26</v>
      </c>
      <c r="J20" s="98">
        <f t="shared" si="10"/>
        <v>1371573.81</v>
      </c>
    </row>
    <row r="21" spans="1:15">
      <c r="A21" s="160" t="s">
        <v>417</v>
      </c>
      <c r="B21" s="161" t="s">
        <v>415</v>
      </c>
      <c r="C21" s="98">
        <f>'Processed Results'!AK26</f>
        <v>45031.799999999996</v>
      </c>
      <c r="D21" s="98">
        <f>'Processed Results'!AL26</f>
        <v>52935.48</v>
      </c>
      <c r="E21" s="98">
        <f>'Processed Results'!AM26</f>
        <v>480964.23</v>
      </c>
      <c r="F21" s="98">
        <f>'Processed Results'!AN26</f>
        <v>595013.27</v>
      </c>
      <c r="G21" s="98">
        <f>'Processed Results'!AO26</f>
        <v>43784754.700000003</v>
      </c>
      <c r="H21" s="98">
        <f>'Processed Results'!AP26</f>
        <v>57149480.719999999</v>
      </c>
      <c r="I21" s="98">
        <f t="shared" si="9"/>
        <v>44310750.730000004</v>
      </c>
      <c r="J21" s="98">
        <f t="shared" si="10"/>
        <v>57797429.469999999</v>
      </c>
    </row>
    <row r="22" spans="1:15">
      <c r="A22" s="160" t="s">
        <v>418</v>
      </c>
      <c r="B22" s="160" t="s">
        <v>415</v>
      </c>
      <c r="C22" s="98">
        <f>'Processed Results'!AK27</f>
        <v>628.15</v>
      </c>
      <c r="D22" s="98">
        <f>'Processed Results'!AL27</f>
        <v>738.38000000000011</v>
      </c>
      <c r="E22" s="98">
        <f>'Processed Results'!AM27</f>
        <v>2382.08</v>
      </c>
      <c r="F22" s="98">
        <f>'Processed Results'!AN27</f>
        <v>2806.0299999999997</v>
      </c>
      <c r="G22" s="98">
        <f>'Processed Results'!AO27</f>
        <v>57061.01</v>
      </c>
      <c r="H22" s="98">
        <f>'Processed Results'!AP27</f>
        <v>67276.650000000009</v>
      </c>
      <c r="I22" s="98">
        <f t="shared" si="9"/>
        <v>60071.240000000005</v>
      </c>
      <c r="J22" s="98">
        <f t="shared" si="10"/>
        <v>70821.060000000012</v>
      </c>
    </row>
    <row r="23" spans="1:15">
      <c r="A23" s="160" t="s">
        <v>419</v>
      </c>
      <c r="B23" s="160" t="s">
        <v>415</v>
      </c>
      <c r="C23" s="98">
        <f>'Processed Results'!AK28</f>
        <v>792.7700000000001</v>
      </c>
      <c r="D23" s="98">
        <f>'Processed Results'!AL28</f>
        <v>931.89</v>
      </c>
      <c r="E23" s="98">
        <f>'Processed Results'!AM28</f>
        <v>18054.32</v>
      </c>
      <c r="F23" s="98">
        <f>'Processed Results'!AN28</f>
        <v>21267.52</v>
      </c>
      <c r="G23" s="98">
        <f>'Processed Results'!AO28</f>
        <v>432478.23</v>
      </c>
      <c r="H23" s="98">
        <f>'Processed Results'!AP28</f>
        <v>509904.88</v>
      </c>
      <c r="I23" s="98">
        <f t="shared" si="9"/>
        <v>451325.32</v>
      </c>
      <c r="J23" s="98">
        <f t="shared" si="10"/>
        <v>532104.29</v>
      </c>
      <c r="M23" s="160" t="s">
        <v>515</v>
      </c>
    </row>
    <row r="24" spans="1:15">
      <c r="A24" t="s">
        <v>420</v>
      </c>
      <c r="B24" t="s">
        <v>421</v>
      </c>
      <c r="C24" s="98">
        <f>'Processed Results'!AK29</f>
        <v>2672.77</v>
      </c>
      <c r="D24" s="98">
        <f>'Processed Results'!AL29</f>
        <v>3326.33</v>
      </c>
      <c r="E24" s="98">
        <f>'Processed Results'!AM29</f>
        <v>4539.55</v>
      </c>
      <c r="F24" s="98">
        <f>'Processed Results'!AN29</f>
        <v>5709.5099999999993</v>
      </c>
      <c r="G24" s="98">
        <f>'Processed Results'!AO29</f>
        <v>146632.03</v>
      </c>
      <c r="H24" s="98">
        <f>'Processed Results'!AP29</f>
        <v>191008.75</v>
      </c>
      <c r="I24" s="98">
        <f t="shared" si="9"/>
        <v>153844.35</v>
      </c>
      <c r="J24" s="98">
        <f t="shared" si="10"/>
        <v>200044.59</v>
      </c>
      <c r="M24" t="s">
        <v>491</v>
      </c>
      <c r="N24" t="s">
        <v>492</v>
      </c>
      <c r="O24" s="160" t="s">
        <v>496</v>
      </c>
    </row>
    <row r="25" spans="1:15">
      <c r="A25" t="s">
        <v>422</v>
      </c>
      <c r="B25" t="s">
        <v>421</v>
      </c>
      <c r="C25" s="98">
        <f>'Processed Results'!AK30</f>
        <v>23433.65</v>
      </c>
      <c r="D25" s="98">
        <f>'Processed Results'!AL30</f>
        <v>32723.989999999998</v>
      </c>
      <c r="E25" s="98">
        <f>'Processed Results'!AM30</f>
        <v>37616.36</v>
      </c>
      <c r="F25" s="98">
        <f>'Processed Results'!AN30</f>
        <v>53346.650000000009</v>
      </c>
      <c r="G25" s="98">
        <f>'Processed Results'!AO30</f>
        <v>375195.94999999995</v>
      </c>
      <c r="H25" s="98">
        <f>'Processed Results'!AP30</f>
        <v>531803.80999999994</v>
      </c>
      <c r="I25" s="98">
        <f t="shared" si="9"/>
        <v>436245.95999999996</v>
      </c>
      <c r="J25" s="98">
        <f t="shared" si="10"/>
        <v>617874.44999999995</v>
      </c>
      <c r="M25" s="159">
        <f>I13</f>
        <v>1.5338114872592659</v>
      </c>
      <c r="N25" s="159">
        <f>J13</f>
        <v>1.2210064114019965</v>
      </c>
      <c r="O25" s="103">
        <f>(N25-M25)/M25</f>
        <v>-0.20393971387984183</v>
      </c>
    </row>
    <row r="26" spans="1:15">
      <c r="A26" t="s">
        <v>427</v>
      </c>
      <c r="B26" s="160" t="s">
        <v>421</v>
      </c>
      <c r="C26" s="98">
        <f>'Processed Results'!AK41</f>
        <v>19.11</v>
      </c>
      <c r="D26" s="98">
        <f>'Processed Results'!AL41</f>
        <v>17.39</v>
      </c>
      <c r="E26" s="98">
        <f>'Processed Results'!AM41</f>
        <v>32.950000000000003</v>
      </c>
      <c r="F26" s="98">
        <f>'Processed Results'!AN41</f>
        <v>30.470000000000002</v>
      </c>
      <c r="G26" s="98">
        <f>'Processed Results'!AO41</f>
        <v>1071.21</v>
      </c>
      <c r="H26" s="98">
        <f>'Processed Results'!AP41</f>
        <v>1312.3</v>
      </c>
      <c r="I26" s="98">
        <f t="shared" si="9"/>
        <v>1123.27</v>
      </c>
      <c r="J26" s="98">
        <f t="shared" si="10"/>
        <v>1360.1599999999999</v>
      </c>
    </row>
    <row r="27" spans="1:15">
      <c r="A27" t="s">
        <v>428</v>
      </c>
      <c r="B27" s="160" t="s">
        <v>421</v>
      </c>
      <c r="C27" s="159">
        <f>'Processed Results'!AK42</f>
        <v>0</v>
      </c>
      <c r="D27" s="159">
        <f>'Processed Results'!AL42</f>
        <v>0</v>
      </c>
      <c r="E27" s="98">
        <f>'Processed Results'!AM42</f>
        <v>2638.25</v>
      </c>
      <c r="F27" s="98">
        <f>'Processed Results'!AN42</f>
        <v>3659.2400000000002</v>
      </c>
      <c r="G27" s="98">
        <f>'Processed Results'!AO42</f>
        <v>130644.7</v>
      </c>
      <c r="H27" s="98">
        <f>'Processed Results'!AP42</f>
        <v>105566.61</v>
      </c>
      <c r="I27" s="98">
        <f t="shared" si="9"/>
        <v>133282.95000000001</v>
      </c>
      <c r="J27" s="98">
        <f t="shared" si="10"/>
        <v>109225.85</v>
      </c>
    </row>
    <row r="28" spans="1:15">
      <c r="A28" s="160"/>
      <c r="B28" s="160"/>
    </row>
    <row r="29" spans="1:15">
      <c r="A29" s="160"/>
      <c r="B29" s="160"/>
    </row>
    <row r="30" spans="1:15">
      <c r="A30" s="160"/>
    </row>
    <row r="31" spans="1:15">
      <c r="A31" s="160" t="s">
        <v>516</v>
      </c>
    </row>
    <row r="32" spans="1:15">
      <c r="A32" s="160" t="s">
        <v>409</v>
      </c>
      <c r="B32" s="160" t="s">
        <v>495</v>
      </c>
      <c r="C32" s="76">
        <f>C17*27/1000</f>
        <v>14875.473150000002</v>
      </c>
      <c r="D32" s="76">
        <f t="shared" ref="D32:J33" si="11">D17*27/1000</f>
        <v>18421.515179999999</v>
      </c>
      <c r="E32" s="76">
        <f t="shared" si="11"/>
        <v>24627.328830000002</v>
      </c>
      <c r="F32" s="76">
        <f t="shared" si="11"/>
        <v>30862.060830000002</v>
      </c>
      <c r="G32" s="76">
        <f t="shared" si="11"/>
        <v>579040.61382000009</v>
      </c>
      <c r="H32" s="76">
        <f t="shared" si="11"/>
        <v>749304.57077999995</v>
      </c>
      <c r="I32" s="76">
        <f>I17*27/1000</f>
        <v>618543.41579999996</v>
      </c>
      <c r="J32" s="76">
        <f t="shared" si="11"/>
        <v>798588.1467899998</v>
      </c>
    </row>
    <row r="33" spans="1:15">
      <c r="A33" s="160" t="s">
        <v>411</v>
      </c>
      <c r="B33" s="160" t="s">
        <v>495</v>
      </c>
      <c r="C33" s="76">
        <f>C18*27/1000</f>
        <v>115.80731999999999</v>
      </c>
      <c r="D33" s="76">
        <f t="shared" si="11"/>
        <v>140.27985000000001</v>
      </c>
      <c r="E33" s="76">
        <f t="shared" si="11"/>
        <v>757.43558999999993</v>
      </c>
      <c r="F33" s="76">
        <f t="shared" si="11"/>
        <v>928.14714000000004</v>
      </c>
      <c r="G33" s="76">
        <f t="shared" si="11"/>
        <v>126585.58985999998</v>
      </c>
      <c r="H33" s="76">
        <f t="shared" si="11"/>
        <v>169429.35375000001</v>
      </c>
      <c r="I33" s="76">
        <f t="shared" si="11"/>
        <v>127458.83276999999</v>
      </c>
      <c r="J33" s="76">
        <f t="shared" si="11"/>
        <v>170497.78074000002</v>
      </c>
    </row>
    <row r="34" spans="1:15">
      <c r="A34" s="160" t="s">
        <v>414</v>
      </c>
      <c r="B34" s="160" t="s">
        <v>495</v>
      </c>
      <c r="C34" s="76">
        <f>C19*1/1000</f>
        <v>217.79799</v>
      </c>
      <c r="D34" s="76">
        <f t="shared" ref="D34:J34" si="12">D19*1/1000</f>
        <v>351.26767000000001</v>
      </c>
      <c r="E34" s="76">
        <f t="shared" si="12"/>
        <v>570.33294999999998</v>
      </c>
      <c r="F34" s="76">
        <f t="shared" si="12"/>
        <v>919.84231000000011</v>
      </c>
      <c r="G34" s="76">
        <f t="shared" si="12"/>
        <v>13982.59626</v>
      </c>
      <c r="H34" s="76">
        <f t="shared" si="12"/>
        <v>22551.355529999997</v>
      </c>
      <c r="I34" s="76">
        <f t="shared" si="12"/>
        <v>14770.727199999999</v>
      </c>
      <c r="J34" s="76">
        <f t="shared" si="12"/>
        <v>23822.465509999998</v>
      </c>
    </row>
    <row r="35" spans="1:15">
      <c r="A35" s="160" t="s">
        <v>416</v>
      </c>
      <c r="B35" s="160" t="s">
        <v>495</v>
      </c>
      <c r="C35" s="76">
        <f t="shared" ref="C35:J38" si="13">C20*1/1000</f>
        <v>12.827450000000001</v>
      </c>
      <c r="D35" s="76">
        <f t="shared" si="13"/>
        <v>15.45698</v>
      </c>
      <c r="E35" s="76">
        <f t="shared" si="13"/>
        <v>44.260740000000006</v>
      </c>
      <c r="F35" s="76">
        <f t="shared" si="13"/>
        <v>53.318080000000002</v>
      </c>
      <c r="G35" s="76">
        <f t="shared" si="13"/>
        <v>1078.30907</v>
      </c>
      <c r="H35" s="76">
        <f t="shared" si="13"/>
        <v>1302.7987499999999</v>
      </c>
      <c r="I35" s="76">
        <f t="shared" si="13"/>
        <v>1135.39726</v>
      </c>
      <c r="J35" s="76">
        <f t="shared" si="13"/>
        <v>1371.5738100000001</v>
      </c>
    </row>
    <row r="36" spans="1:15">
      <c r="A36" s="160" t="s">
        <v>417</v>
      </c>
      <c r="B36" s="160" t="s">
        <v>495</v>
      </c>
      <c r="C36" s="76">
        <f t="shared" si="13"/>
        <v>45.031799999999997</v>
      </c>
      <c r="D36" s="76">
        <f t="shared" si="13"/>
        <v>52.935480000000005</v>
      </c>
      <c r="E36" s="76">
        <f t="shared" si="13"/>
        <v>480.96422999999999</v>
      </c>
      <c r="F36" s="76">
        <f t="shared" si="13"/>
        <v>595.01327000000003</v>
      </c>
      <c r="G36" s="76">
        <f t="shared" si="13"/>
        <v>43784.754700000005</v>
      </c>
      <c r="H36" s="76">
        <f t="shared" si="13"/>
        <v>57149.48072</v>
      </c>
      <c r="I36" s="76">
        <f t="shared" si="13"/>
        <v>44310.750730000007</v>
      </c>
      <c r="J36" s="76">
        <f t="shared" si="13"/>
        <v>57797.429469999995</v>
      </c>
    </row>
    <row r="37" spans="1:15">
      <c r="A37" s="160" t="s">
        <v>418</v>
      </c>
      <c r="B37" s="160" t="s">
        <v>495</v>
      </c>
      <c r="C37" s="76">
        <f t="shared" si="13"/>
        <v>0.62814999999999999</v>
      </c>
      <c r="D37" s="76">
        <f t="shared" si="13"/>
        <v>0.73838000000000015</v>
      </c>
      <c r="E37" s="76">
        <f t="shared" si="13"/>
        <v>2.3820799999999998</v>
      </c>
      <c r="F37" s="76">
        <f t="shared" si="13"/>
        <v>2.8060299999999998</v>
      </c>
      <c r="G37" s="76">
        <f t="shared" si="13"/>
        <v>57.061010000000003</v>
      </c>
      <c r="H37" s="76">
        <f t="shared" si="13"/>
        <v>67.276650000000004</v>
      </c>
      <c r="I37" s="76">
        <f t="shared" si="13"/>
        <v>60.071240000000003</v>
      </c>
      <c r="J37" s="76">
        <f t="shared" si="13"/>
        <v>70.821060000000017</v>
      </c>
    </row>
    <row r="38" spans="1:15">
      <c r="A38" s="160" t="s">
        <v>419</v>
      </c>
      <c r="B38" s="160" t="s">
        <v>495</v>
      </c>
      <c r="C38" s="76">
        <f t="shared" si="13"/>
        <v>0.79277000000000009</v>
      </c>
      <c r="D38" s="76">
        <f t="shared" si="13"/>
        <v>0.93189</v>
      </c>
      <c r="E38" s="76">
        <f t="shared" si="13"/>
        <v>18.054320000000001</v>
      </c>
      <c r="F38" s="76">
        <f t="shared" si="13"/>
        <v>21.267520000000001</v>
      </c>
      <c r="G38" s="76">
        <f t="shared" si="13"/>
        <v>432.47823</v>
      </c>
      <c r="H38" s="76">
        <f t="shared" si="13"/>
        <v>509.90487999999999</v>
      </c>
      <c r="I38" s="76">
        <f t="shared" si="13"/>
        <v>451.32532000000003</v>
      </c>
      <c r="J38" s="76">
        <f t="shared" si="13"/>
        <v>532.10428999999999</v>
      </c>
    </row>
    <row r="39" spans="1:15">
      <c r="A39" t="s">
        <v>420</v>
      </c>
      <c r="B39" s="160" t="s">
        <v>495</v>
      </c>
      <c r="C39" s="76">
        <f>C24*273/1000</f>
        <v>729.66620999999998</v>
      </c>
      <c r="D39" s="76">
        <f t="shared" ref="D39:J39" si="14">D24*273/1000</f>
        <v>908.08808999999997</v>
      </c>
      <c r="E39" s="76">
        <f t="shared" si="14"/>
        <v>1239.2971500000001</v>
      </c>
      <c r="F39" s="76">
        <f t="shared" si="14"/>
        <v>1558.6962299999998</v>
      </c>
      <c r="G39" s="76">
        <f t="shared" si="14"/>
        <v>40030.544190000001</v>
      </c>
      <c r="H39" s="76">
        <f t="shared" si="14"/>
        <v>52145.388749999998</v>
      </c>
      <c r="I39" s="76">
        <f t="shared" si="14"/>
        <v>41999.507550000002</v>
      </c>
      <c r="J39" s="76">
        <f t="shared" si="14"/>
        <v>54612.173069999997</v>
      </c>
    </row>
    <row r="40" spans="1:15">
      <c r="A40" t="s">
        <v>422</v>
      </c>
      <c r="B40" s="160" t="s">
        <v>495</v>
      </c>
      <c r="C40" s="76">
        <f t="shared" ref="C40:J42" si="15">C25*273/1000</f>
        <v>6397.38645</v>
      </c>
      <c r="D40" s="76">
        <f t="shared" si="15"/>
        <v>8933.6492699999999</v>
      </c>
      <c r="E40" s="76">
        <f t="shared" si="15"/>
        <v>10269.26628</v>
      </c>
      <c r="F40" s="76">
        <f t="shared" si="15"/>
        <v>14563.635450000003</v>
      </c>
      <c r="G40" s="76">
        <f t="shared" si="15"/>
        <v>102428.49434999999</v>
      </c>
      <c r="H40" s="76">
        <f t="shared" si="15"/>
        <v>145182.44013</v>
      </c>
      <c r="I40" s="76">
        <f t="shared" si="15"/>
        <v>119095.14707999998</v>
      </c>
      <c r="J40" s="76">
        <f t="shared" si="15"/>
        <v>168679.72485</v>
      </c>
    </row>
    <row r="41" spans="1:15">
      <c r="A41" t="s">
        <v>427</v>
      </c>
      <c r="B41" s="160" t="s">
        <v>495</v>
      </c>
      <c r="C41" s="76">
        <f t="shared" si="15"/>
        <v>5.2170299999999994</v>
      </c>
      <c r="D41" s="76">
        <f t="shared" si="15"/>
        <v>4.7474699999999999</v>
      </c>
      <c r="E41" s="76">
        <f t="shared" si="15"/>
        <v>8.9953500000000002</v>
      </c>
      <c r="F41" s="76">
        <f t="shared" si="15"/>
        <v>8.3183100000000021</v>
      </c>
      <c r="G41" s="76">
        <f t="shared" si="15"/>
        <v>292.44033000000002</v>
      </c>
      <c r="H41" s="76">
        <f t="shared" si="15"/>
        <v>358.25789999999995</v>
      </c>
      <c r="I41" s="76">
        <f t="shared" si="15"/>
        <v>306.65271000000001</v>
      </c>
      <c r="J41" s="76">
        <f t="shared" si="15"/>
        <v>371.32367999999991</v>
      </c>
    </row>
    <row r="42" spans="1:15">
      <c r="A42" t="s">
        <v>428</v>
      </c>
      <c r="B42" s="160" t="s">
        <v>495</v>
      </c>
      <c r="C42" s="76">
        <f t="shared" si="15"/>
        <v>0</v>
      </c>
      <c r="D42" s="76">
        <f t="shared" si="15"/>
        <v>0</v>
      </c>
      <c r="E42" s="76">
        <f t="shared" si="15"/>
        <v>720.24225000000001</v>
      </c>
      <c r="F42" s="76">
        <f t="shared" si="15"/>
        <v>998.97252000000003</v>
      </c>
      <c r="G42" s="76">
        <f t="shared" si="15"/>
        <v>35666.003100000002</v>
      </c>
      <c r="H42" s="76">
        <f t="shared" si="15"/>
        <v>28819.684530000002</v>
      </c>
      <c r="I42" s="76">
        <f t="shared" si="15"/>
        <v>36386.245350000005</v>
      </c>
      <c r="J42" s="76">
        <f t="shared" si="15"/>
        <v>29818.657050000002</v>
      </c>
    </row>
    <row r="43" spans="1:15">
      <c r="A43" s="160"/>
      <c r="B43" s="160"/>
      <c r="M43" s="160" t="s">
        <v>517</v>
      </c>
    </row>
    <row r="44" spans="1:15">
      <c r="A44" s="160"/>
      <c r="M44" t="s">
        <v>491</v>
      </c>
      <c r="N44" t="s">
        <v>492</v>
      </c>
      <c r="O44" s="160" t="s">
        <v>496</v>
      </c>
    </row>
    <row r="45" spans="1:15">
      <c r="A45" s="160"/>
      <c r="M45" s="98">
        <f>I7/1000</f>
        <v>549887.27772999986</v>
      </c>
      <c r="N45" s="98">
        <f>J7/1000</f>
        <v>886867.00710000005</v>
      </c>
      <c r="O45" s="103">
        <f>(N45-M45)/M45</f>
        <v>0.6128160134220465</v>
      </c>
    </row>
    <row r="46" spans="1:15">
      <c r="A46" s="160"/>
      <c r="B46" s="144" t="s">
        <v>491</v>
      </c>
      <c r="C46" s="144" t="s">
        <v>492</v>
      </c>
      <c r="D46" s="144" t="s">
        <v>491</v>
      </c>
      <c r="E46" s="144" t="s">
        <v>492</v>
      </c>
    </row>
    <row r="47" spans="1:15">
      <c r="A47" s="160" t="s">
        <v>518</v>
      </c>
      <c r="B47" s="163">
        <f>I32</f>
        <v>618543.41579999996</v>
      </c>
      <c r="C47" s="163">
        <f>J32</f>
        <v>798588.1467899998</v>
      </c>
      <c r="D47" s="103">
        <f>B47/$B$53</f>
        <v>0.61576136101420087</v>
      </c>
      <c r="E47" s="103">
        <f>C47/$C$53</f>
        <v>0.61140044214596911</v>
      </c>
    </row>
    <row r="48" spans="1:15">
      <c r="A48" s="160" t="s">
        <v>519</v>
      </c>
      <c r="B48" s="163">
        <f>I33</f>
        <v>127458.83276999999</v>
      </c>
      <c r="C48" s="163">
        <f>J33</f>
        <v>170497.78074000002</v>
      </c>
      <c r="D48" s="103">
        <f t="shared" ref="D48:D52" si="16">B48/$B$53</f>
        <v>0.12688555457053599</v>
      </c>
      <c r="E48" s="103">
        <f t="shared" ref="E48:E52" si="17">C48/$C$53</f>
        <v>0.13053339064492095</v>
      </c>
    </row>
    <row r="49" spans="1:15">
      <c r="A49" s="160" t="s">
        <v>520</v>
      </c>
      <c r="B49" s="163">
        <f>I42</f>
        <v>36386.245350000005</v>
      </c>
      <c r="C49" s="163">
        <f>J42</f>
        <v>29818.657050000002</v>
      </c>
      <c r="D49" s="103">
        <f t="shared" si="16"/>
        <v>3.6222589048069603E-2</v>
      </c>
      <c r="E49" s="103">
        <f t="shared" si="17"/>
        <v>2.2829214505437883E-2</v>
      </c>
    </row>
    <row r="50" spans="1:15">
      <c r="A50" t="s">
        <v>521</v>
      </c>
      <c r="B50" s="39">
        <f>I40</f>
        <v>119095.14707999998</v>
      </c>
      <c r="C50" s="39">
        <f>J40</f>
        <v>168679.72485</v>
      </c>
      <c r="D50" s="103">
        <f t="shared" si="16"/>
        <v>0.11855948666322741</v>
      </c>
      <c r="E50" s="103">
        <f t="shared" si="17"/>
        <v>0.12914148396629052</v>
      </c>
    </row>
    <row r="51" spans="1:15">
      <c r="A51" s="160" t="s">
        <v>522</v>
      </c>
      <c r="B51" s="163">
        <f>I34+I35</f>
        <v>15906.124459999999</v>
      </c>
      <c r="C51" s="163">
        <f>J34+J35</f>
        <v>25194.03932</v>
      </c>
      <c r="D51" s="103">
        <f t="shared" si="16"/>
        <v>1.5834582659461673E-2</v>
      </c>
      <c r="E51" s="103">
        <f t="shared" si="17"/>
        <v>1.9288599313184572E-2</v>
      </c>
    </row>
    <row r="52" spans="1:15">
      <c r="A52" s="160" t="s">
        <v>523</v>
      </c>
      <c r="B52" s="163">
        <f>I36+I37+I38+I39+I41</f>
        <v>87128.307549999998</v>
      </c>
      <c r="C52" s="163">
        <f>J36+J37+J38+J39+J41</f>
        <v>113383.85157</v>
      </c>
      <c r="D52" s="103">
        <f t="shared" si="16"/>
        <v>8.6736426044504461E-2</v>
      </c>
      <c r="E52" s="103">
        <f t="shared" si="17"/>
        <v>8.680686942419695E-2</v>
      </c>
    </row>
    <row r="53" spans="1:15">
      <c r="B53" s="98">
        <f>SUM(B47:B52)</f>
        <v>1004518.0730099999</v>
      </c>
      <c r="C53" s="98">
        <f>SUM(C47:C52)</f>
        <v>1306162.2003199998</v>
      </c>
    </row>
    <row r="62" spans="1:15">
      <c r="M62" s="160" t="s">
        <v>524</v>
      </c>
    </row>
    <row r="63" spans="1:15">
      <c r="M63" t="s">
        <v>491</v>
      </c>
      <c r="N63" t="s">
        <v>492</v>
      </c>
      <c r="O63" s="160" t="s">
        <v>496</v>
      </c>
    </row>
    <row r="64" spans="1:15">
      <c r="M64" s="98">
        <f>I11</f>
        <v>4339779.6558800004</v>
      </c>
      <c r="N64" s="98">
        <f>J11</f>
        <v>7769845.5119099999</v>
      </c>
      <c r="O64" s="103">
        <f>(N64-M64)/M64</f>
        <v>0.79037788275323539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ECA1E-2660-4646-B06D-BEBF8B1E5DFB}">
  <sheetPr>
    <tabColor theme="9" tint="-0.249977111117893"/>
  </sheetPr>
  <dimension ref="A1:V91"/>
  <sheetViews>
    <sheetView zoomScaleNormal="100" workbookViewId="0">
      <pane xSplit="2" ySplit="4" topLeftCell="C5" activePane="bottomRight" state="frozen"/>
      <selection pane="bottomRight" activeCell="T7" sqref="T7"/>
      <selection pane="bottomLeft" activeCell="A5" sqref="A5"/>
      <selection pane="topRight" activeCell="C1" sqref="C1"/>
    </sheetView>
  </sheetViews>
  <sheetFormatPr defaultColWidth="11.42578125" defaultRowHeight="14.45"/>
  <cols>
    <col min="1" max="1" width="38.85546875" customWidth="1"/>
    <col min="2" max="2" width="7.28515625" customWidth="1"/>
    <col min="3" max="3" width="9.28515625" bestFit="1" customWidth="1"/>
    <col min="4" max="4" width="9.42578125" bestFit="1" customWidth="1"/>
    <col min="5" max="5" width="9" bestFit="1" customWidth="1"/>
    <col min="6" max="6" width="9" customWidth="1"/>
    <col min="7" max="7" width="9" bestFit="1" customWidth="1"/>
    <col min="8" max="9" width="9.140625" customWidth="1"/>
    <col min="10" max="11" width="9" bestFit="1" customWidth="1"/>
    <col min="12" max="12" width="12.7109375" bestFit="1" customWidth="1"/>
    <col min="13" max="14" width="10.28515625" bestFit="1" customWidth="1"/>
    <col min="15" max="15" width="10.28515625" customWidth="1"/>
    <col min="16" max="17" width="9.28515625" bestFit="1" customWidth="1"/>
    <col min="18" max="18" width="7.7109375" bestFit="1" customWidth="1"/>
  </cols>
  <sheetData>
    <row r="1" spans="1:22">
      <c r="B1" s="321" t="s">
        <v>525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</row>
    <row r="2" spans="1:22" s="161" customFormat="1">
      <c r="A2" s="188" t="s">
        <v>526</v>
      </c>
      <c r="C2" s="322" t="s">
        <v>36</v>
      </c>
      <c r="D2" s="322"/>
      <c r="E2" s="322"/>
      <c r="F2" s="322"/>
      <c r="G2" s="322"/>
      <c r="H2" s="322"/>
      <c r="I2" s="322" t="s">
        <v>37</v>
      </c>
      <c r="J2" s="322"/>
      <c r="K2" s="322"/>
      <c r="L2" s="322"/>
      <c r="M2" s="322"/>
      <c r="N2" s="322"/>
      <c r="O2" s="322" t="s">
        <v>38</v>
      </c>
      <c r="P2" s="322"/>
      <c r="Q2" s="322"/>
    </row>
    <row r="3" spans="1:22">
      <c r="A3" s="29"/>
      <c r="C3" s="323" t="s">
        <v>527</v>
      </c>
      <c r="D3" s="323"/>
      <c r="E3" s="323"/>
      <c r="F3" s="323" t="s">
        <v>528</v>
      </c>
      <c r="G3" s="323"/>
      <c r="H3" s="324"/>
      <c r="I3" s="323" t="s">
        <v>529</v>
      </c>
      <c r="J3" s="323"/>
      <c r="K3" s="324"/>
      <c r="L3" s="323" t="s">
        <v>530</v>
      </c>
      <c r="M3" s="323"/>
      <c r="N3" s="323"/>
      <c r="O3" s="325" t="s">
        <v>531</v>
      </c>
      <c r="P3" s="323"/>
      <c r="Q3" s="323"/>
    </row>
    <row r="4" spans="1:22" s="154" customFormat="1" ht="43.15">
      <c r="A4" s="167" t="s">
        <v>532</v>
      </c>
      <c r="B4" s="154" t="s">
        <v>533</v>
      </c>
      <c r="C4" s="187" t="s">
        <v>534</v>
      </c>
      <c r="D4" s="187" t="s">
        <v>535</v>
      </c>
      <c r="E4" s="187" t="s">
        <v>536</v>
      </c>
      <c r="F4" s="187" t="s">
        <v>537</v>
      </c>
      <c r="G4" s="187" t="s">
        <v>538</v>
      </c>
      <c r="H4" s="198" t="s">
        <v>539</v>
      </c>
      <c r="I4" s="187" t="s">
        <v>540</v>
      </c>
      <c r="J4" s="187" t="s">
        <v>541</v>
      </c>
      <c r="K4" s="198" t="s">
        <v>542</v>
      </c>
      <c r="L4" s="187" t="s">
        <v>543</v>
      </c>
      <c r="M4" s="187" t="s">
        <v>544</v>
      </c>
      <c r="N4" s="187" t="s">
        <v>545</v>
      </c>
      <c r="O4" s="189" t="s">
        <v>546</v>
      </c>
      <c r="P4" s="187" t="s">
        <v>547</v>
      </c>
      <c r="Q4" s="187" t="s">
        <v>548</v>
      </c>
      <c r="R4" s="238" t="s">
        <v>527</v>
      </c>
      <c r="S4" s="154" t="s">
        <v>528</v>
      </c>
      <c r="T4" s="154" t="s">
        <v>529</v>
      </c>
      <c r="U4" s="154" t="s">
        <v>530</v>
      </c>
      <c r="V4" s="154" t="s">
        <v>531</v>
      </c>
    </row>
    <row r="5" spans="1:22">
      <c r="A5" t="s">
        <v>549</v>
      </c>
      <c r="B5" t="s">
        <v>550</v>
      </c>
      <c r="C5" s="192">
        <v>34</v>
      </c>
      <c r="D5" s="161">
        <v>34</v>
      </c>
      <c r="E5" s="244">
        <v>30</v>
      </c>
      <c r="F5" s="192">
        <v>34</v>
      </c>
      <c r="G5" s="161">
        <v>34</v>
      </c>
      <c r="H5" s="161">
        <v>30</v>
      </c>
      <c r="I5" s="192">
        <v>32</v>
      </c>
      <c r="J5" s="192">
        <v>32</v>
      </c>
      <c r="K5" s="249">
        <v>30</v>
      </c>
      <c r="L5" s="192">
        <v>32</v>
      </c>
      <c r="M5" s="192">
        <v>32</v>
      </c>
      <c r="N5" s="249">
        <v>30</v>
      </c>
      <c r="O5" s="250">
        <v>32</v>
      </c>
      <c r="P5" s="250">
        <v>32</v>
      </c>
      <c r="Q5" s="251">
        <v>30</v>
      </c>
    </row>
    <row r="6" spans="1:22">
      <c r="A6" t="s">
        <v>551</v>
      </c>
      <c r="B6" t="s">
        <v>136</v>
      </c>
      <c r="C6" s="190">
        <v>6</v>
      </c>
      <c r="D6">
        <v>6</v>
      </c>
      <c r="E6" s="191">
        <v>5</v>
      </c>
      <c r="F6" s="190">
        <v>6</v>
      </c>
      <c r="G6">
        <v>6</v>
      </c>
      <c r="H6">
        <v>5</v>
      </c>
      <c r="I6" s="190">
        <v>6</v>
      </c>
      <c r="J6">
        <v>6</v>
      </c>
      <c r="K6">
        <v>5</v>
      </c>
      <c r="L6" s="190">
        <v>6</v>
      </c>
      <c r="M6">
        <v>6</v>
      </c>
      <c r="N6">
        <v>5</v>
      </c>
      <c r="O6" s="190">
        <v>6</v>
      </c>
      <c r="P6">
        <v>6</v>
      </c>
      <c r="Q6" s="191">
        <v>5</v>
      </c>
    </row>
    <row r="7" spans="1:22">
      <c r="A7" t="s">
        <v>552</v>
      </c>
      <c r="B7" t="s">
        <v>136</v>
      </c>
      <c r="C7" s="190">
        <v>9</v>
      </c>
      <c r="D7">
        <v>9</v>
      </c>
      <c r="E7" s="191">
        <v>6</v>
      </c>
      <c r="F7" s="190">
        <v>9</v>
      </c>
      <c r="G7">
        <v>9</v>
      </c>
      <c r="H7">
        <v>6</v>
      </c>
      <c r="I7" s="190">
        <v>9</v>
      </c>
      <c r="J7">
        <v>9</v>
      </c>
      <c r="K7">
        <v>6</v>
      </c>
      <c r="L7" s="190">
        <v>9</v>
      </c>
      <c r="M7">
        <v>9</v>
      </c>
      <c r="N7">
        <v>6</v>
      </c>
      <c r="O7" s="190">
        <v>9</v>
      </c>
      <c r="P7">
        <v>9</v>
      </c>
      <c r="Q7" s="191">
        <v>6</v>
      </c>
    </row>
    <row r="8" spans="1:22">
      <c r="A8" t="s">
        <v>553</v>
      </c>
      <c r="B8" t="s">
        <v>136</v>
      </c>
      <c r="C8" s="190">
        <v>9</v>
      </c>
      <c r="D8">
        <v>9</v>
      </c>
      <c r="E8" s="191">
        <v>6</v>
      </c>
      <c r="F8" s="190">
        <v>9</v>
      </c>
      <c r="G8">
        <v>9</v>
      </c>
      <c r="H8">
        <v>6</v>
      </c>
      <c r="I8" s="190">
        <v>9</v>
      </c>
      <c r="J8">
        <v>9</v>
      </c>
      <c r="K8">
        <v>6</v>
      </c>
      <c r="L8" s="190">
        <v>9</v>
      </c>
      <c r="M8">
        <v>9</v>
      </c>
      <c r="N8">
        <v>6</v>
      </c>
      <c r="O8" s="190">
        <v>9</v>
      </c>
      <c r="P8">
        <v>9</v>
      </c>
      <c r="Q8" s="191">
        <v>6</v>
      </c>
    </row>
    <row r="9" spans="1:22">
      <c r="A9" t="s">
        <v>554</v>
      </c>
      <c r="B9" t="s">
        <v>136</v>
      </c>
      <c r="C9" s="192">
        <v>60</v>
      </c>
      <c r="D9" s="161">
        <v>60</v>
      </c>
      <c r="E9" s="244">
        <v>63</v>
      </c>
      <c r="F9" s="190">
        <v>63</v>
      </c>
      <c r="G9">
        <v>63</v>
      </c>
      <c r="H9" s="161">
        <v>70</v>
      </c>
      <c r="I9" s="190">
        <v>63</v>
      </c>
      <c r="J9">
        <v>63</v>
      </c>
      <c r="K9" s="161">
        <v>70</v>
      </c>
      <c r="L9" s="190">
        <v>70</v>
      </c>
      <c r="M9">
        <v>70</v>
      </c>
      <c r="N9" s="244">
        <v>77</v>
      </c>
      <c r="O9" s="190">
        <v>70</v>
      </c>
      <c r="P9">
        <v>70</v>
      </c>
      <c r="Q9" s="244">
        <v>77</v>
      </c>
    </row>
    <row r="10" spans="1:22">
      <c r="A10" t="s">
        <v>555</v>
      </c>
      <c r="B10" t="s">
        <v>556</v>
      </c>
      <c r="C10" s="190">
        <v>300</v>
      </c>
      <c r="D10">
        <v>300</v>
      </c>
      <c r="E10" s="191">
        <v>330</v>
      </c>
      <c r="F10" s="190">
        <v>300</v>
      </c>
      <c r="G10">
        <v>300</v>
      </c>
      <c r="H10">
        <v>330</v>
      </c>
      <c r="I10" s="190">
        <v>300</v>
      </c>
      <c r="J10">
        <v>300</v>
      </c>
      <c r="K10" s="252">
        <f>J10+(J10*0.15)</f>
        <v>345</v>
      </c>
      <c r="L10" s="190">
        <v>300</v>
      </c>
      <c r="M10">
        <v>300</v>
      </c>
      <c r="N10" s="116">
        <f>M10+(M10*0.15)</f>
        <v>345</v>
      </c>
      <c r="O10" s="190">
        <v>300</v>
      </c>
      <c r="P10">
        <v>300</v>
      </c>
      <c r="Q10" s="240">
        <f>P10+(P10*0.28)</f>
        <v>384</v>
      </c>
      <c r="R10" s="121">
        <f>(E10-D10)/D10</f>
        <v>0.1</v>
      </c>
      <c r="S10" s="121">
        <f>(H10-G10)/G10</f>
        <v>0.1</v>
      </c>
      <c r="T10" s="121">
        <f>(K10-J10)/J10</f>
        <v>0.15</v>
      </c>
      <c r="U10" s="121">
        <f>(N10-M10)/M10</f>
        <v>0.15</v>
      </c>
      <c r="V10" s="239">
        <f>(Q10-P10)/P10</f>
        <v>0.28000000000000003</v>
      </c>
    </row>
    <row r="11" spans="1:22">
      <c r="A11" t="s">
        <v>557</v>
      </c>
      <c r="B11" t="s">
        <v>556</v>
      </c>
      <c r="C11" s="190">
        <v>350</v>
      </c>
      <c r="D11">
        <v>350</v>
      </c>
      <c r="E11" s="191">
        <v>386</v>
      </c>
      <c r="F11" s="190">
        <v>350</v>
      </c>
      <c r="G11">
        <v>350</v>
      </c>
      <c r="H11">
        <v>386</v>
      </c>
      <c r="I11" s="190">
        <v>350</v>
      </c>
      <c r="J11">
        <v>350</v>
      </c>
      <c r="K11" s="252">
        <f t="shared" ref="K11:K13" si="0">J11+(J11*0.15)</f>
        <v>402.5</v>
      </c>
      <c r="L11" s="190">
        <v>350</v>
      </c>
      <c r="M11">
        <v>350</v>
      </c>
      <c r="N11" s="116">
        <f t="shared" ref="N11:N13" si="1">M11+(M11*0.15)</f>
        <v>402.5</v>
      </c>
      <c r="O11" s="190">
        <v>350</v>
      </c>
      <c r="P11">
        <v>350</v>
      </c>
      <c r="Q11" s="240">
        <f t="shared" ref="Q11:Q13" si="2">P11+(P11*0.28)</f>
        <v>448</v>
      </c>
      <c r="R11" s="121">
        <f t="shared" ref="R11:R20" si="3">(E11-D11)/D11</f>
        <v>0.10285714285714286</v>
      </c>
      <c r="S11" s="121">
        <f t="shared" ref="S11:S20" si="4">(H11-G11)/G11</f>
        <v>0.10285714285714286</v>
      </c>
      <c r="T11" s="121">
        <f t="shared" ref="T11:T20" si="5">(K11-J11)/J11</f>
        <v>0.15</v>
      </c>
      <c r="U11" s="121">
        <f t="shared" ref="U11:U20" si="6">(N11-M11)/M11</f>
        <v>0.15</v>
      </c>
      <c r="V11" s="239">
        <f t="shared" ref="V11:V20" si="7">(Q11-P11)/P11</f>
        <v>0.28000000000000003</v>
      </c>
    </row>
    <row r="12" spans="1:22">
      <c r="A12" t="s">
        <v>558</v>
      </c>
      <c r="B12" t="s">
        <v>556</v>
      </c>
      <c r="C12" s="190">
        <v>195</v>
      </c>
      <c r="D12">
        <v>195</v>
      </c>
      <c r="E12" s="191">
        <v>215</v>
      </c>
      <c r="F12" s="190">
        <v>195</v>
      </c>
      <c r="G12">
        <v>195</v>
      </c>
      <c r="H12">
        <v>215</v>
      </c>
      <c r="I12" s="190">
        <v>195</v>
      </c>
      <c r="J12">
        <v>195</v>
      </c>
      <c r="K12" s="252">
        <f t="shared" si="0"/>
        <v>224.25</v>
      </c>
      <c r="L12" s="190">
        <v>195</v>
      </c>
      <c r="M12">
        <v>195</v>
      </c>
      <c r="N12" s="116">
        <f t="shared" si="1"/>
        <v>224.25</v>
      </c>
      <c r="O12" s="190">
        <v>195</v>
      </c>
      <c r="P12">
        <v>195</v>
      </c>
      <c r="Q12" s="240">
        <f t="shared" si="2"/>
        <v>249.60000000000002</v>
      </c>
      <c r="R12" s="121">
        <f t="shared" si="3"/>
        <v>0.10256410256410256</v>
      </c>
      <c r="S12" s="121">
        <f t="shared" si="4"/>
        <v>0.10256410256410256</v>
      </c>
      <c r="T12" s="121">
        <f t="shared" si="5"/>
        <v>0.15</v>
      </c>
      <c r="U12" s="121">
        <f t="shared" si="6"/>
        <v>0.15</v>
      </c>
      <c r="V12" s="239">
        <f t="shared" si="7"/>
        <v>0.28000000000000014</v>
      </c>
    </row>
    <row r="13" spans="1:22">
      <c r="A13" t="s">
        <v>559</v>
      </c>
      <c r="B13" t="s">
        <v>556</v>
      </c>
      <c r="C13" s="190">
        <v>231</v>
      </c>
      <c r="D13">
        <v>231</v>
      </c>
      <c r="E13" s="191">
        <v>254</v>
      </c>
      <c r="F13" s="190">
        <v>231</v>
      </c>
      <c r="G13">
        <v>231</v>
      </c>
      <c r="H13">
        <v>254</v>
      </c>
      <c r="I13" s="190">
        <v>231</v>
      </c>
      <c r="J13">
        <v>231</v>
      </c>
      <c r="K13" s="252">
        <f t="shared" si="0"/>
        <v>265.64999999999998</v>
      </c>
      <c r="L13" s="190">
        <v>231</v>
      </c>
      <c r="M13">
        <v>231</v>
      </c>
      <c r="N13" s="116">
        <f t="shared" si="1"/>
        <v>265.64999999999998</v>
      </c>
      <c r="O13" s="190">
        <v>231</v>
      </c>
      <c r="P13">
        <v>231</v>
      </c>
      <c r="Q13" s="240">
        <f t="shared" si="2"/>
        <v>295.68</v>
      </c>
      <c r="R13" s="121">
        <f t="shared" si="3"/>
        <v>9.9567099567099568E-2</v>
      </c>
      <c r="S13" s="121">
        <f t="shared" si="4"/>
        <v>9.9567099567099568E-2</v>
      </c>
      <c r="T13" s="121">
        <f t="shared" si="5"/>
        <v>0.14999999999999991</v>
      </c>
      <c r="U13" s="121">
        <f t="shared" si="6"/>
        <v>0.14999999999999991</v>
      </c>
      <c r="V13" s="239">
        <f t="shared" si="7"/>
        <v>0.28000000000000003</v>
      </c>
    </row>
    <row r="14" spans="1:22">
      <c r="A14" t="s">
        <v>111</v>
      </c>
      <c r="B14" t="s">
        <v>136</v>
      </c>
      <c r="C14" s="190">
        <v>3.24</v>
      </c>
      <c r="D14">
        <v>3.24</v>
      </c>
      <c r="E14" s="191">
        <f t="shared" ref="E14:E15" si="8">D14</f>
        <v>3.24</v>
      </c>
      <c r="F14" s="190">
        <v>3.24</v>
      </c>
      <c r="G14">
        <v>3.24</v>
      </c>
      <c r="H14">
        <f t="shared" ref="H14:H15" si="9">G14</f>
        <v>3.24</v>
      </c>
      <c r="I14" s="190">
        <v>3.24</v>
      </c>
      <c r="J14">
        <v>3.24</v>
      </c>
      <c r="K14" s="161">
        <f t="shared" ref="K14:K15" si="10">J14</f>
        <v>3.24</v>
      </c>
      <c r="L14" s="190">
        <v>3.24</v>
      </c>
      <c r="M14">
        <v>3.24</v>
      </c>
      <c r="N14" s="191">
        <f t="shared" ref="N14:N15" si="11">M14</f>
        <v>3.24</v>
      </c>
      <c r="O14" s="190">
        <v>3.24</v>
      </c>
      <c r="P14">
        <v>3.24</v>
      </c>
      <c r="Q14" s="191">
        <f t="shared" ref="Q14:Q15" si="12">P14</f>
        <v>3.24</v>
      </c>
      <c r="R14" s="121">
        <f t="shared" si="3"/>
        <v>0</v>
      </c>
      <c r="S14" s="121">
        <f t="shared" si="4"/>
        <v>0</v>
      </c>
      <c r="T14" s="121">
        <f t="shared" si="5"/>
        <v>0</v>
      </c>
      <c r="U14" s="121">
        <f t="shared" si="6"/>
        <v>0</v>
      </c>
      <c r="V14" s="239">
        <f t="shared" si="7"/>
        <v>0</v>
      </c>
    </row>
    <row r="15" spans="1:22">
      <c r="A15" t="s">
        <v>109</v>
      </c>
      <c r="B15" t="s">
        <v>136</v>
      </c>
      <c r="C15" s="190">
        <v>3.56</v>
      </c>
      <c r="D15">
        <v>3.56</v>
      </c>
      <c r="E15" s="191">
        <f t="shared" si="8"/>
        <v>3.56</v>
      </c>
      <c r="F15" s="190">
        <v>3.56</v>
      </c>
      <c r="G15">
        <v>3.56</v>
      </c>
      <c r="H15">
        <f t="shared" si="9"/>
        <v>3.56</v>
      </c>
      <c r="I15" s="190">
        <v>3.56</v>
      </c>
      <c r="J15">
        <v>3.56</v>
      </c>
      <c r="K15" s="161">
        <f t="shared" si="10"/>
        <v>3.56</v>
      </c>
      <c r="L15" s="190">
        <v>3.56</v>
      </c>
      <c r="M15">
        <v>3.56</v>
      </c>
      <c r="N15" s="191">
        <f t="shared" si="11"/>
        <v>3.56</v>
      </c>
      <c r="O15" s="190">
        <v>3.56</v>
      </c>
      <c r="P15">
        <v>3.56</v>
      </c>
      <c r="Q15" s="191">
        <f t="shared" si="12"/>
        <v>3.56</v>
      </c>
      <c r="R15" s="121">
        <f t="shared" si="3"/>
        <v>0</v>
      </c>
      <c r="S15" s="121">
        <f t="shared" si="4"/>
        <v>0</v>
      </c>
      <c r="T15" s="121">
        <f t="shared" si="5"/>
        <v>0</v>
      </c>
      <c r="U15" s="121">
        <f t="shared" si="6"/>
        <v>0</v>
      </c>
      <c r="V15" s="239">
        <f t="shared" si="7"/>
        <v>0</v>
      </c>
    </row>
    <row r="16" spans="1:22" s="291" customFormat="1">
      <c r="A16" s="291" t="s">
        <v>560</v>
      </c>
      <c r="B16" s="291" t="s">
        <v>556</v>
      </c>
      <c r="C16" s="304">
        <f>1.9*190</f>
        <v>361</v>
      </c>
      <c r="D16" s="304">
        <f>1.9*190</f>
        <v>361</v>
      </c>
      <c r="E16" s="291">
        <f>2.2*200</f>
        <v>440.00000000000006</v>
      </c>
      <c r="F16" s="304">
        <f t="shared" ref="F16:G16" si="13">2.1*230</f>
        <v>483</v>
      </c>
      <c r="G16" s="304">
        <f t="shared" si="13"/>
        <v>483</v>
      </c>
      <c r="H16" s="291">
        <f>2.6*230</f>
        <v>598</v>
      </c>
      <c r="I16" s="304">
        <f t="shared" ref="I16:J16" si="14">2.1*230</f>
        <v>483</v>
      </c>
      <c r="J16" s="304">
        <f t="shared" si="14"/>
        <v>483</v>
      </c>
      <c r="K16" s="291">
        <f>3.4*250</f>
        <v>850</v>
      </c>
      <c r="L16" s="304">
        <f>2.1*230</f>
        <v>483</v>
      </c>
      <c r="M16" s="304">
        <f>2.1*230</f>
        <v>483</v>
      </c>
      <c r="N16" s="305">
        <f>3.4*250</f>
        <v>850</v>
      </c>
      <c r="O16" s="304">
        <f>2.1*230</f>
        <v>483</v>
      </c>
      <c r="P16" s="291">
        <f>2.1*230</f>
        <v>483</v>
      </c>
      <c r="Q16" s="305">
        <f>6.3*280</f>
        <v>1764</v>
      </c>
      <c r="R16" s="290">
        <f>(N16-M16)/M16</f>
        <v>0.75983436853002073</v>
      </c>
      <c r="S16" s="290">
        <f t="shared" si="4"/>
        <v>0.23809523809523808</v>
      </c>
      <c r="T16" s="290">
        <f t="shared" si="5"/>
        <v>0.75983436853002073</v>
      </c>
      <c r="U16" s="290">
        <f>(N16-M16)/K16</f>
        <v>0.43176470588235294</v>
      </c>
      <c r="V16" s="306">
        <f t="shared" si="7"/>
        <v>2.652173913043478</v>
      </c>
    </row>
    <row r="17" spans="1:22" s="161" customFormat="1">
      <c r="A17" s="161" t="s">
        <v>561</v>
      </c>
      <c r="B17" s="161" t="s">
        <v>430</v>
      </c>
      <c r="C17" s="214">
        <f>'HH Numbers &amp; Data Inputs'!AC100*'HH Numbers &amp; Data Inputs'!X92</f>
        <v>1311.2042374670327</v>
      </c>
      <c r="D17" s="215">
        <f>'HH Numbers &amp; Data Inputs'!AR107*'HH Numbers &amp; Data Inputs'!X92</f>
        <v>1632.4426651268841</v>
      </c>
      <c r="E17" s="216">
        <f>'HH Numbers &amp; Data Inputs'!AR115*'HH Numbers &amp; Data Inputs'!X92</f>
        <v>1581.100281139665</v>
      </c>
      <c r="F17" s="217">
        <f>'HH Numbers &amp; Data Inputs'!AC99*'HH Numbers &amp; Data Inputs'!AA92</f>
        <v>2562.5446458324659</v>
      </c>
      <c r="G17" s="215">
        <f>'HH Numbers &amp; Data Inputs'!AR106*'HH Numbers &amp; Data Inputs'!AA92</f>
        <v>3306.1514809727291</v>
      </c>
      <c r="H17" s="215">
        <f>'HH Numbers &amp; Data Inputs'!AR114*'HH Numbers &amp; Data Inputs'!AA92</f>
        <v>3125.0824487673503</v>
      </c>
      <c r="I17" s="217">
        <f>'HH Numbers &amp; Data Inputs'!AC98*'HH Numbers &amp; Data Inputs'!AB92</f>
        <v>4700.1211234836292</v>
      </c>
      <c r="J17" s="215">
        <f>'HH Numbers &amp; Data Inputs'!AR105*'HH Numbers &amp; Data Inputs'!AB92</f>
        <v>6064.0162654057967</v>
      </c>
      <c r="K17" s="215">
        <f>'HH Numbers &amp; Data Inputs'!AR113*'HH Numbers &amp; Data Inputs'!AB92</f>
        <v>5688.9497935246436</v>
      </c>
      <c r="L17" s="217">
        <f>'HH Numbers &amp; Data Inputs'!AC96*0.4085</f>
        <v>116175.92769864024</v>
      </c>
      <c r="M17" s="215">
        <f>'HH Numbers &amp; Data Inputs'!AR103*0.4089</f>
        <v>156638.01113854419</v>
      </c>
      <c r="N17" s="216">
        <f>'HH Numbers &amp; Data Inputs'!AR111*0.4089</f>
        <v>138391.30156927483</v>
      </c>
      <c r="O17" s="217">
        <f>'HH Numbers &amp; Data Inputs'!AC97*0.451</f>
        <v>13677.718682472376</v>
      </c>
      <c r="P17" s="215">
        <f>'HH Numbers &amp; Data Inputs'!AR104*0.451</f>
        <v>18081.829905458057</v>
      </c>
      <c r="Q17" s="216">
        <f>'HH Numbers &amp; Data Inputs'!AR112*0.451</f>
        <v>16806.195121890774</v>
      </c>
      <c r="R17" s="121">
        <f t="shared" si="3"/>
        <v>-3.14512632412903E-2</v>
      </c>
      <c r="S17" s="121">
        <f t="shared" si="4"/>
        <v>-5.4767312764539458E-2</v>
      </c>
      <c r="T17" s="121">
        <f t="shared" si="5"/>
        <v>-6.1851165212211734E-2</v>
      </c>
      <c r="U17" s="121">
        <f t="shared" si="6"/>
        <v>-0.11648966580104486</v>
      </c>
      <c r="V17" s="239">
        <f t="shared" si="7"/>
        <v>-7.0547880952150088E-2</v>
      </c>
    </row>
    <row r="18" spans="1:22" s="161" customFormat="1">
      <c r="A18" s="161" t="s">
        <v>562</v>
      </c>
      <c r="B18" s="161" t="s">
        <v>430</v>
      </c>
      <c r="C18" s="214">
        <f>'HH Numbers &amp; Data Inputs'!AC100*'HH Numbers &amp; Data Inputs'!X93</f>
        <v>33.362640122987209</v>
      </c>
      <c r="D18" s="215">
        <f>'HH Numbers &amp; Data Inputs'!AR107*'HH Numbers &amp; Data Inputs'!X93</f>
        <v>41.536318753246633</v>
      </c>
      <c r="E18" s="216">
        <f>'HH Numbers &amp; Data Inputs'!AR115*'HH Numbers &amp; Data Inputs'!X93</f>
        <v>40.229949058064129</v>
      </c>
      <c r="F18" s="217">
        <f>'HH Numbers &amp; Data Inputs'!AC99*'HH Numbers &amp; Data Inputs'!AA93</f>
        <v>65.202088564898958</v>
      </c>
      <c r="G18" s="215">
        <f>'HH Numbers &amp; Data Inputs'!AR106*'HH Numbers &amp; Data Inputs'!AA93</f>
        <v>84.122624759705019</v>
      </c>
      <c r="H18" s="215">
        <f>'HH Numbers &amp; Data Inputs'!AR114*'HH Numbers &amp; Data Inputs'!AA93</f>
        <v>79.515454658916269</v>
      </c>
      <c r="I18" s="217">
        <f>'HH Numbers &amp; Data Inputs'!AC98*'HH Numbers &amp; Data Inputs'!AB93</f>
        <v>157.30973846699069</v>
      </c>
      <c r="J18" s="215">
        <f>'HH Numbers &amp; Data Inputs'!AR105*'HH Numbers &amp; Data Inputs'!AB93</f>
        <v>202.9583467550155</v>
      </c>
      <c r="K18" s="215">
        <f>'HH Numbers &amp; Data Inputs'!AR113*'HH Numbers &amp; Data Inputs'!AB93</f>
        <v>190.40513651867369</v>
      </c>
      <c r="L18" s="217">
        <f>'HH Numbers &amp; Data Inputs'!AC96*0.0137</f>
        <v>3896.2306229409337</v>
      </c>
      <c r="M18" s="215">
        <f>'HH Numbers &amp; Data Inputs'!AR103*0.0137</f>
        <v>5248.0820557545994</v>
      </c>
      <c r="N18" s="216">
        <f>'HH Numbers &amp; Data Inputs'!AR111*0.0137</f>
        <v>4636.7347309832849</v>
      </c>
      <c r="O18" s="217">
        <f>'HH Numbers &amp; Data Inputs'!AC97*0.0108</f>
        <v>327.53738751818548</v>
      </c>
      <c r="P18" s="215">
        <f>'HH Numbers &amp; Data Inputs'!AR104*0.0108</f>
        <v>433.00169174932819</v>
      </c>
      <c r="Q18" s="216">
        <f>'HH Numbers &amp; Data Inputs'!AR112*0.0108</f>
        <v>402.45433994771696</v>
      </c>
      <c r="R18" s="121">
        <f t="shared" si="3"/>
        <v>-3.1451263241290321E-2</v>
      </c>
      <c r="S18" s="121">
        <f t="shared" si="4"/>
        <v>-5.4767312764539389E-2</v>
      </c>
      <c r="T18" s="121">
        <f t="shared" si="5"/>
        <v>-6.1851165212211692E-2</v>
      </c>
      <c r="U18" s="121">
        <f t="shared" si="6"/>
        <v>-0.11648966580104501</v>
      </c>
      <c r="V18" s="239">
        <f t="shared" si="7"/>
        <v>-7.0547880952150172E-2</v>
      </c>
    </row>
    <row r="19" spans="1:22">
      <c r="A19" t="s">
        <v>563</v>
      </c>
      <c r="B19" t="s">
        <v>136</v>
      </c>
      <c r="C19" s="193">
        <f>1/(96/12)</f>
        <v>0.125</v>
      </c>
      <c r="D19" s="120">
        <f t="shared" ref="D19:J19" si="15">1/(96/12)</f>
        <v>0.125</v>
      </c>
      <c r="E19" s="194">
        <v>0.1</v>
      </c>
      <c r="F19" s="193">
        <f t="shared" si="15"/>
        <v>0.125</v>
      </c>
      <c r="G19" s="193">
        <f t="shared" si="15"/>
        <v>0.125</v>
      </c>
      <c r="H19" s="193">
        <v>0.1</v>
      </c>
      <c r="I19" s="193">
        <f t="shared" si="15"/>
        <v>0.125</v>
      </c>
      <c r="J19" s="193">
        <f t="shared" si="15"/>
        <v>0.125</v>
      </c>
      <c r="K19" s="193">
        <v>0.1</v>
      </c>
      <c r="L19" s="193">
        <f>1/(102/12)</f>
        <v>0.11764705882352941</v>
      </c>
      <c r="M19" s="193">
        <f t="shared" ref="M19:P19" si="16">1/(102/12)</f>
        <v>0.11764705882352941</v>
      </c>
      <c r="N19" s="193">
        <v>0.1</v>
      </c>
      <c r="O19" s="193">
        <f t="shared" si="16"/>
        <v>0.11764705882352941</v>
      </c>
      <c r="P19" s="193">
        <f t="shared" si="16"/>
        <v>0.11764705882352941</v>
      </c>
      <c r="Q19" s="241">
        <v>0.1</v>
      </c>
      <c r="R19" s="121">
        <f t="shared" si="3"/>
        <v>-0.19999999999999996</v>
      </c>
      <c r="S19" s="121">
        <f t="shared" si="4"/>
        <v>-0.19999999999999996</v>
      </c>
      <c r="T19" s="121">
        <f t="shared" si="5"/>
        <v>-0.19999999999999996</v>
      </c>
      <c r="U19" s="121">
        <f t="shared" si="6"/>
        <v>-0.14999999999999994</v>
      </c>
      <c r="V19" s="239">
        <f t="shared" si="7"/>
        <v>-0.14999999999999994</v>
      </c>
    </row>
    <row r="20" spans="1:22">
      <c r="A20" t="s">
        <v>564</v>
      </c>
      <c r="B20" t="s">
        <v>556</v>
      </c>
      <c r="C20" s="190">
        <v>25</v>
      </c>
      <c r="D20">
        <v>25</v>
      </c>
      <c r="E20">
        <v>30</v>
      </c>
      <c r="F20" s="190">
        <v>25</v>
      </c>
      <c r="G20">
        <v>25</v>
      </c>
      <c r="H20">
        <v>30</v>
      </c>
      <c r="I20" s="190">
        <v>30</v>
      </c>
      <c r="J20">
        <v>30</v>
      </c>
      <c r="K20">
        <v>35</v>
      </c>
      <c r="L20" s="190">
        <v>30</v>
      </c>
      <c r="M20">
        <v>30</v>
      </c>
      <c r="N20">
        <v>35</v>
      </c>
      <c r="O20" s="190">
        <v>30</v>
      </c>
      <c r="P20">
        <v>30</v>
      </c>
      <c r="Q20" s="191">
        <v>35</v>
      </c>
      <c r="R20" s="121">
        <f t="shared" si="3"/>
        <v>0.2</v>
      </c>
      <c r="S20" s="121">
        <f t="shared" si="4"/>
        <v>0.2</v>
      </c>
      <c r="T20" s="121">
        <f t="shared" si="5"/>
        <v>0.16666666666666666</v>
      </c>
      <c r="U20" s="121">
        <f t="shared" si="6"/>
        <v>0.16666666666666666</v>
      </c>
      <c r="V20" s="239">
        <f t="shared" si="7"/>
        <v>0.16666666666666666</v>
      </c>
    </row>
    <row r="21" spans="1:22">
      <c r="C21" s="190"/>
      <c r="E21" s="191"/>
      <c r="F21" s="190"/>
      <c r="I21" s="190"/>
      <c r="L21" s="190"/>
      <c r="N21" s="191"/>
      <c r="O21" s="190"/>
      <c r="Q21" s="191"/>
    </row>
    <row r="22" spans="1:22">
      <c r="A22" s="29" t="s">
        <v>565</v>
      </c>
      <c r="C22" s="190"/>
      <c r="E22" s="191"/>
      <c r="F22" s="190"/>
      <c r="I22" s="190"/>
      <c r="L22" s="190"/>
      <c r="N22" s="191"/>
      <c r="O22" s="195"/>
      <c r="P22" s="196"/>
      <c r="Q22" s="197"/>
    </row>
    <row r="23" spans="1:22">
      <c r="A23" t="s">
        <v>301</v>
      </c>
      <c r="B23" t="s">
        <v>136</v>
      </c>
      <c r="C23" s="201">
        <v>0</v>
      </c>
      <c r="D23" s="200">
        <v>0</v>
      </c>
      <c r="E23" s="199">
        <f>D23</f>
        <v>0</v>
      </c>
      <c r="F23" s="201">
        <v>0</v>
      </c>
      <c r="G23" s="200">
        <v>0</v>
      </c>
      <c r="H23" s="199">
        <f>G23</f>
        <v>0</v>
      </c>
      <c r="I23" s="201">
        <v>0</v>
      </c>
      <c r="J23" s="200">
        <v>0</v>
      </c>
      <c r="K23" s="199">
        <f>J23</f>
        <v>0</v>
      </c>
      <c r="L23" s="201">
        <v>0</v>
      </c>
      <c r="M23" s="200">
        <v>0</v>
      </c>
      <c r="N23" s="199">
        <v>0</v>
      </c>
      <c r="O23" s="201">
        <v>0</v>
      </c>
      <c r="P23" s="200">
        <v>0</v>
      </c>
      <c r="Q23" s="199">
        <v>0</v>
      </c>
    </row>
    <row r="24" spans="1:22">
      <c r="A24" t="s">
        <v>566</v>
      </c>
      <c r="B24" t="s">
        <v>136</v>
      </c>
      <c r="C24" s="190">
        <v>0</v>
      </c>
      <c r="D24">
        <v>0</v>
      </c>
      <c r="E24" s="191">
        <f t="shared" ref="E24:E35" si="17">D24</f>
        <v>0</v>
      </c>
      <c r="F24" s="190">
        <v>0</v>
      </c>
      <c r="G24">
        <v>0</v>
      </c>
      <c r="H24" s="191">
        <f t="shared" ref="H24:H35" si="18">G24</f>
        <v>0</v>
      </c>
      <c r="I24" s="190">
        <v>0</v>
      </c>
      <c r="J24">
        <v>0</v>
      </c>
      <c r="K24" s="191">
        <f t="shared" ref="K24:K35" si="19">J24</f>
        <v>0</v>
      </c>
      <c r="L24" s="190">
        <v>0</v>
      </c>
      <c r="M24">
        <v>0</v>
      </c>
      <c r="N24" s="191">
        <v>0</v>
      </c>
      <c r="O24" s="190">
        <v>0</v>
      </c>
      <c r="P24">
        <v>0</v>
      </c>
      <c r="Q24" s="191">
        <v>0</v>
      </c>
    </row>
    <row r="25" spans="1:22">
      <c r="A25" t="s">
        <v>567</v>
      </c>
      <c r="B25" t="s">
        <v>136</v>
      </c>
      <c r="C25" s="190">
        <v>0</v>
      </c>
      <c r="D25">
        <v>0</v>
      </c>
      <c r="E25" s="191">
        <f t="shared" si="17"/>
        <v>0</v>
      </c>
      <c r="F25" s="190">
        <v>0</v>
      </c>
      <c r="G25">
        <v>0</v>
      </c>
      <c r="H25" s="191">
        <f t="shared" si="18"/>
        <v>0</v>
      </c>
      <c r="I25" s="190">
        <v>0</v>
      </c>
      <c r="J25">
        <v>0</v>
      </c>
      <c r="K25" s="191">
        <f t="shared" si="19"/>
        <v>0</v>
      </c>
      <c r="L25" s="190">
        <v>0</v>
      </c>
      <c r="M25">
        <v>0</v>
      </c>
      <c r="N25" s="191">
        <v>0</v>
      </c>
      <c r="O25" s="190">
        <v>0</v>
      </c>
      <c r="P25">
        <v>0</v>
      </c>
      <c r="Q25" s="191">
        <v>0</v>
      </c>
    </row>
    <row r="26" spans="1:22">
      <c r="A26" t="s">
        <v>568</v>
      </c>
      <c r="B26" t="s">
        <v>136</v>
      </c>
      <c r="C26" s="190">
        <v>0</v>
      </c>
      <c r="D26">
        <v>0</v>
      </c>
      <c r="E26" s="191">
        <f t="shared" si="17"/>
        <v>0</v>
      </c>
      <c r="F26" s="190">
        <v>0</v>
      </c>
      <c r="G26">
        <v>0</v>
      </c>
      <c r="H26" s="191">
        <f t="shared" si="18"/>
        <v>0</v>
      </c>
      <c r="I26" s="190">
        <v>0</v>
      </c>
      <c r="J26">
        <v>0</v>
      </c>
      <c r="K26" s="191">
        <f t="shared" si="19"/>
        <v>0</v>
      </c>
      <c r="L26" s="190">
        <v>0</v>
      </c>
      <c r="M26">
        <v>0</v>
      </c>
      <c r="N26" s="191">
        <v>0</v>
      </c>
      <c r="O26" s="190">
        <v>0</v>
      </c>
      <c r="P26">
        <v>0</v>
      </c>
      <c r="Q26" s="191">
        <v>0</v>
      </c>
    </row>
    <row r="27" spans="1:22">
      <c r="A27" t="s">
        <v>281</v>
      </c>
      <c r="B27" t="s">
        <v>136</v>
      </c>
      <c r="C27" s="190">
        <v>0</v>
      </c>
      <c r="D27">
        <v>0</v>
      </c>
      <c r="E27" s="191">
        <f t="shared" si="17"/>
        <v>0</v>
      </c>
      <c r="F27" s="190">
        <v>0</v>
      </c>
      <c r="G27">
        <v>0</v>
      </c>
      <c r="H27" s="191">
        <f t="shared" si="18"/>
        <v>0</v>
      </c>
      <c r="I27" s="190">
        <v>0</v>
      </c>
      <c r="J27">
        <v>0</v>
      </c>
      <c r="K27" s="191">
        <f t="shared" si="19"/>
        <v>0</v>
      </c>
      <c r="L27" s="190">
        <v>15</v>
      </c>
      <c r="M27">
        <v>15</v>
      </c>
      <c r="N27" s="202">
        <v>4</v>
      </c>
      <c r="O27" s="190">
        <v>15</v>
      </c>
      <c r="P27">
        <v>15</v>
      </c>
      <c r="Q27" s="202">
        <v>2</v>
      </c>
    </row>
    <row r="28" spans="1:22">
      <c r="A28" t="s">
        <v>569</v>
      </c>
      <c r="B28" t="s">
        <v>136</v>
      </c>
      <c r="C28" s="190">
        <v>0</v>
      </c>
      <c r="D28">
        <v>0</v>
      </c>
      <c r="E28" s="191">
        <f t="shared" si="17"/>
        <v>0</v>
      </c>
      <c r="F28" s="190">
        <v>0</v>
      </c>
      <c r="G28">
        <v>0</v>
      </c>
      <c r="H28" s="191">
        <f t="shared" si="18"/>
        <v>0</v>
      </c>
      <c r="I28" s="190">
        <v>0</v>
      </c>
      <c r="J28">
        <v>0</v>
      </c>
      <c r="K28" s="191">
        <f t="shared" si="19"/>
        <v>0</v>
      </c>
      <c r="L28" s="190">
        <v>2</v>
      </c>
      <c r="M28">
        <v>2</v>
      </c>
      <c r="N28" s="202">
        <v>1</v>
      </c>
      <c r="O28" s="190">
        <v>2</v>
      </c>
      <c r="P28">
        <v>2</v>
      </c>
      <c r="Q28" s="202">
        <v>1</v>
      </c>
    </row>
    <row r="29" spans="1:22">
      <c r="A29" t="s">
        <v>570</v>
      </c>
      <c r="B29" t="s">
        <v>136</v>
      </c>
      <c r="C29" s="190">
        <v>0</v>
      </c>
      <c r="D29">
        <v>0</v>
      </c>
      <c r="E29" s="191">
        <f t="shared" si="17"/>
        <v>0</v>
      </c>
      <c r="F29" s="190">
        <v>0</v>
      </c>
      <c r="G29">
        <v>0</v>
      </c>
      <c r="H29" s="191">
        <f t="shared" si="18"/>
        <v>0</v>
      </c>
      <c r="I29" s="190">
        <v>0</v>
      </c>
      <c r="J29">
        <v>0</v>
      </c>
      <c r="K29" s="191">
        <f t="shared" si="19"/>
        <v>0</v>
      </c>
      <c r="L29" s="190">
        <v>5</v>
      </c>
      <c r="M29">
        <v>5</v>
      </c>
      <c r="N29" s="202">
        <v>0</v>
      </c>
      <c r="O29" s="190">
        <v>5</v>
      </c>
      <c r="P29">
        <v>5</v>
      </c>
      <c r="Q29" s="202">
        <v>0</v>
      </c>
    </row>
    <row r="30" spans="1:22">
      <c r="A30" t="s">
        <v>571</v>
      </c>
      <c r="B30" t="s">
        <v>136</v>
      </c>
      <c r="C30" s="190">
        <v>0</v>
      </c>
      <c r="D30">
        <v>0</v>
      </c>
      <c r="E30" s="191">
        <f t="shared" si="17"/>
        <v>0</v>
      </c>
      <c r="F30" s="190">
        <v>0</v>
      </c>
      <c r="G30">
        <v>0</v>
      </c>
      <c r="H30" s="191">
        <f t="shared" si="18"/>
        <v>0</v>
      </c>
      <c r="I30" s="190">
        <v>0</v>
      </c>
      <c r="J30">
        <v>0</v>
      </c>
      <c r="K30" s="191">
        <f t="shared" si="19"/>
        <v>0</v>
      </c>
      <c r="L30" s="190">
        <v>8</v>
      </c>
      <c r="M30">
        <v>8</v>
      </c>
      <c r="N30" s="202">
        <v>3</v>
      </c>
      <c r="O30" s="190">
        <v>8</v>
      </c>
      <c r="P30">
        <v>8</v>
      </c>
      <c r="Q30" s="202">
        <v>3</v>
      </c>
    </row>
    <row r="31" spans="1:22">
      <c r="A31" t="s">
        <v>572</v>
      </c>
      <c r="B31" t="s">
        <v>136</v>
      </c>
      <c r="C31" s="190">
        <v>0</v>
      </c>
      <c r="D31">
        <v>0</v>
      </c>
      <c r="E31" s="191">
        <f t="shared" si="17"/>
        <v>0</v>
      </c>
      <c r="F31" s="190">
        <v>0</v>
      </c>
      <c r="G31">
        <v>0</v>
      </c>
      <c r="H31" s="191">
        <f t="shared" si="18"/>
        <v>0</v>
      </c>
      <c r="I31" s="190">
        <v>0</v>
      </c>
      <c r="J31">
        <v>0</v>
      </c>
      <c r="K31" s="191">
        <f t="shared" si="19"/>
        <v>0</v>
      </c>
      <c r="L31" s="190">
        <v>3</v>
      </c>
      <c r="M31">
        <v>3</v>
      </c>
      <c r="N31" s="202">
        <v>1</v>
      </c>
      <c r="O31" s="190">
        <v>3</v>
      </c>
      <c r="P31">
        <v>3</v>
      </c>
      <c r="Q31" s="202">
        <v>1</v>
      </c>
    </row>
    <row r="32" spans="1:22">
      <c r="A32" t="s">
        <v>293</v>
      </c>
      <c r="B32" t="s">
        <v>136</v>
      </c>
      <c r="C32" s="190">
        <v>0</v>
      </c>
      <c r="D32">
        <v>0</v>
      </c>
      <c r="E32" s="191">
        <f t="shared" si="17"/>
        <v>0</v>
      </c>
      <c r="F32" s="190">
        <v>0</v>
      </c>
      <c r="G32">
        <v>0</v>
      </c>
      <c r="H32" s="191">
        <f t="shared" si="18"/>
        <v>0</v>
      </c>
      <c r="I32" s="190">
        <v>0</v>
      </c>
      <c r="J32">
        <v>0</v>
      </c>
      <c r="K32" s="191">
        <f t="shared" si="19"/>
        <v>0</v>
      </c>
      <c r="L32" s="190">
        <v>1</v>
      </c>
      <c r="M32">
        <v>1</v>
      </c>
      <c r="N32" s="202">
        <v>1</v>
      </c>
      <c r="O32" s="190">
        <v>1</v>
      </c>
      <c r="P32">
        <v>1</v>
      </c>
      <c r="Q32" s="202">
        <v>1</v>
      </c>
    </row>
    <row r="33" spans="1:19">
      <c r="A33" t="s">
        <v>573</v>
      </c>
      <c r="B33" t="s">
        <v>136</v>
      </c>
      <c r="C33" s="190">
        <v>0</v>
      </c>
      <c r="D33">
        <v>0</v>
      </c>
      <c r="E33" s="191">
        <f t="shared" si="17"/>
        <v>0</v>
      </c>
      <c r="F33" s="190">
        <v>0</v>
      </c>
      <c r="G33">
        <v>0</v>
      </c>
      <c r="H33" s="191">
        <f t="shared" si="18"/>
        <v>0</v>
      </c>
      <c r="I33" s="190">
        <v>0</v>
      </c>
      <c r="J33">
        <v>0</v>
      </c>
      <c r="K33" s="191">
        <f t="shared" si="19"/>
        <v>0</v>
      </c>
      <c r="L33" s="190">
        <v>4</v>
      </c>
      <c r="M33">
        <v>4</v>
      </c>
      <c r="N33" s="202">
        <v>2</v>
      </c>
      <c r="O33" s="190">
        <v>4</v>
      </c>
      <c r="P33">
        <v>4</v>
      </c>
      <c r="Q33" s="202">
        <v>2</v>
      </c>
    </row>
    <row r="34" spans="1:19" s="254" customFormat="1">
      <c r="A34" s="254" t="s">
        <v>574</v>
      </c>
      <c r="B34" s="254" t="s">
        <v>136</v>
      </c>
      <c r="C34" s="253">
        <v>0</v>
      </c>
      <c r="D34" s="254">
        <v>0</v>
      </c>
      <c r="E34" s="255">
        <f t="shared" si="17"/>
        <v>0</v>
      </c>
      <c r="F34" s="253">
        <v>0</v>
      </c>
      <c r="G34" s="254">
        <v>0</v>
      </c>
      <c r="H34" s="255">
        <f t="shared" si="18"/>
        <v>0</v>
      </c>
      <c r="I34" s="253">
        <v>0</v>
      </c>
      <c r="J34" s="254">
        <v>0</v>
      </c>
      <c r="K34" s="255">
        <f t="shared" si="19"/>
        <v>0</v>
      </c>
      <c r="L34" s="253">
        <v>0</v>
      </c>
      <c r="M34" s="254">
        <v>0</v>
      </c>
      <c r="N34" s="261">
        <v>5</v>
      </c>
      <c r="O34" s="253">
        <v>0</v>
      </c>
      <c r="P34" s="254">
        <v>0</v>
      </c>
      <c r="Q34" s="261">
        <v>5</v>
      </c>
    </row>
    <row r="35" spans="1:19">
      <c r="A35" t="s">
        <v>575</v>
      </c>
      <c r="B35" t="s">
        <v>136</v>
      </c>
      <c r="C35" s="190">
        <v>0</v>
      </c>
      <c r="D35">
        <v>0</v>
      </c>
      <c r="E35" s="191">
        <f t="shared" si="17"/>
        <v>0</v>
      </c>
      <c r="F35" s="190">
        <v>0</v>
      </c>
      <c r="G35">
        <v>0</v>
      </c>
      <c r="H35" s="191">
        <f t="shared" si="18"/>
        <v>0</v>
      </c>
      <c r="I35" s="190">
        <v>0</v>
      </c>
      <c r="J35">
        <v>0</v>
      </c>
      <c r="K35" s="191">
        <f t="shared" si="19"/>
        <v>0</v>
      </c>
      <c r="L35" s="190">
        <v>0</v>
      </c>
      <c r="M35">
        <v>0</v>
      </c>
      <c r="N35" s="191">
        <v>0</v>
      </c>
      <c r="O35" s="190">
        <v>0</v>
      </c>
      <c r="P35">
        <v>0</v>
      </c>
      <c r="Q35" s="191">
        <v>0</v>
      </c>
    </row>
    <row r="36" spans="1:19">
      <c r="A36" t="s">
        <v>273</v>
      </c>
      <c r="B36" t="s">
        <v>136</v>
      </c>
      <c r="C36" s="190">
        <v>100</v>
      </c>
      <c r="D36">
        <v>100</v>
      </c>
      <c r="E36" s="202">
        <f>D36-30</f>
        <v>70</v>
      </c>
      <c r="F36" s="190">
        <v>80</v>
      </c>
      <c r="G36">
        <v>80</v>
      </c>
      <c r="H36" s="202">
        <v>55</v>
      </c>
      <c r="I36" s="190">
        <v>85</v>
      </c>
      <c r="J36">
        <v>85</v>
      </c>
      <c r="K36" s="202">
        <f>80-25</f>
        <v>55</v>
      </c>
      <c r="L36" s="190">
        <v>24</v>
      </c>
      <c r="M36">
        <v>24</v>
      </c>
      <c r="N36" s="191">
        <v>18</v>
      </c>
      <c r="O36" s="190">
        <v>24</v>
      </c>
      <c r="P36">
        <v>24</v>
      </c>
      <c r="Q36" s="191">
        <v>18</v>
      </c>
    </row>
    <row r="37" spans="1:19">
      <c r="A37" t="s">
        <v>285</v>
      </c>
      <c r="B37" t="s">
        <v>136</v>
      </c>
      <c r="C37" s="190">
        <v>0</v>
      </c>
      <c r="D37">
        <v>0</v>
      </c>
      <c r="E37" s="202">
        <f>D37+30</f>
        <v>30</v>
      </c>
      <c r="F37" s="190">
        <v>15</v>
      </c>
      <c r="G37">
        <v>15</v>
      </c>
      <c r="H37" s="202">
        <v>30</v>
      </c>
      <c r="I37" s="190">
        <v>0</v>
      </c>
      <c r="J37">
        <v>0</v>
      </c>
      <c r="K37" s="202">
        <v>30</v>
      </c>
      <c r="L37" s="190">
        <v>15</v>
      </c>
      <c r="M37">
        <v>15</v>
      </c>
      <c r="N37" s="202">
        <f>M37+20</f>
        <v>35</v>
      </c>
      <c r="O37" s="190">
        <v>15</v>
      </c>
      <c r="P37">
        <v>15</v>
      </c>
      <c r="Q37" s="202">
        <f>P37+20</f>
        <v>35</v>
      </c>
      <c r="S37">
        <f>35-15</f>
        <v>20</v>
      </c>
    </row>
    <row r="38" spans="1:19" s="254" customFormat="1">
      <c r="A38" s="254" t="s">
        <v>278</v>
      </c>
      <c r="B38" s="254" t="s">
        <v>136</v>
      </c>
      <c r="C38" s="253">
        <v>0</v>
      </c>
      <c r="D38" s="254">
        <v>0</v>
      </c>
      <c r="E38" s="255">
        <f t="shared" ref="E38:E51" si="20">D38</f>
        <v>0</v>
      </c>
      <c r="F38" s="253">
        <v>0</v>
      </c>
      <c r="G38" s="254">
        <v>0</v>
      </c>
      <c r="H38" s="255">
        <f t="shared" ref="H38:H40" si="21">G38</f>
        <v>0</v>
      </c>
      <c r="I38" s="253">
        <v>0</v>
      </c>
      <c r="J38" s="254">
        <v>0</v>
      </c>
      <c r="K38" s="255">
        <f t="shared" ref="K38:K40" si="22">J38</f>
        <v>0</v>
      </c>
      <c r="L38" s="253">
        <v>5</v>
      </c>
      <c r="M38" s="254">
        <v>5</v>
      </c>
      <c r="N38" s="261">
        <v>7</v>
      </c>
      <c r="O38" s="253">
        <v>5</v>
      </c>
      <c r="P38" s="254">
        <v>5</v>
      </c>
      <c r="Q38" s="261">
        <v>8</v>
      </c>
    </row>
    <row r="39" spans="1:19">
      <c r="A39" t="s">
        <v>576</v>
      </c>
      <c r="B39" t="s">
        <v>136</v>
      </c>
      <c r="C39" s="190">
        <v>0</v>
      </c>
      <c r="D39">
        <v>0</v>
      </c>
      <c r="E39" s="191">
        <f t="shared" si="20"/>
        <v>0</v>
      </c>
      <c r="F39" s="190">
        <v>0</v>
      </c>
      <c r="G39">
        <v>0</v>
      </c>
      <c r="H39" s="191">
        <f t="shared" si="21"/>
        <v>0</v>
      </c>
      <c r="I39" s="190">
        <v>0</v>
      </c>
      <c r="J39">
        <v>0</v>
      </c>
      <c r="K39" s="191">
        <f t="shared" si="22"/>
        <v>0</v>
      </c>
      <c r="L39" s="190">
        <v>0</v>
      </c>
      <c r="M39">
        <v>0</v>
      </c>
      <c r="N39" s="191">
        <v>0</v>
      </c>
      <c r="O39" s="190">
        <v>0</v>
      </c>
      <c r="P39">
        <v>0</v>
      </c>
      <c r="Q39" s="191">
        <v>0</v>
      </c>
    </row>
    <row r="40" spans="1:19">
      <c r="A40" t="s">
        <v>577</v>
      </c>
      <c r="B40" t="s">
        <v>136</v>
      </c>
      <c r="C40" s="190">
        <v>0</v>
      </c>
      <c r="D40">
        <v>0</v>
      </c>
      <c r="E40" s="191">
        <f t="shared" si="20"/>
        <v>0</v>
      </c>
      <c r="F40" s="190">
        <v>0</v>
      </c>
      <c r="G40">
        <v>0</v>
      </c>
      <c r="H40" s="191">
        <f t="shared" si="21"/>
        <v>0</v>
      </c>
      <c r="I40" s="190">
        <v>0</v>
      </c>
      <c r="J40">
        <v>0</v>
      </c>
      <c r="K40" s="191">
        <f t="shared" si="22"/>
        <v>0</v>
      </c>
      <c r="L40" s="190">
        <v>0</v>
      </c>
      <c r="M40">
        <v>0</v>
      </c>
      <c r="N40" s="191">
        <v>0</v>
      </c>
      <c r="O40" s="190">
        <v>0</v>
      </c>
      <c r="P40">
        <v>0</v>
      </c>
      <c r="Q40" s="191">
        <v>0</v>
      </c>
    </row>
    <row r="41" spans="1:19">
      <c r="A41" t="s">
        <v>269</v>
      </c>
      <c r="B41" t="s">
        <v>136</v>
      </c>
      <c r="C41" s="190">
        <v>0</v>
      </c>
      <c r="D41">
        <v>0</v>
      </c>
      <c r="E41" s="191">
        <f t="shared" si="20"/>
        <v>0</v>
      </c>
      <c r="F41" s="190">
        <v>5</v>
      </c>
      <c r="G41">
        <v>5</v>
      </c>
      <c r="H41" s="191">
        <v>5</v>
      </c>
      <c r="I41" s="190">
        <v>15</v>
      </c>
      <c r="J41">
        <v>15</v>
      </c>
      <c r="K41" s="191">
        <v>0</v>
      </c>
      <c r="L41" s="190">
        <v>6</v>
      </c>
      <c r="M41">
        <v>6</v>
      </c>
      <c r="N41" s="191">
        <v>0</v>
      </c>
      <c r="O41" s="190">
        <v>6</v>
      </c>
      <c r="P41">
        <v>6</v>
      </c>
      <c r="Q41" s="191">
        <v>0</v>
      </c>
    </row>
    <row r="42" spans="1:19">
      <c r="A42" t="s">
        <v>288</v>
      </c>
      <c r="B42" t="s">
        <v>136</v>
      </c>
      <c r="C42" s="190">
        <v>0</v>
      </c>
      <c r="D42">
        <v>0</v>
      </c>
      <c r="E42" s="191">
        <f t="shared" si="20"/>
        <v>0</v>
      </c>
      <c r="F42" s="190">
        <v>0</v>
      </c>
      <c r="G42">
        <v>0</v>
      </c>
      <c r="H42" s="202">
        <v>10</v>
      </c>
      <c r="I42" s="190">
        <v>0</v>
      </c>
      <c r="J42">
        <v>0</v>
      </c>
      <c r="K42" s="202">
        <v>15</v>
      </c>
      <c r="L42" s="190">
        <v>0</v>
      </c>
      <c r="M42">
        <v>0</v>
      </c>
      <c r="N42" s="202">
        <v>15</v>
      </c>
      <c r="O42" s="190">
        <v>0</v>
      </c>
      <c r="P42">
        <v>0</v>
      </c>
      <c r="Q42" s="202">
        <v>15</v>
      </c>
    </row>
    <row r="43" spans="1:19">
      <c r="A43" t="s">
        <v>578</v>
      </c>
      <c r="B43" t="s">
        <v>136</v>
      </c>
      <c r="C43" s="190">
        <v>0</v>
      </c>
      <c r="D43">
        <v>0</v>
      </c>
      <c r="E43" s="191">
        <f t="shared" si="20"/>
        <v>0</v>
      </c>
      <c r="F43" s="190">
        <v>0</v>
      </c>
      <c r="G43">
        <v>0</v>
      </c>
      <c r="H43" s="191">
        <f t="shared" ref="H43:H51" si="23">G43</f>
        <v>0</v>
      </c>
      <c r="I43" s="190">
        <v>0</v>
      </c>
      <c r="J43">
        <v>0</v>
      </c>
      <c r="K43" s="191">
        <f t="shared" ref="K43:K51" si="24">J43</f>
        <v>0</v>
      </c>
      <c r="L43" s="190">
        <v>5</v>
      </c>
      <c r="M43">
        <v>5</v>
      </c>
      <c r="N43" s="191">
        <v>0</v>
      </c>
      <c r="O43" s="190">
        <v>5</v>
      </c>
      <c r="P43">
        <v>5</v>
      </c>
      <c r="Q43" s="191">
        <v>0</v>
      </c>
    </row>
    <row r="44" spans="1:19">
      <c r="A44" t="s">
        <v>579</v>
      </c>
      <c r="B44" t="s">
        <v>136</v>
      </c>
      <c r="C44" s="190">
        <v>0</v>
      </c>
      <c r="D44">
        <v>0</v>
      </c>
      <c r="E44" s="191">
        <f t="shared" si="20"/>
        <v>0</v>
      </c>
      <c r="F44" s="190">
        <v>0</v>
      </c>
      <c r="G44">
        <v>0</v>
      </c>
      <c r="H44" s="191">
        <f t="shared" si="23"/>
        <v>0</v>
      </c>
      <c r="I44" s="190">
        <v>0</v>
      </c>
      <c r="J44">
        <v>0</v>
      </c>
      <c r="K44" s="191">
        <f t="shared" si="24"/>
        <v>0</v>
      </c>
      <c r="L44" s="190">
        <v>4</v>
      </c>
      <c r="M44">
        <v>4</v>
      </c>
      <c r="N44" s="202">
        <v>5</v>
      </c>
      <c r="O44" s="190">
        <v>4</v>
      </c>
      <c r="P44">
        <v>4</v>
      </c>
      <c r="Q44" s="202">
        <v>6</v>
      </c>
    </row>
    <row r="45" spans="1:19">
      <c r="A45" t="s">
        <v>580</v>
      </c>
      <c r="B45" t="s">
        <v>136</v>
      </c>
      <c r="C45" s="190">
        <v>0</v>
      </c>
      <c r="D45">
        <v>0</v>
      </c>
      <c r="E45" s="191">
        <f t="shared" si="20"/>
        <v>0</v>
      </c>
      <c r="F45" s="190">
        <v>0</v>
      </c>
      <c r="G45">
        <v>0</v>
      </c>
      <c r="H45" s="191">
        <f t="shared" si="23"/>
        <v>0</v>
      </c>
      <c r="I45" s="190">
        <v>0</v>
      </c>
      <c r="J45">
        <v>0</v>
      </c>
      <c r="K45" s="191">
        <f t="shared" si="24"/>
        <v>0</v>
      </c>
      <c r="L45" s="190">
        <v>0</v>
      </c>
      <c r="M45">
        <v>0</v>
      </c>
      <c r="N45" s="191">
        <v>0</v>
      </c>
      <c r="O45" s="190">
        <v>0</v>
      </c>
      <c r="P45">
        <v>0</v>
      </c>
      <c r="Q45" s="191">
        <v>0</v>
      </c>
    </row>
    <row r="46" spans="1:19">
      <c r="A46" t="s">
        <v>581</v>
      </c>
      <c r="B46" t="s">
        <v>136</v>
      </c>
      <c r="C46" s="190">
        <v>0</v>
      </c>
      <c r="D46">
        <v>0</v>
      </c>
      <c r="E46" s="191">
        <f t="shared" si="20"/>
        <v>0</v>
      </c>
      <c r="F46" s="190">
        <v>0</v>
      </c>
      <c r="G46">
        <v>0</v>
      </c>
      <c r="H46" s="191">
        <f t="shared" si="23"/>
        <v>0</v>
      </c>
      <c r="I46" s="190">
        <v>0</v>
      </c>
      <c r="J46">
        <v>0</v>
      </c>
      <c r="K46" s="191">
        <f t="shared" si="24"/>
        <v>0</v>
      </c>
      <c r="L46" s="190">
        <v>0</v>
      </c>
      <c r="M46">
        <v>0</v>
      </c>
      <c r="N46" s="191">
        <v>0</v>
      </c>
      <c r="O46" s="190">
        <v>0</v>
      </c>
      <c r="P46">
        <v>0</v>
      </c>
      <c r="Q46" s="191">
        <v>0</v>
      </c>
    </row>
    <row r="47" spans="1:19">
      <c r="A47" t="s">
        <v>582</v>
      </c>
      <c r="B47" t="s">
        <v>136</v>
      </c>
      <c r="C47" s="190">
        <v>0</v>
      </c>
      <c r="D47">
        <v>0</v>
      </c>
      <c r="E47" s="191">
        <f t="shared" si="20"/>
        <v>0</v>
      </c>
      <c r="F47" s="190">
        <v>0</v>
      </c>
      <c r="G47">
        <v>0</v>
      </c>
      <c r="H47" s="191">
        <f t="shared" si="23"/>
        <v>0</v>
      </c>
      <c r="I47" s="190">
        <v>0</v>
      </c>
      <c r="J47">
        <v>0</v>
      </c>
      <c r="K47" s="191">
        <f t="shared" si="24"/>
        <v>0</v>
      </c>
      <c r="L47" s="190">
        <v>3</v>
      </c>
      <c r="M47">
        <v>3</v>
      </c>
      <c r="N47" s="191">
        <v>3</v>
      </c>
      <c r="O47" s="190">
        <v>3</v>
      </c>
      <c r="P47">
        <v>3</v>
      </c>
      <c r="Q47" s="191">
        <v>3</v>
      </c>
    </row>
    <row r="48" spans="1:19">
      <c r="A48" t="s">
        <v>583</v>
      </c>
      <c r="B48" t="s">
        <v>136</v>
      </c>
      <c r="C48" s="190">
        <v>0</v>
      </c>
      <c r="D48">
        <v>0</v>
      </c>
      <c r="E48" s="191">
        <f t="shared" si="20"/>
        <v>0</v>
      </c>
      <c r="F48" s="190">
        <v>0</v>
      </c>
      <c r="G48">
        <v>0</v>
      </c>
      <c r="H48" s="191">
        <f t="shared" si="23"/>
        <v>0</v>
      </c>
      <c r="I48" s="190">
        <v>0</v>
      </c>
      <c r="J48">
        <v>0</v>
      </c>
      <c r="K48" s="191">
        <f t="shared" si="24"/>
        <v>0</v>
      </c>
      <c r="L48" s="190">
        <v>0</v>
      </c>
      <c r="M48">
        <v>0</v>
      </c>
      <c r="N48" s="191">
        <v>0</v>
      </c>
      <c r="O48" s="190">
        <v>0</v>
      </c>
      <c r="P48">
        <v>0</v>
      </c>
      <c r="Q48" s="191">
        <v>0</v>
      </c>
    </row>
    <row r="49" spans="1:18">
      <c r="A49" t="s">
        <v>584</v>
      </c>
      <c r="B49" t="s">
        <v>136</v>
      </c>
      <c r="C49" s="190">
        <v>0</v>
      </c>
      <c r="D49">
        <v>0</v>
      </c>
      <c r="E49" s="191">
        <f t="shared" si="20"/>
        <v>0</v>
      </c>
      <c r="F49" s="190">
        <v>0</v>
      </c>
      <c r="G49">
        <v>0</v>
      </c>
      <c r="H49" s="191">
        <f t="shared" si="23"/>
        <v>0</v>
      </c>
      <c r="I49" s="190">
        <v>0</v>
      </c>
      <c r="J49">
        <v>0</v>
      </c>
      <c r="K49" s="191">
        <f t="shared" si="24"/>
        <v>0</v>
      </c>
      <c r="L49" s="190">
        <v>0</v>
      </c>
      <c r="M49">
        <v>0</v>
      </c>
      <c r="N49" s="191">
        <v>0</v>
      </c>
      <c r="O49" s="190">
        <v>0</v>
      </c>
      <c r="P49">
        <v>0</v>
      </c>
      <c r="Q49" s="191">
        <v>0</v>
      </c>
    </row>
    <row r="50" spans="1:18">
      <c r="A50" t="s">
        <v>276</v>
      </c>
      <c r="B50" t="s">
        <v>136</v>
      </c>
      <c r="C50" s="190">
        <v>0</v>
      </c>
      <c r="D50">
        <v>0</v>
      </c>
      <c r="E50" s="191">
        <f t="shared" si="20"/>
        <v>0</v>
      </c>
      <c r="F50" s="190">
        <v>0</v>
      </c>
      <c r="G50">
        <v>0</v>
      </c>
      <c r="H50" s="191">
        <f t="shared" si="23"/>
        <v>0</v>
      </c>
      <c r="I50" s="190">
        <v>0</v>
      </c>
      <c r="J50">
        <v>0</v>
      </c>
      <c r="K50" s="191">
        <f t="shared" si="24"/>
        <v>0</v>
      </c>
      <c r="L50" s="190">
        <v>0</v>
      </c>
      <c r="M50">
        <v>0</v>
      </c>
      <c r="N50" s="191">
        <v>0</v>
      </c>
      <c r="O50" s="190">
        <v>0</v>
      </c>
      <c r="P50">
        <v>0</v>
      </c>
      <c r="Q50" s="191">
        <v>0</v>
      </c>
    </row>
    <row r="51" spans="1:18">
      <c r="A51" t="s">
        <v>585</v>
      </c>
      <c r="B51" t="s">
        <v>136</v>
      </c>
      <c r="C51" s="195">
        <v>0</v>
      </c>
      <c r="D51" s="196">
        <v>0</v>
      </c>
      <c r="E51" s="197">
        <f t="shared" si="20"/>
        <v>0</v>
      </c>
      <c r="F51" s="195">
        <v>0</v>
      </c>
      <c r="G51" s="196">
        <v>0</v>
      </c>
      <c r="H51" s="197">
        <f t="shared" si="23"/>
        <v>0</v>
      </c>
      <c r="I51" s="195">
        <v>0</v>
      </c>
      <c r="J51" s="196">
        <v>0</v>
      </c>
      <c r="K51" s="197">
        <f t="shared" si="24"/>
        <v>0</v>
      </c>
      <c r="L51" s="195">
        <v>0</v>
      </c>
      <c r="M51" s="196">
        <v>0</v>
      </c>
      <c r="N51" s="197">
        <v>0</v>
      </c>
      <c r="O51" s="195">
        <v>0</v>
      </c>
      <c r="P51" s="196">
        <v>0</v>
      </c>
      <c r="Q51" s="197">
        <v>0</v>
      </c>
    </row>
    <row r="52" spans="1:18">
      <c r="C52" s="190">
        <f t="shared" ref="C52:Q52" si="25">SUM(C23:C51)</f>
        <v>100</v>
      </c>
      <c r="D52" s="190">
        <f t="shared" si="25"/>
        <v>100</v>
      </c>
      <c r="E52" s="190">
        <f t="shared" si="25"/>
        <v>100</v>
      </c>
      <c r="F52" s="190">
        <f t="shared" si="25"/>
        <v>100</v>
      </c>
      <c r="G52" s="190">
        <f t="shared" si="25"/>
        <v>100</v>
      </c>
      <c r="H52" s="190">
        <f t="shared" si="25"/>
        <v>100</v>
      </c>
      <c r="I52" s="190">
        <f t="shared" si="25"/>
        <v>100</v>
      </c>
      <c r="J52" s="190">
        <f t="shared" si="25"/>
        <v>100</v>
      </c>
      <c r="K52" s="190">
        <f t="shared" si="25"/>
        <v>100</v>
      </c>
      <c r="L52" s="190">
        <f t="shared" si="25"/>
        <v>100</v>
      </c>
      <c r="M52" s="190">
        <f t="shared" si="25"/>
        <v>100</v>
      </c>
      <c r="N52" s="190">
        <f t="shared" si="25"/>
        <v>100</v>
      </c>
      <c r="O52" s="190">
        <f t="shared" si="25"/>
        <v>100</v>
      </c>
      <c r="P52" s="190">
        <f t="shared" si="25"/>
        <v>100</v>
      </c>
      <c r="Q52" s="190">
        <f t="shared" si="25"/>
        <v>100</v>
      </c>
      <c r="R52" s="190"/>
    </row>
    <row r="53" spans="1:18">
      <c r="A53" s="29" t="s">
        <v>586</v>
      </c>
      <c r="C53" s="190"/>
      <c r="E53" s="191"/>
      <c r="F53" s="190"/>
      <c r="I53" s="190"/>
      <c r="L53" s="190"/>
      <c r="N53" s="191"/>
    </row>
    <row r="54" spans="1:18">
      <c r="A54" t="s">
        <v>587</v>
      </c>
      <c r="B54" t="s">
        <v>136</v>
      </c>
      <c r="C54" s="190"/>
      <c r="E54" s="191"/>
      <c r="F54" s="190"/>
      <c r="I54" s="190"/>
      <c r="L54" s="190"/>
      <c r="N54" s="191"/>
      <c r="O54" s="170">
        <v>0</v>
      </c>
      <c r="P54" s="170">
        <v>0</v>
      </c>
      <c r="Q54" s="170">
        <v>10</v>
      </c>
    </row>
    <row r="55" spans="1:18">
      <c r="A55" t="s">
        <v>588</v>
      </c>
      <c r="B55" t="s">
        <v>136</v>
      </c>
      <c r="C55" s="190"/>
      <c r="E55" s="191"/>
      <c r="F55" s="190"/>
      <c r="I55" s="190"/>
      <c r="L55" s="190"/>
      <c r="N55" s="191"/>
      <c r="O55" s="170">
        <v>0</v>
      </c>
      <c r="P55" s="170">
        <v>0</v>
      </c>
      <c r="Q55" s="170">
        <v>0</v>
      </c>
    </row>
    <row r="56" spans="1:18">
      <c r="A56" t="s">
        <v>589</v>
      </c>
      <c r="B56" t="s">
        <v>136</v>
      </c>
      <c r="C56" s="190"/>
      <c r="E56" s="191"/>
      <c r="F56" s="190"/>
      <c r="I56" s="190"/>
      <c r="L56" s="190"/>
      <c r="N56" s="191"/>
      <c r="O56" s="170">
        <v>0</v>
      </c>
      <c r="P56" s="170">
        <v>0</v>
      </c>
      <c r="Q56" s="170">
        <v>0</v>
      </c>
    </row>
    <row r="57" spans="1:18">
      <c r="A57" t="s">
        <v>590</v>
      </c>
      <c r="B57" t="s">
        <v>136</v>
      </c>
      <c r="C57" s="190"/>
      <c r="E57" s="191"/>
      <c r="F57" s="190"/>
      <c r="I57" s="190"/>
      <c r="L57" s="190"/>
      <c r="N57" s="191"/>
      <c r="O57" s="170">
        <v>0</v>
      </c>
      <c r="P57" s="170">
        <v>0</v>
      </c>
      <c r="Q57" s="170">
        <v>0</v>
      </c>
    </row>
    <row r="58" spans="1:18">
      <c r="A58" t="s">
        <v>591</v>
      </c>
      <c r="B58" t="s">
        <v>136</v>
      </c>
      <c r="C58" s="190"/>
      <c r="E58" s="191"/>
      <c r="F58" s="190"/>
      <c r="I58" s="190"/>
      <c r="L58" s="190"/>
      <c r="N58" s="191"/>
      <c r="O58" s="170">
        <v>0</v>
      </c>
      <c r="P58" s="170">
        <v>0</v>
      </c>
      <c r="Q58" s="170">
        <v>0</v>
      </c>
    </row>
    <row r="59" spans="1:18">
      <c r="A59" t="s">
        <v>592</v>
      </c>
      <c r="B59" t="s">
        <v>136</v>
      </c>
      <c r="C59" s="190"/>
      <c r="E59" s="191"/>
      <c r="F59" s="190"/>
      <c r="I59" s="190"/>
      <c r="L59" s="190"/>
      <c r="N59" s="191"/>
      <c r="O59" s="170">
        <v>20</v>
      </c>
      <c r="P59" s="170">
        <v>20</v>
      </c>
      <c r="Q59" s="170">
        <v>20</v>
      </c>
    </row>
    <row r="60" spans="1:18">
      <c r="A60" t="s">
        <v>593</v>
      </c>
      <c r="B60" t="s">
        <v>136</v>
      </c>
      <c r="C60" s="190"/>
      <c r="E60" s="191"/>
      <c r="F60" s="190"/>
      <c r="I60" s="190"/>
      <c r="L60" s="190"/>
      <c r="N60" s="191"/>
      <c r="O60" s="170">
        <v>30</v>
      </c>
      <c r="P60" s="170">
        <v>30</v>
      </c>
      <c r="Q60" s="170">
        <v>30</v>
      </c>
    </row>
    <row r="61" spans="1:18">
      <c r="A61" t="s">
        <v>594</v>
      </c>
      <c r="B61" t="s">
        <v>136</v>
      </c>
      <c r="C61" s="190"/>
      <c r="E61" s="191"/>
      <c r="F61" s="190"/>
      <c r="I61" s="190"/>
      <c r="L61" s="190"/>
      <c r="N61" s="191"/>
      <c r="O61" s="170">
        <v>50</v>
      </c>
      <c r="P61" s="170">
        <v>50</v>
      </c>
      <c r="Q61" s="170">
        <v>40</v>
      </c>
    </row>
    <row r="62" spans="1:18">
      <c r="A62" t="s">
        <v>595</v>
      </c>
      <c r="B62" t="s">
        <v>136</v>
      </c>
      <c r="C62" s="195"/>
      <c r="D62" s="196"/>
      <c r="E62" s="197"/>
      <c r="F62" s="195"/>
      <c r="G62" s="196"/>
      <c r="H62" s="196"/>
      <c r="I62" s="195"/>
      <c r="J62" s="196"/>
      <c r="K62" s="196"/>
      <c r="L62" s="195"/>
      <c r="M62" s="196"/>
      <c r="N62" s="197"/>
      <c r="O62" s="170">
        <v>0</v>
      </c>
      <c r="P62" s="170">
        <v>0</v>
      </c>
      <c r="Q62" s="170">
        <v>0</v>
      </c>
    </row>
    <row r="63" spans="1:18">
      <c r="L63" s="201">
        <v>0</v>
      </c>
      <c r="M63" s="200">
        <v>0</v>
      </c>
      <c r="N63" s="199">
        <v>0</v>
      </c>
      <c r="O63">
        <f>SUM(O54:O62)</f>
        <v>100</v>
      </c>
      <c r="P63">
        <f t="shared" ref="P63:Q63" si="26">SUM(P54:P62)</f>
        <v>100</v>
      </c>
      <c r="Q63">
        <f t="shared" si="26"/>
        <v>100</v>
      </c>
    </row>
    <row r="64" spans="1:18">
      <c r="L64" s="190">
        <v>0</v>
      </c>
      <c r="M64">
        <v>0</v>
      </c>
      <c r="N64" s="191">
        <v>0</v>
      </c>
    </row>
    <row r="65" spans="12:14">
      <c r="L65" s="190">
        <v>0</v>
      </c>
      <c r="M65">
        <v>0</v>
      </c>
      <c r="N65" s="191">
        <v>0</v>
      </c>
    </row>
    <row r="66" spans="12:14">
      <c r="L66" s="190">
        <v>0</v>
      </c>
      <c r="M66">
        <v>0</v>
      </c>
      <c r="N66" s="191">
        <v>0</v>
      </c>
    </row>
    <row r="67" spans="12:14">
      <c r="L67" s="190">
        <v>15</v>
      </c>
      <c r="M67">
        <v>15</v>
      </c>
      <c r="N67" s="202">
        <v>5</v>
      </c>
    </row>
    <row r="68" spans="12:14">
      <c r="L68" s="190">
        <v>2</v>
      </c>
      <c r="M68">
        <v>2</v>
      </c>
      <c r="N68" s="202">
        <v>1</v>
      </c>
    </row>
    <row r="69" spans="12:14">
      <c r="L69" s="190">
        <v>5</v>
      </c>
      <c r="M69">
        <v>5</v>
      </c>
      <c r="N69" s="202">
        <v>0</v>
      </c>
    </row>
    <row r="70" spans="12:14">
      <c r="L70" s="190">
        <v>8</v>
      </c>
      <c r="M70">
        <v>8</v>
      </c>
      <c r="N70" s="202">
        <v>5</v>
      </c>
    </row>
    <row r="71" spans="12:14">
      <c r="L71" s="190">
        <v>3</v>
      </c>
      <c r="M71">
        <v>3</v>
      </c>
      <c r="N71" s="202">
        <v>1</v>
      </c>
    </row>
    <row r="72" spans="12:14">
      <c r="L72" s="190">
        <v>1</v>
      </c>
      <c r="M72">
        <v>1</v>
      </c>
      <c r="N72" s="202">
        <v>1</v>
      </c>
    </row>
    <row r="73" spans="12:14">
      <c r="L73" s="190">
        <v>4</v>
      </c>
      <c r="M73">
        <v>4</v>
      </c>
      <c r="N73" s="202">
        <v>2</v>
      </c>
    </row>
    <row r="74" spans="12:14">
      <c r="L74" s="190">
        <v>0</v>
      </c>
      <c r="M74">
        <v>0</v>
      </c>
      <c r="N74" s="202">
        <v>5</v>
      </c>
    </row>
    <row r="75" spans="12:14">
      <c r="L75" s="190">
        <v>0</v>
      </c>
      <c r="M75">
        <v>0</v>
      </c>
      <c r="N75" s="191">
        <v>0</v>
      </c>
    </row>
    <row r="76" spans="12:14">
      <c r="L76" s="190">
        <v>24</v>
      </c>
      <c r="M76">
        <v>24</v>
      </c>
      <c r="N76" s="191">
        <v>10</v>
      </c>
    </row>
    <row r="77" spans="12:14">
      <c r="L77" s="190">
        <v>15</v>
      </c>
      <c r="M77">
        <v>15</v>
      </c>
      <c r="N77" s="202">
        <v>43</v>
      </c>
    </row>
    <row r="78" spans="12:14">
      <c r="L78" s="190">
        <v>5</v>
      </c>
      <c r="M78">
        <v>5</v>
      </c>
      <c r="N78" s="191">
        <v>5</v>
      </c>
    </row>
    <row r="79" spans="12:14">
      <c r="L79" s="190">
        <v>0</v>
      </c>
      <c r="M79">
        <v>0</v>
      </c>
      <c r="N79" s="191">
        <v>0</v>
      </c>
    </row>
    <row r="80" spans="12:14">
      <c r="L80" s="190">
        <v>0</v>
      </c>
      <c r="M80">
        <v>0</v>
      </c>
      <c r="N80" s="191">
        <v>0</v>
      </c>
    </row>
    <row r="81" spans="12:14">
      <c r="L81" s="190">
        <v>6</v>
      </c>
      <c r="M81">
        <v>6</v>
      </c>
      <c r="N81" s="191">
        <v>0</v>
      </c>
    </row>
    <row r="82" spans="12:14">
      <c r="L82" s="190">
        <v>0</v>
      </c>
      <c r="M82">
        <v>0</v>
      </c>
      <c r="N82" s="202">
        <v>15</v>
      </c>
    </row>
    <row r="83" spans="12:14">
      <c r="L83" s="190">
        <v>5</v>
      </c>
      <c r="M83">
        <v>5</v>
      </c>
      <c r="N83" s="191">
        <v>0</v>
      </c>
    </row>
    <row r="84" spans="12:14">
      <c r="L84" s="190">
        <v>4</v>
      </c>
      <c r="M84">
        <v>4</v>
      </c>
      <c r="N84" s="191">
        <v>4</v>
      </c>
    </row>
    <row r="85" spans="12:14">
      <c r="L85" s="190">
        <v>0</v>
      </c>
      <c r="M85">
        <v>0</v>
      </c>
      <c r="N85" s="191">
        <v>0</v>
      </c>
    </row>
    <row r="86" spans="12:14">
      <c r="L86" s="190">
        <v>0</v>
      </c>
      <c r="M86">
        <v>0</v>
      </c>
      <c r="N86" s="191">
        <v>0</v>
      </c>
    </row>
    <row r="87" spans="12:14">
      <c r="L87" s="190">
        <v>3</v>
      </c>
      <c r="M87">
        <v>3</v>
      </c>
      <c r="N87" s="191">
        <v>3</v>
      </c>
    </row>
    <row r="88" spans="12:14">
      <c r="L88" s="190">
        <v>0</v>
      </c>
      <c r="M88">
        <v>0</v>
      </c>
      <c r="N88" s="191">
        <v>0</v>
      </c>
    </row>
    <row r="89" spans="12:14">
      <c r="L89" s="190">
        <v>0</v>
      </c>
      <c r="M89">
        <v>0</v>
      </c>
      <c r="N89" s="191">
        <v>0</v>
      </c>
    </row>
    <row r="90" spans="12:14">
      <c r="L90" s="190">
        <v>0</v>
      </c>
      <c r="M90">
        <v>0</v>
      </c>
      <c r="N90" s="191">
        <v>0</v>
      </c>
    </row>
    <row r="91" spans="12:14">
      <c r="L91" s="195">
        <v>0</v>
      </c>
      <c r="M91" s="196">
        <v>0</v>
      </c>
      <c r="N91" s="197">
        <v>0</v>
      </c>
    </row>
  </sheetData>
  <mergeCells count="9">
    <mergeCell ref="O2:Q2"/>
    <mergeCell ref="B1:Q1"/>
    <mergeCell ref="C2:H2"/>
    <mergeCell ref="I2:N2"/>
    <mergeCell ref="C3:E3"/>
    <mergeCell ref="F3:H3"/>
    <mergeCell ref="I3:K3"/>
    <mergeCell ref="L3:N3"/>
    <mergeCell ref="O3:Q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98348-509A-450A-984F-A4FC97BCF6ED}">
  <dimension ref="A1:K33"/>
  <sheetViews>
    <sheetView topLeftCell="F1" workbookViewId="0">
      <selection activeCell="F1" sqref="F1:H1"/>
    </sheetView>
  </sheetViews>
  <sheetFormatPr defaultColWidth="8.85546875" defaultRowHeight="14.45"/>
  <cols>
    <col min="2" max="2" width="11.42578125" bestFit="1" customWidth="1"/>
    <col min="4" max="4" width="10.140625" bestFit="1" customWidth="1"/>
    <col min="7" max="7" width="10.140625" bestFit="1" customWidth="1"/>
    <col min="9" max="11" width="10.85546875" bestFit="1" customWidth="1"/>
  </cols>
  <sheetData>
    <row r="1" spans="1:11" ht="25.15" customHeight="1">
      <c r="C1" s="310" t="s">
        <v>31</v>
      </c>
      <c r="D1" s="310"/>
      <c r="E1" s="310"/>
      <c r="F1" s="310" t="s">
        <v>32</v>
      </c>
      <c r="G1" s="310"/>
      <c r="H1" s="310"/>
      <c r="I1" s="311" t="s">
        <v>33</v>
      </c>
      <c r="J1" s="312"/>
      <c r="K1" s="312"/>
    </row>
    <row r="2" spans="1:11">
      <c r="A2" s="9" t="s">
        <v>34</v>
      </c>
      <c r="B2" s="9" t="s">
        <v>35</v>
      </c>
      <c r="C2" s="9" t="s">
        <v>36</v>
      </c>
      <c r="D2" s="9" t="s">
        <v>37</v>
      </c>
      <c r="E2" s="9" t="s">
        <v>38</v>
      </c>
      <c r="F2" s="9" t="s">
        <v>36</v>
      </c>
      <c r="G2" s="9" t="s">
        <v>37</v>
      </c>
      <c r="H2" s="9" t="s">
        <v>38</v>
      </c>
      <c r="I2" s="9" t="s">
        <v>36</v>
      </c>
      <c r="J2" s="9" t="s">
        <v>37</v>
      </c>
      <c r="K2" s="9" t="s">
        <v>38</v>
      </c>
    </row>
    <row r="3" spans="1:11">
      <c r="A3" s="9" t="s">
        <v>39</v>
      </c>
      <c r="B3" s="9" t="s">
        <v>40</v>
      </c>
      <c r="C3" s="12">
        <v>2.4234680000000002</v>
      </c>
      <c r="D3" s="12">
        <v>2.7871570000000001</v>
      </c>
      <c r="E3" s="12">
        <v>4.1638770000000003</v>
      </c>
      <c r="F3" s="97">
        <v>6852.2636999999995</v>
      </c>
      <c r="G3" s="97">
        <v>13293.454900000001</v>
      </c>
      <c r="H3" s="97">
        <v>2053.3488000000002</v>
      </c>
      <c r="I3" s="97">
        <f>C3*F3*365</f>
        <v>6061278.2586467341</v>
      </c>
      <c r="J3" s="97">
        <f>D3*G3*365</f>
        <v>13523595.245732544</v>
      </c>
      <c r="K3" s="97">
        <f>E3*H3*365</f>
        <v>3120710.5220736247</v>
      </c>
    </row>
    <row r="4" spans="1:11">
      <c r="A4" s="9" t="s">
        <v>41</v>
      </c>
      <c r="B4" s="9" t="s">
        <v>42</v>
      </c>
      <c r="C4" s="12">
        <v>2.8737720000000002</v>
      </c>
      <c r="D4" s="12">
        <v>3.1468940000000001</v>
      </c>
      <c r="E4" s="12">
        <v>3.2324850000000001</v>
      </c>
      <c r="F4" s="97">
        <v>6212.3932999999997</v>
      </c>
      <c r="G4" s="97">
        <v>20350.232</v>
      </c>
      <c r="H4" s="97">
        <v>1006.2044</v>
      </c>
      <c r="I4" s="97">
        <f t="shared" ref="I4:I32" si="0">C4*F4*365</f>
        <v>6516345.7002625735</v>
      </c>
      <c r="J4" s="97">
        <f t="shared" ref="J4:J32" si="1">D4*G4*365</f>
        <v>23374608.387483921</v>
      </c>
      <c r="K4" s="97">
        <f t="shared" ref="K4:K32" si="2">E4*H4*365</f>
        <v>1187177.3299259099</v>
      </c>
    </row>
    <row r="5" spans="1:11">
      <c r="A5" s="9" t="s">
        <v>41</v>
      </c>
      <c r="B5" s="9" t="s">
        <v>43</v>
      </c>
      <c r="C5" s="12">
        <v>0.95299590000000001</v>
      </c>
      <c r="D5" s="12">
        <v>2.3357830000000002</v>
      </c>
      <c r="E5" s="12">
        <v>4.0439410000000002</v>
      </c>
      <c r="F5" s="97">
        <v>5555.2285999999995</v>
      </c>
      <c r="G5" s="97">
        <v>20445.272700000001</v>
      </c>
      <c r="H5" s="97">
        <v>239.93870000000001</v>
      </c>
      <c r="I5" s="97">
        <f t="shared" si="0"/>
        <v>1932350.1789673998</v>
      </c>
      <c r="J5" s="97">
        <f t="shared" si="1"/>
        <v>17430837.947103798</v>
      </c>
      <c r="K5" s="97">
        <f t="shared" si="2"/>
        <v>354158.75044209557</v>
      </c>
    </row>
    <row r="6" spans="1:11">
      <c r="A6" s="9" t="s">
        <v>44</v>
      </c>
      <c r="B6" s="9" t="s">
        <v>45</v>
      </c>
      <c r="C6" s="12">
        <v>4.8219130000000003</v>
      </c>
      <c r="D6" s="12">
        <v>4.8011489999999997</v>
      </c>
      <c r="E6" s="12">
        <v>5.8177539999999999</v>
      </c>
      <c r="F6" s="97">
        <v>3187.1084000000001</v>
      </c>
      <c r="G6" s="97">
        <v>7832.8431</v>
      </c>
      <c r="H6" s="97">
        <v>1470.54</v>
      </c>
      <c r="I6" s="97">
        <f t="shared" si="0"/>
        <v>5609305.1906247586</v>
      </c>
      <c r="J6" s="97">
        <f t="shared" si="1"/>
        <v>13726426.088103494</v>
      </c>
      <c r="K6" s="97">
        <f t="shared" si="2"/>
        <v>3122662.5880133999</v>
      </c>
    </row>
    <row r="7" spans="1:11">
      <c r="A7" s="9" t="s">
        <v>39</v>
      </c>
      <c r="B7" s="9" t="s">
        <v>46</v>
      </c>
      <c r="C7" s="12">
        <v>2.0765729999999998</v>
      </c>
      <c r="D7" s="12">
        <v>3.8822139999999998</v>
      </c>
      <c r="E7" s="12">
        <v>7.6976190000000004</v>
      </c>
      <c r="F7" s="97">
        <v>15989.795800000002</v>
      </c>
      <c r="G7" s="97">
        <v>17939.3344</v>
      </c>
      <c r="H7" s="97">
        <v>2847.1876000000002</v>
      </c>
      <c r="I7" s="97">
        <f t="shared" si="0"/>
        <v>12119452.055334592</v>
      </c>
      <c r="J7" s="97">
        <f t="shared" si="1"/>
        <v>25420182.332801986</v>
      </c>
      <c r="K7" s="97">
        <f t="shared" si="2"/>
        <v>7999546.3587084068</v>
      </c>
    </row>
    <row r="8" spans="1:11">
      <c r="A8" s="9" t="s">
        <v>41</v>
      </c>
      <c r="B8" s="9" t="s">
        <v>47</v>
      </c>
      <c r="C8" s="12">
        <v>2.2934139999999998</v>
      </c>
      <c r="D8" s="12">
        <v>3.9400590000000002</v>
      </c>
      <c r="E8" s="12">
        <v>5.0096990000000003</v>
      </c>
      <c r="F8" s="97">
        <v>7422.4327000000003</v>
      </c>
      <c r="G8" s="97">
        <v>33655.646999999997</v>
      </c>
      <c r="H8" s="97">
        <v>3182.1624999999999</v>
      </c>
      <c r="I8" s="97">
        <f t="shared" si="0"/>
        <v>6213289.539906797</v>
      </c>
      <c r="J8" s="97">
        <f t="shared" si="1"/>
        <v>48400910.725058138</v>
      </c>
      <c r="K8" s="97">
        <f t="shared" si="2"/>
        <v>5818711.8473419379</v>
      </c>
    </row>
    <row r="9" spans="1:11">
      <c r="A9" s="9" t="s">
        <v>48</v>
      </c>
      <c r="B9" s="9" t="s">
        <v>49</v>
      </c>
      <c r="C9" s="12">
        <v>1.522391</v>
      </c>
      <c r="D9" s="12">
        <v>3.2846880000000001</v>
      </c>
      <c r="E9" s="12">
        <v>18.38552</v>
      </c>
      <c r="F9" s="97">
        <v>8773.0280000000002</v>
      </c>
      <c r="G9" s="97">
        <v>14306.789000000001</v>
      </c>
      <c r="H9" s="97">
        <v>1022.5753999999999</v>
      </c>
      <c r="I9" s="97">
        <f t="shared" si="0"/>
        <v>4874932.2875310201</v>
      </c>
      <c r="J9" s="97">
        <f t="shared" si="1"/>
        <v>17152568.423593681</v>
      </c>
      <c r="K9" s="97">
        <f t="shared" si="2"/>
        <v>6862211.8708959194</v>
      </c>
    </row>
    <row r="10" spans="1:11">
      <c r="A10" s="9" t="s">
        <v>48</v>
      </c>
      <c r="B10" s="9" t="s">
        <v>50</v>
      </c>
      <c r="C10" s="12">
        <v>1.7181379999999999</v>
      </c>
      <c r="D10" s="12">
        <v>4.178121</v>
      </c>
      <c r="E10" s="12">
        <v>4.3570489999999999</v>
      </c>
      <c r="F10" s="97">
        <v>11528.356</v>
      </c>
      <c r="G10" s="97">
        <v>16221.559000000001</v>
      </c>
      <c r="H10" s="97">
        <v>1527.9740000000002</v>
      </c>
      <c r="I10" s="97">
        <f t="shared" si="0"/>
        <v>7229666.8802117193</v>
      </c>
      <c r="J10" s="97">
        <f t="shared" si="1"/>
        <v>24738107.253383238</v>
      </c>
      <c r="K10" s="97">
        <f t="shared" si="2"/>
        <v>2429972.0198849901</v>
      </c>
    </row>
    <row r="11" spans="1:11">
      <c r="A11" s="9" t="s">
        <v>48</v>
      </c>
      <c r="B11" s="9" t="s">
        <v>51</v>
      </c>
      <c r="C11" s="12">
        <v>1.9455290000000001</v>
      </c>
      <c r="D11" s="12">
        <v>2.9331749999999999</v>
      </c>
      <c r="E11" s="12">
        <v>3.681772</v>
      </c>
      <c r="F11" s="97">
        <v>3619.7352000000001</v>
      </c>
      <c r="G11" s="97">
        <v>15726.821</v>
      </c>
      <c r="H11" s="97">
        <v>1129.931</v>
      </c>
      <c r="I11" s="97">
        <f t="shared" si="0"/>
        <v>2570439.4284310923</v>
      </c>
      <c r="J11" s="97">
        <f t="shared" si="1"/>
        <v>16837274.138136376</v>
      </c>
      <c r="K11" s="97">
        <f t="shared" si="2"/>
        <v>1518454.1359721802</v>
      </c>
    </row>
    <row r="12" spans="1:11">
      <c r="A12" s="9" t="s">
        <v>52</v>
      </c>
      <c r="B12" s="9" t="s">
        <v>53</v>
      </c>
      <c r="C12" s="12">
        <v>1.446151</v>
      </c>
      <c r="D12" s="12">
        <v>2.7210760000000001</v>
      </c>
      <c r="E12" s="12">
        <v>3.2117429999999998</v>
      </c>
      <c r="F12" s="97">
        <v>22213.841</v>
      </c>
      <c r="G12" s="97">
        <v>13325.377500000001</v>
      </c>
      <c r="H12" s="97">
        <v>4728.0091999999995</v>
      </c>
      <c r="I12" s="97">
        <f t="shared" si="0"/>
        <v>11725467.457236715</v>
      </c>
      <c r="J12" s="97">
        <f t="shared" si="1"/>
        <v>13234668.19075935</v>
      </c>
      <c r="K12" s="97">
        <f t="shared" si="2"/>
        <v>5542579.9149929928</v>
      </c>
    </row>
    <row r="13" spans="1:11">
      <c r="A13" s="9" t="s">
        <v>39</v>
      </c>
      <c r="B13" s="9" t="s">
        <v>54</v>
      </c>
      <c r="C13" s="12">
        <v>2.1600220000000001</v>
      </c>
      <c r="D13" s="12">
        <v>3.2014209999999999</v>
      </c>
      <c r="E13" s="12">
        <v>2.7323330000000001</v>
      </c>
      <c r="F13" s="97">
        <v>9736.6630999999998</v>
      </c>
      <c r="G13" s="97">
        <v>16020.036</v>
      </c>
      <c r="H13" s="97">
        <v>1865.855</v>
      </c>
      <c r="I13" s="97">
        <f t="shared" si="0"/>
        <v>7676463.3734446932</v>
      </c>
      <c r="J13" s="97">
        <f t="shared" si="1"/>
        <v>18719711.079971939</v>
      </c>
      <c r="K13" s="97">
        <f t="shared" si="2"/>
        <v>1860820.0742459751</v>
      </c>
    </row>
    <row r="14" spans="1:11">
      <c r="A14" s="9" t="s">
        <v>44</v>
      </c>
      <c r="B14" s="9" t="s">
        <v>55</v>
      </c>
      <c r="C14" s="12">
        <v>3.1457190000000002</v>
      </c>
      <c r="D14" s="12">
        <v>4.820119</v>
      </c>
      <c r="E14" s="12">
        <v>7.8454269999999999</v>
      </c>
      <c r="F14" s="97">
        <v>673.24881999999991</v>
      </c>
      <c r="G14" s="97">
        <v>1260.6712</v>
      </c>
      <c r="H14" s="97">
        <v>801.34789999999998</v>
      </c>
      <c r="I14" s="97">
        <f t="shared" si="0"/>
        <v>773015.83575257671</v>
      </c>
      <c r="J14" s="97">
        <f t="shared" si="1"/>
        <v>2217953.5994135719</v>
      </c>
      <c r="K14" s="97">
        <f t="shared" si="2"/>
        <v>2294724.5046344544</v>
      </c>
    </row>
    <row r="15" spans="1:11">
      <c r="A15" s="9" t="s">
        <v>39</v>
      </c>
      <c r="B15" s="9" t="s">
        <v>56</v>
      </c>
      <c r="C15" s="12">
        <v>2.0643210000000001</v>
      </c>
      <c r="D15" s="12">
        <v>3.5265569999999999</v>
      </c>
      <c r="E15" s="12">
        <v>7.0656650000000001</v>
      </c>
      <c r="F15" s="97">
        <v>6674.1602999999996</v>
      </c>
      <c r="G15" s="97">
        <v>11160.268599999999</v>
      </c>
      <c r="H15" s="97">
        <v>731.44320000000005</v>
      </c>
      <c r="I15" s="97">
        <f t="shared" si="0"/>
        <v>5028827.3815995492</v>
      </c>
      <c r="J15" s="97">
        <f t="shared" si="1"/>
        <v>14365423.023921721</v>
      </c>
      <c r="K15" s="97">
        <f t="shared" si="2"/>
        <v>1886368.4054707203</v>
      </c>
    </row>
    <row r="16" spans="1:11">
      <c r="A16" s="9" t="s">
        <v>48</v>
      </c>
      <c r="B16" s="9" t="s">
        <v>57</v>
      </c>
      <c r="C16" s="12">
        <v>1.3450420000000001</v>
      </c>
      <c r="D16" s="12">
        <v>2.5958830000000002</v>
      </c>
      <c r="E16" s="12">
        <v>4.5891739999999999</v>
      </c>
      <c r="F16" s="97">
        <v>7615.7898999999998</v>
      </c>
      <c r="G16" s="97">
        <v>14312.088</v>
      </c>
      <c r="H16" s="97">
        <v>84</v>
      </c>
      <c r="I16" s="97">
        <f t="shared" si="0"/>
        <v>3738898.4067166671</v>
      </c>
      <c r="J16" s="97">
        <f t="shared" si="1"/>
        <v>13560664.665801961</v>
      </c>
      <c r="K16" s="97">
        <f t="shared" si="2"/>
        <v>140704.07483999999</v>
      </c>
    </row>
    <row r="17" spans="1:11">
      <c r="A17" s="9" t="s">
        <v>41</v>
      </c>
      <c r="B17" s="9" t="s">
        <v>58</v>
      </c>
      <c r="C17" s="12">
        <v>3.0601289999999999</v>
      </c>
      <c r="D17" s="12">
        <v>2.965347</v>
      </c>
      <c r="E17" s="12">
        <v>3.0618660000000002</v>
      </c>
      <c r="F17" s="97">
        <v>5544.4826000000003</v>
      </c>
      <c r="G17" s="97">
        <v>11624.221000000001</v>
      </c>
      <c r="H17" s="97">
        <v>4186.7716</v>
      </c>
      <c r="I17" s="97">
        <f t="shared" si="0"/>
        <v>6192893.677903221</v>
      </c>
      <c r="J17" s="97">
        <f t="shared" si="1"/>
        <v>12581494.837435756</v>
      </c>
      <c r="K17" s="97">
        <f t="shared" si="2"/>
        <v>4679056.7683090447</v>
      </c>
    </row>
    <row r="18" spans="1:11">
      <c r="A18" s="9" t="s">
        <v>39</v>
      </c>
      <c r="B18" s="9" t="s">
        <v>59</v>
      </c>
      <c r="C18" s="12">
        <v>1.0730869999999999</v>
      </c>
      <c r="D18" s="12">
        <v>3.1732879999999999</v>
      </c>
      <c r="E18" s="12">
        <v>9.7341700000000007</v>
      </c>
      <c r="F18" s="97">
        <v>5038.2716</v>
      </c>
      <c r="G18" s="97">
        <v>15746.069600000001</v>
      </c>
      <c r="H18" s="97">
        <v>1737.4054000000001</v>
      </c>
      <c r="I18" s="97">
        <f t="shared" si="0"/>
        <v>1973373.8710966578</v>
      </c>
      <c r="J18" s="97">
        <f t="shared" si="1"/>
        <v>18237887.003728352</v>
      </c>
      <c r="K18" s="97">
        <f t="shared" si="2"/>
        <v>6172952.8257190716</v>
      </c>
    </row>
    <row r="19" spans="1:11">
      <c r="A19" s="9" t="s">
        <v>52</v>
      </c>
      <c r="B19" s="9" t="s">
        <v>60</v>
      </c>
      <c r="C19" s="12">
        <v>1.3729640000000001</v>
      </c>
      <c r="D19" s="12">
        <v>1.992011</v>
      </c>
      <c r="E19" s="12">
        <v>4.2279989999999996</v>
      </c>
      <c r="F19" s="97">
        <v>7990.7469999999994</v>
      </c>
      <c r="G19" s="97">
        <v>21948.905699999999</v>
      </c>
      <c r="H19" s="97">
        <v>1446.8153</v>
      </c>
      <c r="I19" s="97">
        <f t="shared" si="0"/>
        <v>4004417.9068994196</v>
      </c>
      <c r="J19" s="97">
        <f t="shared" si="1"/>
        <v>15958698.481212385</v>
      </c>
      <c r="K19" s="97">
        <f t="shared" si="2"/>
        <v>2232753.779178415</v>
      </c>
    </row>
    <row r="20" spans="1:11">
      <c r="A20" s="9" t="s">
        <v>52</v>
      </c>
      <c r="B20" s="9" t="s">
        <v>61</v>
      </c>
      <c r="C20" s="12">
        <v>3.5284900000000001</v>
      </c>
      <c r="D20" s="12">
        <v>2.9310930000000002</v>
      </c>
      <c r="E20" s="12">
        <v>4.6631669999999996</v>
      </c>
      <c r="F20" s="97">
        <v>3951.6543000000001</v>
      </c>
      <c r="G20" s="97">
        <v>15293.3842</v>
      </c>
      <c r="H20" s="97">
        <v>3828.9169000000002</v>
      </c>
      <c r="I20" s="97">
        <f t="shared" si="0"/>
        <v>5089331.0285675554</v>
      </c>
      <c r="J20" s="97">
        <f t="shared" si="1"/>
        <v>16361610.951849671</v>
      </c>
      <c r="K20" s="97">
        <f t="shared" si="2"/>
        <v>6517030.8108451394</v>
      </c>
    </row>
    <row r="21" spans="1:11">
      <c r="A21" s="9" t="s">
        <v>39</v>
      </c>
      <c r="B21" s="9" t="s">
        <v>62</v>
      </c>
      <c r="C21" s="12">
        <v>2.2237770000000001</v>
      </c>
      <c r="D21" s="12">
        <v>5.1778190000000004</v>
      </c>
      <c r="E21" s="12">
        <v>4.189038</v>
      </c>
      <c r="F21" s="97">
        <v>29108.662900000003</v>
      </c>
      <c r="G21" s="97">
        <v>28244.07</v>
      </c>
      <c r="H21" s="97">
        <v>1847.95</v>
      </c>
      <c r="I21" s="97">
        <f t="shared" si="0"/>
        <v>23626878.896087259</v>
      </c>
      <c r="J21" s="97">
        <f t="shared" si="1"/>
        <v>53378579.033415452</v>
      </c>
      <c r="K21" s="97">
        <f t="shared" si="2"/>
        <v>2825513.4618165004</v>
      </c>
    </row>
    <row r="22" spans="1:11">
      <c r="A22" s="9" t="s">
        <v>48</v>
      </c>
      <c r="B22" s="9" t="s">
        <v>63</v>
      </c>
      <c r="C22" s="12">
        <v>1.3911629999999999</v>
      </c>
      <c r="D22" s="12">
        <v>2.2227130000000002</v>
      </c>
      <c r="E22" s="12">
        <v>5.5</v>
      </c>
      <c r="F22" s="97">
        <v>18398.434699999998</v>
      </c>
      <c r="G22" s="97">
        <v>20551.881400000002</v>
      </c>
      <c r="H22" s="97">
        <v>11</v>
      </c>
      <c r="I22" s="97">
        <f t="shared" si="0"/>
        <v>9342255.8885829747</v>
      </c>
      <c r="J22" s="97">
        <f t="shared" si="1"/>
        <v>16673540.896216948</v>
      </c>
      <c r="K22" s="97">
        <f t="shared" si="2"/>
        <v>22082.5</v>
      </c>
    </row>
    <row r="23" spans="1:11">
      <c r="A23" s="9" t="s">
        <v>52</v>
      </c>
      <c r="B23" s="9" t="s">
        <v>64</v>
      </c>
      <c r="C23" s="12">
        <v>1.7610250000000001</v>
      </c>
      <c r="D23" s="12">
        <v>3.5835499999999998</v>
      </c>
      <c r="E23" s="12">
        <v>4.7559880000000003</v>
      </c>
      <c r="F23" s="97">
        <v>3825.9047999999998</v>
      </c>
      <c r="G23" s="97">
        <v>7357.6094000000003</v>
      </c>
      <c r="H23" s="97">
        <v>1682.8283999999999</v>
      </c>
      <c r="I23" s="97">
        <f t="shared" si="0"/>
        <v>2459192.6101533002</v>
      </c>
      <c r="J23" s="97">
        <f t="shared" si="1"/>
        <v>9623721.8253600504</v>
      </c>
      <c r="K23" s="97">
        <f t="shared" si="2"/>
        <v>2921281.7619076082</v>
      </c>
    </row>
    <row r="24" spans="1:11">
      <c r="A24" s="9" t="s">
        <v>48</v>
      </c>
      <c r="B24" s="9" t="s">
        <v>65</v>
      </c>
      <c r="C24" s="12">
        <v>2.6000200000000002</v>
      </c>
      <c r="D24" s="12">
        <v>3.7609599999999999</v>
      </c>
      <c r="E24" s="12">
        <v>3.0581140000000002</v>
      </c>
      <c r="F24" s="97">
        <v>10494.128699999999</v>
      </c>
      <c r="G24" s="97">
        <v>19515.922600000002</v>
      </c>
      <c r="H24" s="97">
        <v>1737.143</v>
      </c>
      <c r="I24" s="97">
        <f t="shared" si="0"/>
        <v>9959004.7434395105</v>
      </c>
      <c r="J24" s="97">
        <f t="shared" si="1"/>
        <v>26790490.555519041</v>
      </c>
      <c r="K24" s="97">
        <f t="shared" si="2"/>
        <v>1939019.1848302302</v>
      </c>
    </row>
    <row r="25" spans="1:11">
      <c r="A25" s="9" t="s">
        <v>44</v>
      </c>
      <c r="B25" s="9" t="s">
        <v>66</v>
      </c>
      <c r="C25" s="12">
        <v>2.2500079999999998</v>
      </c>
      <c r="D25" s="12">
        <v>3.6538710000000001</v>
      </c>
      <c r="E25" s="12">
        <v>4.1964699999999997</v>
      </c>
      <c r="F25" s="97">
        <v>1234.3089</v>
      </c>
      <c r="G25" s="97">
        <v>1478.7132300000001</v>
      </c>
      <c r="H25" s="97">
        <v>326.56204000000002</v>
      </c>
      <c r="I25" s="97">
        <f t="shared" si="0"/>
        <v>1013679.7883069878</v>
      </c>
      <c r="J25" s="97">
        <f t="shared" si="1"/>
        <v>1972104.9967708655</v>
      </c>
      <c r="K25" s="97">
        <f t="shared" si="2"/>
        <v>500198.84845956205</v>
      </c>
    </row>
    <row r="26" spans="1:11">
      <c r="A26" s="9" t="s">
        <v>48</v>
      </c>
      <c r="B26" s="9" t="s">
        <v>67</v>
      </c>
      <c r="C26" s="12">
        <v>1.9377390000000001</v>
      </c>
      <c r="D26" s="12">
        <v>3.4403959999999998</v>
      </c>
      <c r="E26" s="12">
        <v>2.6537130000000002</v>
      </c>
      <c r="F26" s="97">
        <v>18915.757000000001</v>
      </c>
      <c r="G26" s="97">
        <v>10197.4087</v>
      </c>
      <c r="H26" s="97">
        <v>966.64890000000003</v>
      </c>
      <c r="I26" s="97">
        <f t="shared" si="0"/>
        <v>13378637.019499395</v>
      </c>
      <c r="J26" s="97">
        <f t="shared" si="1"/>
        <v>12805340.297173498</v>
      </c>
      <c r="K26" s="97">
        <f t="shared" si="2"/>
        <v>936301.19461348059</v>
      </c>
    </row>
    <row r="27" spans="1:11">
      <c r="A27" s="9" t="s">
        <v>52</v>
      </c>
      <c r="B27" s="9" t="s">
        <v>68</v>
      </c>
      <c r="C27" s="12">
        <v>2.6082000000000001</v>
      </c>
      <c r="D27" s="12">
        <v>4.3870240000000003</v>
      </c>
      <c r="E27" s="12">
        <v>7.4111830000000003</v>
      </c>
      <c r="F27" s="97">
        <v>3067.6550000000002</v>
      </c>
      <c r="G27" s="97">
        <v>13906.769300000002</v>
      </c>
      <c r="H27" s="97">
        <v>4225.442</v>
      </c>
      <c r="I27" s="97">
        <f t="shared" si="0"/>
        <v>2920386.0864150003</v>
      </c>
      <c r="J27" s="97">
        <f t="shared" si="1"/>
        <v>22268405.698770572</v>
      </c>
      <c r="K27" s="97">
        <f t="shared" si="2"/>
        <v>11430166.230028391</v>
      </c>
    </row>
    <row r="28" spans="1:11">
      <c r="A28" s="9" t="s">
        <v>48</v>
      </c>
      <c r="B28" s="9" t="s">
        <v>69</v>
      </c>
      <c r="C28" s="12">
        <v>1.739385</v>
      </c>
      <c r="D28" s="12">
        <v>3.2441680000000002</v>
      </c>
      <c r="E28" s="12">
        <v>10.383330000000001</v>
      </c>
      <c r="F28" s="97">
        <v>6038.3769999999995</v>
      </c>
      <c r="G28" s="97">
        <v>18992.2981</v>
      </c>
      <c r="H28" s="97">
        <v>528.94230000000005</v>
      </c>
      <c r="I28" s="97">
        <f t="shared" si="0"/>
        <v>3833617.7680229247</v>
      </c>
      <c r="J28" s="97">
        <f t="shared" si="1"/>
        <v>22489185.096005492</v>
      </c>
      <c r="K28" s="97">
        <f t="shared" si="2"/>
        <v>2004646.5949285354</v>
      </c>
    </row>
    <row r="29" spans="1:11">
      <c r="A29" s="9" t="s">
        <v>41</v>
      </c>
      <c r="B29" s="9" t="s">
        <v>70</v>
      </c>
      <c r="C29" s="12">
        <v>1.9985820000000001</v>
      </c>
      <c r="D29" s="12">
        <v>4.0638059999999996</v>
      </c>
      <c r="E29" s="12">
        <v>8.3861410000000003</v>
      </c>
      <c r="F29" s="97">
        <v>10150.0659</v>
      </c>
      <c r="G29" s="97">
        <v>20950.525000000001</v>
      </c>
      <c r="H29" s="97">
        <v>1136.3846000000001</v>
      </c>
      <c r="I29" s="97">
        <f t="shared" si="0"/>
        <v>7404294.7373921368</v>
      </c>
      <c r="J29" s="97">
        <f t="shared" si="1"/>
        <v>31075687.257324751</v>
      </c>
      <c r="K29" s="97">
        <f t="shared" si="2"/>
        <v>3478406.7423274391</v>
      </c>
    </row>
    <row r="30" spans="1:11">
      <c r="A30" s="9" t="s">
        <v>52</v>
      </c>
      <c r="B30" s="9" t="s">
        <v>71</v>
      </c>
      <c r="C30" s="12">
        <v>1.833467</v>
      </c>
      <c r="D30" s="12">
        <v>2.7419509999999998</v>
      </c>
      <c r="E30" s="12">
        <v>4.1856109999999997</v>
      </c>
      <c r="F30" s="97">
        <v>5219.0019999999995</v>
      </c>
      <c r="G30" s="97">
        <v>4015.5357999999997</v>
      </c>
      <c r="H30" s="97">
        <v>1169.6024</v>
      </c>
      <c r="I30" s="97">
        <f t="shared" si="0"/>
        <v>3492636.7980759093</v>
      </c>
      <c r="J30" s="97">
        <f t="shared" si="1"/>
        <v>4018796.8768562167</v>
      </c>
      <c r="K30" s="97">
        <f t="shared" si="2"/>
        <v>1786857.7449392357</v>
      </c>
    </row>
    <row r="31" spans="1:11">
      <c r="A31" s="9" t="s">
        <v>52</v>
      </c>
      <c r="B31" s="9" t="s">
        <v>72</v>
      </c>
      <c r="C31" s="12">
        <v>1.841656</v>
      </c>
      <c r="D31" s="12">
        <v>3.193098</v>
      </c>
      <c r="E31" s="12">
        <v>4.3877689999999996</v>
      </c>
      <c r="F31" s="97">
        <v>7793.3832000000002</v>
      </c>
      <c r="G31" s="97">
        <v>11746.7914</v>
      </c>
      <c r="H31" s="97">
        <v>3079.125</v>
      </c>
      <c r="I31" s="97">
        <f t="shared" si="0"/>
        <v>5238746.7896614084</v>
      </c>
      <c r="J31" s="97">
        <f t="shared" si="1"/>
        <v>13690659.48590138</v>
      </c>
      <c r="K31" s="97">
        <f t="shared" si="2"/>
        <v>4931328.5660756249</v>
      </c>
    </row>
    <row r="32" spans="1:11">
      <c r="A32" s="9" t="s">
        <v>39</v>
      </c>
      <c r="B32" s="9" t="s">
        <v>73</v>
      </c>
      <c r="C32" s="12">
        <v>2.323188</v>
      </c>
      <c r="D32" s="12">
        <v>4.7644120000000001</v>
      </c>
      <c r="E32" s="12">
        <v>6.2129399999999997</v>
      </c>
      <c r="F32" s="97">
        <v>3738.6161000000002</v>
      </c>
      <c r="G32" s="97">
        <v>16504.585999999999</v>
      </c>
      <c r="H32" s="97">
        <v>3269.9438</v>
      </c>
      <c r="I32" s="97">
        <f t="shared" si="0"/>
        <v>3170210.4419462821</v>
      </c>
      <c r="J32" s="97">
        <f t="shared" si="1"/>
        <v>28701646.371602681</v>
      </c>
      <c r="K32" s="97">
        <f t="shared" si="2"/>
        <v>7415327.0909617804</v>
      </c>
    </row>
    <row r="33" spans="6:11">
      <c r="F33" s="98">
        <f t="shared" ref="F33:H33" si="3">SUM(F3:F32)</f>
        <v>256563.49652000002</v>
      </c>
      <c r="G33" s="98">
        <f t="shared" si="3"/>
        <v>453925.08583</v>
      </c>
      <c r="H33" s="98">
        <f t="shared" si="3"/>
        <v>53871.999340000002</v>
      </c>
      <c r="I33" s="98">
        <f>SUM(I3:I32)</f>
        <v>185169290.0267168</v>
      </c>
      <c r="J33" s="98">
        <f t="shared" ref="J33:K33" si="4">SUM(J3:J32)</f>
        <v>569330780.7664088</v>
      </c>
      <c r="K33" s="98">
        <f t="shared" si="4"/>
        <v>103931726.50238267</v>
      </c>
    </row>
  </sheetData>
  <mergeCells count="3">
    <mergeCell ref="C1:E1"/>
    <mergeCell ref="F1:H1"/>
    <mergeCell ref="I1:K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1B4F7-BBDA-4514-8A44-ED150A4B6D70}">
  <dimension ref="B9:E10"/>
  <sheetViews>
    <sheetView workbookViewId="0">
      <selection activeCell="H17" sqref="H17"/>
    </sheetView>
  </sheetViews>
  <sheetFormatPr defaultColWidth="11.42578125" defaultRowHeight="14.45"/>
  <sheetData>
    <row r="9" spans="2:5">
      <c r="C9" t="s">
        <v>596</v>
      </c>
      <c r="D9" t="s">
        <v>597</v>
      </c>
    </row>
    <row r="10" spans="2:5">
      <c r="B10" s="307" t="s">
        <v>598</v>
      </c>
      <c r="C10" s="308">
        <v>133791.65215815001</v>
      </c>
      <c r="D10">
        <f>14+55+73</f>
        <v>142</v>
      </c>
      <c r="E10" s="121">
        <f>D10/C10</f>
        <v>1.0613517189558823E-3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C45E2-2507-470E-9CEF-A24ED32C5B66}">
  <dimension ref="B4:I21"/>
  <sheetViews>
    <sheetView workbookViewId="0">
      <selection activeCell="B4" sqref="B4:F21"/>
    </sheetView>
  </sheetViews>
  <sheetFormatPr defaultColWidth="11.42578125" defaultRowHeight="14.45"/>
  <cols>
    <col min="2" max="2" width="44.5703125" style="154" customWidth="1"/>
    <col min="3" max="3" width="7.42578125" bestFit="1" customWidth="1"/>
    <col min="4" max="4" width="8.7109375" bestFit="1" customWidth="1"/>
    <col min="5" max="6" width="8.28515625" bestFit="1" customWidth="1"/>
    <col min="7" max="9" width="10.28515625" bestFit="1" customWidth="1"/>
  </cols>
  <sheetData>
    <row r="4" spans="2:9" ht="30" customHeight="1">
      <c r="B4" s="274"/>
      <c r="C4" s="174"/>
      <c r="D4" s="326" t="s">
        <v>599</v>
      </c>
      <c r="E4" s="326"/>
      <c r="F4" s="326"/>
      <c r="G4" s="327" t="s">
        <v>600</v>
      </c>
      <c r="H4" s="327"/>
      <c r="I4" s="327"/>
    </row>
    <row r="5" spans="2:9" ht="14.45" customHeight="1">
      <c r="B5" s="204" t="s">
        <v>601</v>
      </c>
      <c r="C5" s="174" t="s">
        <v>533</v>
      </c>
      <c r="D5" s="273" t="s">
        <v>602</v>
      </c>
      <c r="E5" s="273" t="s">
        <v>491</v>
      </c>
      <c r="F5" s="273" t="s">
        <v>603</v>
      </c>
      <c r="G5" s="273" t="s">
        <v>602</v>
      </c>
      <c r="H5" s="273" t="s">
        <v>491</v>
      </c>
      <c r="I5" s="273" t="s">
        <v>603</v>
      </c>
    </row>
    <row r="6" spans="2:9" ht="14.45" customHeight="1">
      <c r="B6" s="274" t="s">
        <v>549</v>
      </c>
      <c r="C6" s="9" t="s">
        <v>550</v>
      </c>
      <c r="D6" s="245">
        <v>32</v>
      </c>
      <c r="E6" s="245">
        <v>32</v>
      </c>
      <c r="F6" s="245">
        <v>30</v>
      </c>
      <c r="G6" s="245">
        <v>32</v>
      </c>
      <c r="H6" s="245">
        <v>32</v>
      </c>
      <c r="I6" s="245">
        <v>30</v>
      </c>
    </row>
    <row r="7" spans="2:9" ht="14.45" customHeight="1">
      <c r="B7" s="274" t="s">
        <v>551</v>
      </c>
      <c r="C7" s="9" t="s">
        <v>136</v>
      </c>
      <c r="D7" s="9">
        <v>6</v>
      </c>
      <c r="E7" s="9">
        <v>6</v>
      </c>
      <c r="F7" s="9">
        <v>5</v>
      </c>
      <c r="G7" s="9">
        <v>6</v>
      </c>
      <c r="H7" s="9">
        <v>6</v>
      </c>
      <c r="I7" s="9">
        <v>5</v>
      </c>
    </row>
    <row r="8" spans="2:9" ht="14.45" customHeight="1">
      <c r="B8" s="274" t="s">
        <v>552</v>
      </c>
      <c r="C8" s="9" t="s">
        <v>136</v>
      </c>
      <c r="D8" s="9">
        <v>9</v>
      </c>
      <c r="E8" s="9">
        <v>9</v>
      </c>
      <c r="F8" s="9">
        <v>6</v>
      </c>
      <c r="G8" s="9">
        <v>9</v>
      </c>
      <c r="H8" s="9">
        <v>9</v>
      </c>
      <c r="I8" s="9">
        <v>6</v>
      </c>
    </row>
    <row r="9" spans="2:9" ht="14.45" customHeight="1">
      <c r="B9" s="274" t="s">
        <v>553</v>
      </c>
      <c r="C9" s="9" t="s">
        <v>136</v>
      </c>
      <c r="D9" s="9">
        <v>9</v>
      </c>
      <c r="E9" s="9">
        <v>9</v>
      </c>
      <c r="F9" s="9">
        <v>6</v>
      </c>
      <c r="G9" s="9">
        <v>9</v>
      </c>
      <c r="H9" s="9">
        <v>9</v>
      </c>
      <c r="I9" s="9">
        <v>6</v>
      </c>
    </row>
    <row r="10" spans="2:9" ht="14.45" customHeight="1">
      <c r="B10" s="274" t="s">
        <v>554</v>
      </c>
      <c r="C10" s="9" t="s">
        <v>136</v>
      </c>
      <c r="D10" s="9">
        <v>70</v>
      </c>
      <c r="E10" s="9">
        <v>70</v>
      </c>
      <c r="F10" s="245">
        <v>77</v>
      </c>
      <c r="G10" s="9">
        <v>70</v>
      </c>
      <c r="H10" s="9">
        <v>70</v>
      </c>
      <c r="I10" s="245">
        <v>77</v>
      </c>
    </row>
    <row r="11" spans="2:9" ht="14.45" customHeight="1">
      <c r="B11" s="274" t="s">
        <v>555</v>
      </c>
      <c r="C11" s="9" t="s">
        <v>556</v>
      </c>
      <c r="D11" s="9">
        <v>300</v>
      </c>
      <c r="E11" s="9">
        <v>300</v>
      </c>
      <c r="F11" s="277">
        <v>384</v>
      </c>
      <c r="G11" s="9">
        <v>300</v>
      </c>
      <c r="H11" s="9">
        <v>300</v>
      </c>
      <c r="I11" s="275">
        <v>345</v>
      </c>
    </row>
    <row r="12" spans="2:9" ht="14.45" customHeight="1">
      <c r="B12" s="274" t="s">
        <v>557</v>
      </c>
      <c r="C12" s="9" t="s">
        <v>556</v>
      </c>
      <c r="D12" s="9">
        <v>350</v>
      </c>
      <c r="E12" s="9">
        <v>350</v>
      </c>
      <c r="F12" s="277">
        <v>448</v>
      </c>
      <c r="G12" s="9">
        <v>350</v>
      </c>
      <c r="H12" s="9">
        <v>350</v>
      </c>
      <c r="I12" s="275">
        <v>402.5</v>
      </c>
    </row>
    <row r="13" spans="2:9" ht="14.45" customHeight="1">
      <c r="B13" s="274" t="s">
        <v>558</v>
      </c>
      <c r="C13" s="9" t="s">
        <v>556</v>
      </c>
      <c r="D13" s="9">
        <v>195</v>
      </c>
      <c r="E13" s="9">
        <v>195</v>
      </c>
      <c r="F13" s="277">
        <v>249.60000000000002</v>
      </c>
      <c r="G13" s="9">
        <v>195</v>
      </c>
      <c r="H13" s="9">
        <v>195</v>
      </c>
      <c r="I13" s="275">
        <v>224.25</v>
      </c>
    </row>
    <row r="14" spans="2:9" ht="14.45" customHeight="1">
      <c r="B14" s="274" t="s">
        <v>559</v>
      </c>
      <c r="C14" s="9" t="s">
        <v>556</v>
      </c>
      <c r="D14" s="9">
        <v>231</v>
      </c>
      <c r="E14" s="9">
        <v>231</v>
      </c>
      <c r="F14" s="277">
        <v>295.68</v>
      </c>
      <c r="G14" s="9">
        <v>231</v>
      </c>
      <c r="H14" s="9">
        <v>231</v>
      </c>
      <c r="I14" s="275">
        <v>265.64999999999998</v>
      </c>
    </row>
    <row r="15" spans="2:9" ht="14.45" customHeight="1">
      <c r="B15" s="274" t="s">
        <v>111</v>
      </c>
      <c r="C15" s="9" t="s">
        <v>136</v>
      </c>
      <c r="D15" s="9">
        <v>3.24</v>
      </c>
      <c r="E15" s="9">
        <v>3.24</v>
      </c>
      <c r="F15" s="245">
        <v>3.24</v>
      </c>
      <c r="G15" s="9">
        <v>3.24</v>
      </c>
      <c r="H15" s="9">
        <v>3.24</v>
      </c>
      <c r="I15" s="9">
        <v>3.24</v>
      </c>
    </row>
    <row r="16" spans="2:9" ht="14.45" customHeight="1">
      <c r="B16" s="274" t="s">
        <v>109</v>
      </c>
      <c r="C16" s="9" t="s">
        <v>136</v>
      </c>
      <c r="D16" s="9">
        <v>3.56</v>
      </c>
      <c r="E16" s="9">
        <v>3.56</v>
      </c>
      <c r="F16" s="245">
        <v>3.56</v>
      </c>
      <c r="G16" s="9">
        <v>3.56</v>
      </c>
      <c r="H16" s="9">
        <v>3.56</v>
      </c>
      <c r="I16" s="9">
        <v>3.56</v>
      </c>
    </row>
    <row r="17" spans="2:9" ht="14.45" customHeight="1">
      <c r="B17" s="274" t="s">
        <v>560</v>
      </c>
      <c r="C17" s="9" t="s">
        <v>556</v>
      </c>
      <c r="D17" s="245">
        <v>483</v>
      </c>
      <c r="E17" s="245">
        <v>483</v>
      </c>
      <c r="F17" s="245">
        <v>1764</v>
      </c>
      <c r="G17" s="245">
        <v>483</v>
      </c>
      <c r="H17" s="245">
        <v>483</v>
      </c>
      <c r="I17" s="245">
        <v>850</v>
      </c>
    </row>
    <row r="18" spans="2:9" ht="14.45" customHeight="1">
      <c r="B18" s="274" t="s">
        <v>561</v>
      </c>
      <c r="C18" s="9" t="s">
        <v>430</v>
      </c>
      <c r="D18" s="278">
        <v>13677.718682472376</v>
      </c>
      <c r="E18" s="278">
        <v>18081.829905458057</v>
      </c>
      <c r="F18" s="278">
        <v>16806.195121890774</v>
      </c>
      <c r="G18" s="278">
        <v>116175.92769864024</v>
      </c>
      <c r="H18" s="278">
        <v>156638.01113854419</v>
      </c>
      <c r="I18" s="278">
        <v>138391.30156927483</v>
      </c>
    </row>
    <row r="19" spans="2:9" ht="14.45" customHeight="1">
      <c r="B19" s="274" t="s">
        <v>562</v>
      </c>
      <c r="C19" s="9" t="s">
        <v>430</v>
      </c>
      <c r="D19" s="278">
        <v>327.53738751818548</v>
      </c>
      <c r="E19" s="278">
        <v>433.00169174932819</v>
      </c>
      <c r="F19" s="278">
        <v>402.45433994771696</v>
      </c>
      <c r="G19" s="278">
        <v>3896.2306229409337</v>
      </c>
      <c r="H19" s="278">
        <v>5248.0820557545994</v>
      </c>
      <c r="I19" s="278">
        <v>4636.7347309832849</v>
      </c>
    </row>
    <row r="20" spans="2:9" ht="14.45" customHeight="1">
      <c r="B20" s="274" t="s">
        <v>563</v>
      </c>
      <c r="C20" s="9" t="s">
        <v>136</v>
      </c>
      <c r="D20" s="276">
        <v>0.11764705882352941</v>
      </c>
      <c r="E20" s="276">
        <v>0.11764705882352941</v>
      </c>
      <c r="F20" s="276">
        <v>0.1</v>
      </c>
      <c r="G20" s="276">
        <v>0.11764705882352941</v>
      </c>
      <c r="H20" s="276">
        <v>0.11764705882352941</v>
      </c>
      <c r="I20" s="276">
        <v>0.1</v>
      </c>
    </row>
    <row r="21" spans="2:9" ht="14.45" customHeight="1">
      <c r="B21" s="274" t="s">
        <v>564</v>
      </c>
      <c r="C21" s="9" t="s">
        <v>556</v>
      </c>
      <c r="D21" s="9">
        <v>30</v>
      </c>
      <c r="E21" s="9">
        <v>30</v>
      </c>
      <c r="F21" s="9">
        <v>35</v>
      </c>
      <c r="G21" s="9">
        <v>30</v>
      </c>
      <c r="H21" s="9">
        <v>30</v>
      </c>
      <c r="I21" s="9">
        <v>35</v>
      </c>
    </row>
  </sheetData>
  <mergeCells count="2">
    <mergeCell ref="D4:F4"/>
    <mergeCell ref="G4:I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0BBA3-CEC0-4E8A-AF68-90DB5A377FC8}">
  <sheetPr>
    <tabColor theme="5" tint="-0.249977111117893"/>
  </sheetPr>
  <dimension ref="A1:AK63"/>
  <sheetViews>
    <sheetView tabSelected="1" topLeftCell="O1" zoomScale="98" zoomScaleNormal="130" workbookViewId="0">
      <selection activeCell="AH7" sqref="AH7"/>
    </sheetView>
  </sheetViews>
  <sheetFormatPr defaultColWidth="8.85546875" defaultRowHeight="14.45"/>
  <cols>
    <col min="1" max="1" width="35.140625" bestFit="1" customWidth="1"/>
    <col min="2" max="2" width="18.28515625" customWidth="1"/>
    <col min="3" max="3" width="14.85546875" bestFit="1" customWidth="1"/>
    <col min="4" max="5" width="12.28515625" bestFit="1" customWidth="1"/>
    <col min="6" max="6" width="12.28515625" customWidth="1"/>
    <col min="7" max="9" width="12.28515625" bestFit="1" customWidth="1"/>
    <col min="10" max="10" width="12.28515625" customWidth="1"/>
    <col min="11" max="11" width="11.28515625" bestFit="1" customWidth="1"/>
    <col min="12" max="13" width="12.28515625" bestFit="1" customWidth="1"/>
    <col min="14" max="14" width="12.28515625" customWidth="1"/>
    <col min="15" max="16" width="11.85546875" bestFit="1" customWidth="1"/>
    <col min="17" max="17" width="12.85546875" bestFit="1" customWidth="1"/>
    <col min="18" max="18" width="12.28515625" customWidth="1"/>
    <col min="19" max="19" width="11.28515625" bestFit="1" customWidth="1"/>
    <col min="20" max="21" width="12.28515625" bestFit="1" customWidth="1"/>
    <col min="22" max="22" width="12.28515625" customWidth="1"/>
    <col min="23" max="23" width="12.28515625" bestFit="1" customWidth="1"/>
    <col min="24" max="25" width="13.85546875" bestFit="1" customWidth="1"/>
    <col min="28" max="29" width="12.28515625" bestFit="1" customWidth="1"/>
    <col min="32" max="32" width="9.140625" bestFit="1" customWidth="1"/>
    <col min="33" max="33" width="24.28515625" customWidth="1"/>
    <col min="34" max="34" width="10.28515625" bestFit="1" customWidth="1"/>
    <col min="35" max="36" width="11.28515625" bestFit="1" customWidth="1"/>
    <col min="37" max="37" width="9.140625" bestFit="1" customWidth="1"/>
  </cols>
  <sheetData>
    <row r="1" spans="1:37" s="164" customFormat="1">
      <c r="C1" s="328" t="s">
        <v>527</v>
      </c>
      <c r="D1" s="328"/>
      <c r="E1" s="328"/>
      <c r="F1" s="221"/>
      <c r="G1" s="329" t="s">
        <v>528</v>
      </c>
      <c r="H1" s="329"/>
      <c r="I1" s="330"/>
      <c r="J1" s="228"/>
      <c r="K1" s="331" t="s">
        <v>529</v>
      </c>
      <c r="L1" s="331"/>
      <c r="M1" s="332"/>
      <c r="N1" s="228"/>
      <c r="O1" s="328" t="s">
        <v>530</v>
      </c>
      <c r="P1" s="328"/>
      <c r="Q1" s="328"/>
      <c r="R1" s="228"/>
      <c r="S1" s="334" t="s">
        <v>531</v>
      </c>
      <c r="T1" s="334"/>
      <c r="U1" s="334"/>
      <c r="V1" s="228"/>
      <c r="W1" s="333" t="s">
        <v>604</v>
      </c>
      <c r="X1" s="333"/>
      <c r="Y1" s="333"/>
    </row>
    <row r="2" spans="1:37" s="158" customFormat="1">
      <c r="C2" s="220" t="s">
        <v>605</v>
      </c>
      <c r="D2" s="220" t="s">
        <v>491</v>
      </c>
      <c r="E2" s="220" t="s">
        <v>606</v>
      </c>
      <c r="F2" s="220"/>
      <c r="G2" s="226" t="s">
        <v>605</v>
      </c>
      <c r="H2" s="226" t="s">
        <v>491</v>
      </c>
      <c r="I2" s="226" t="s">
        <v>606</v>
      </c>
      <c r="J2" s="226"/>
      <c r="K2" s="232" t="s">
        <v>605</v>
      </c>
      <c r="L2" s="232" t="s">
        <v>491</v>
      </c>
      <c r="M2" s="232" t="s">
        <v>606</v>
      </c>
      <c r="N2" s="226"/>
      <c r="O2" s="220" t="s">
        <v>605</v>
      </c>
      <c r="P2" s="220" t="s">
        <v>491</v>
      </c>
      <c r="Q2" s="220" t="s">
        <v>606</v>
      </c>
      <c r="R2" s="226"/>
      <c r="S2" s="242" t="s">
        <v>605</v>
      </c>
      <c r="T2" s="242" t="s">
        <v>491</v>
      </c>
      <c r="U2" s="242" t="s">
        <v>606</v>
      </c>
      <c r="V2" s="226"/>
      <c r="W2" s="220" t="s">
        <v>605</v>
      </c>
      <c r="X2" s="220" t="s">
        <v>491</v>
      </c>
      <c r="Y2" s="220" t="s">
        <v>606</v>
      </c>
      <c r="AB2" s="160" t="s">
        <v>493</v>
      </c>
      <c r="AC2" s="160"/>
      <c r="AD2"/>
      <c r="AG2"/>
      <c r="AH2" s="29" t="s">
        <v>494</v>
      </c>
    </row>
    <row r="3" spans="1:37">
      <c r="A3" s="161" t="s">
        <v>433</v>
      </c>
      <c r="B3" s="161" t="s">
        <v>495</v>
      </c>
      <c r="C3" s="222">
        <f>'Processed Results 2024'!H60/1000</f>
        <v>3736.56709</v>
      </c>
      <c r="D3" s="222">
        <f>'Processed Results 2024'!I60/1000</f>
        <v>4651.82978</v>
      </c>
      <c r="E3" s="222">
        <f>'Processed Results 2024'!J60/1000</f>
        <v>4583.2019099999998</v>
      </c>
      <c r="F3" s="227">
        <f>(E3-D3)/D3</f>
        <v>-1.4752876447684691E-2</v>
      </c>
      <c r="G3" s="166">
        <f>'Processed Results 2024'!L60/1000</f>
        <v>7130.8141500000002</v>
      </c>
      <c r="H3" s="166">
        <f>'Processed Results 2024'!M60/1000</f>
        <v>9200.3033000000014</v>
      </c>
      <c r="I3" s="166">
        <f>'Processed Results 2024'!N60/1000</f>
        <v>9312.3844200000003</v>
      </c>
      <c r="J3" s="227">
        <f>(I3-H3)/H3</f>
        <v>1.2182328815181441E-2</v>
      </c>
      <c r="K3" s="166">
        <f>'Processed Results 2024'!P60/1000</f>
        <v>13331.33416</v>
      </c>
      <c r="L3" s="166">
        <f>'Processed Results 2024'!Q60/1000</f>
        <v>17200.0095</v>
      </c>
      <c r="M3" s="166">
        <f>'Processed Results 2024'!R60/1000</f>
        <v>18195.269840000001</v>
      </c>
      <c r="N3" s="227">
        <f>(M3-L3)/L3</f>
        <v>5.7863941296078976E-2</v>
      </c>
      <c r="O3" s="166">
        <f>'Processed Results 2024'!T60/1000</f>
        <v>367815.85505000001</v>
      </c>
      <c r="P3" s="166">
        <f>'Processed Results 2024'!U60/1000</f>
        <v>495906.95212000003</v>
      </c>
      <c r="Q3" s="166">
        <f>'Processed Results 2024'!V60/1000</f>
        <v>432337.89562000002</v>
      </c>
      <c r="R3" s="227">
        <f>(Q3-P3)/P3</f>
        <v>-0.12818746788735785</v>
      </c>
      <c r="S3" s="166">
        <f>'Processed Results 2024'!X60/1000</f>
        <v>48304.885000000002</v>
      </c>
      <c r="T3" s="166">
        <f>'Processed Results 2024'!Y60/1000</f>
        <v>63858.75432</v>
      </c>
      <c r="U3" s="166">
        <f>'Processed Results 2024'!Z60/1000</f>
        <v>69882.679220000005</v>
      </c>
      <c r="V3" s="227">
        <f>(U3-T3)/T3</f>
        <v>9.4332013897636666E-2</v>
      </c>
      <c r="W3" s="166">
        <f>C3+G3+K3+O3+S3</f>
        <v>440319.45545000001</v>
      </c>
      <c r="X3" s="166">
        <f>D3+H3+L3+P3+T3</f>
        <v>590817.84901999997</v>
      </c>
      <c r="Y3" s="166">
        <f>E3+I3+M3+Q3+U3</f>
        <v>534311.43101000006</v>
      </c>
      <c r="AB3" t="s">
        <v>491</v>
      </c>
      <c r="AC3" t="s">
        <v>492</v>
      </c>
      <c r="AD3" s="160" t="s">
        <v>496</v>
      </c>
      <c r="AG3" t="s">
        <v>607</v>
      </c>
      <c r="AH3" s="166">
        <f>W3</f>
        <v>440319.45545000001</v>
      </c>
    </row>
    <row r="4" spans="1:37">
      <c r="A4" s="161" t="s">
        <v>441</v>
      </c>
      <c r="B4" s="161" t="s">
        <v>495</v>
      </c>
      <c r="C4" s="166">
        <f>'Processed Results 2024'!H32/1000</f>
        <v>1234.78854</v>
      </c>
      <c r="D4" s="166">
        <f>'Processed Results 2024'!I32/1000</f>
        <v>1537.24776</v>
      </c>
      <c r="E4" s="166">
        <f>'Processed Results 2024'!J32/1000</f>
        <v>1504.39283</v>
      </c>
      <c r="F4" s="227">
        <f t="shared" ref="F4:F42" si="0">(E4-D4)/D4</f>
        <v>-2.1372566514587063E-2</v>
      </c>
      <c r="G4" s="166">
        <f>'Processed Results 2024'!L32/1000</f>
        <v>2150.0549300000002</v>
      </c>
      <c r="H4" s="166">
        <f>'Processed Results 2024'!M32/1000</f>
        <v>2774.0636600000003</v>
      </c>
      <c r="I4" s="166">
        <f>'Processed Results 2024'!N32/1000</f>
        <v>2857.9983399999996</v>
      </c>
      <c r="J4" s="227">
        <f t="shared" ref="J4:J42" si="1">(I4-H4)/H4</f>
        <v>3.0256940823052123E-2</v>
      </c>
      <c r="K4" s="166">
        <f>'Processed Results 2024'!P32/1000</f>
        <v>3841.43523</v>
      </c>
      <c r="L4" s="166">
        <f>'Processed Results 2024'!Q32/1000</f>
        <v>4956.1391199999998</v>
      </c>
      <c r="M4" s="166">
        <f>'Processed Results 2024'!R32/1000</f>
        <v>5218.3000899999997</v>
      </c>
      <c r="N4" s="227">
        <f t="shared" ref="N4:N42" si="2">(M4-L4)/L4</f>
        <v>5.2896208853798261E-2</v>
      </c>
      <c r="O4" s="166">
        <f>'Processed Results 2024'!T32/1000</f>
        <v>103538.59272</v>
      </c>
      <c r="P4" s="166">
        <f>'Processed Results 2024'!U32/1000</f>
        <v>139601.53231000001</v>
      </c>
      <c r="Q4" s="166">
        <f>'Processed Results 2024'!V32/1000</f>
        <v>137892.69761</v>
      </c>
      <c r="R4" s="227">
        <f t="shared" ref="R4:R42" si="3">(Q4-P4)/P4</f>
        <v>-1.224080188608072E-2</v>
      </c>
      <c r="S4" s="166">
        <f>'Processed Results 2024'!X32/1000</f>
        <v>13924.04624</v>
      </c>
      <c r="T4" s="166">
        <f>'Processed Results 2024'!Y32/1000</f>
        <v>18407.44355</v>
      </c>
      <c r="U4" s="166">
        <f>'Processed Results 2024'!Z32/1000</f>
        <v>20161.75446</v>
      </c>
      <c r="V4" s="227">
        <f t="shared" ref="V4:V42" si="4">(U4-T4)/T4</f>
        <v>9.5304429712620264E-2</v>
      </c>
      <c r="W4" s="166">
        <f t="shared" ref="W4:W7" si="5">C4+G4+K4+O4+S4</f>
        <v>124688.91765999999</v>
      </c>
      <c r="X4" s="166">
        <f t="shared" ref="X4:Y7" si="6">D4+H4+L4+P4+T4</f>
        <v>167276.4264</v>
      </c>
      <c r="Y4" s="166">
        <f t="shared" si="6"/>
        <v>167635.14332999999</v>
      </c>
      <c r="AB4" s="166">
        <f>X3</f>
        <v>590817.84901999997</v>
      </c>
      <c r="AC4" s="166">
        <f>Y3</f>
        <v>534311.43101000006</v>
      </c>
      <c r="AD4" s="155">
        <f>(Y3-X3)/X3</f>
        <v>-9.5641013729913724E-2</v>
      </c>
      <c r="AE4" s="166">
        <f>AB4-AC4</f>
        <v>56506.418009999907</v>
      </c>
      <c r="AF4" s="140">
        <f>AE4/20</f>
        <v>2825.3209004999953</v>
      </c>
      <c r="AG4" t="s">
        <v>608</v>
      </c>
      <c r="AH4" s="166">
        <f>Y3</f>
        <v>534311.43101000006</v>
      </c>
    </row>
    <row r="5" spans="1:37" s="258" customFormat="1">
      <c r="A5" s="287" t="s">
        <v>442</v>
      </c>
      <c r="B5" s="287" t="s">
        <v>495</v>
      </c>
      <c r="C5" s="302">
        <f>'Processed Results 2024'!H33/1000</f>
        <v>2501.7662999999998</v>
      </c>
      <c r="D5" s="302">
        <f>'Processed Results 2024'!I33/1000</f>
        <v>3114.5667799999997</v>
      </c>
      <c r="E5" s="302">
        <f>'Processed Results 2024'!J33/1000</f>
        <v>3078.79351</v>
      </c>
      <c r="F5" s="303">
        <f t="shared" si="0"/>
        <v>-1.1485793218406988E-2</v>
      </c>
      <c r="G5" s="302">
        <f>'Processed Results 2024'!L33/1000</f>
        <v>4831.2524100000001</v>
      </c>
      <c r="H5" s="302">
        <f>'Processed Results 2024'!M33/1000</f>
        <v>6233.3941799999993</v>
      </c>
      <c r="I5" s="302">
        <f>'Processed Results 2024'!N33/1000</f>
        <v>6256.6171599999998</v>
      </c>
      <c r="J5" s="303">
        <f t="shared" si="1"/>
        <v>3.7255753975116756E-3</v>
      </c>
      <c r="K5" s="302">
        <f>'Processed Results 2024'!P33/1000</f>
        <v>9113.5579699999998</v>
      </c>
      <c r="L5" s="302">
        <f>'Processed Results 2024'!Q33/1000</f>
        <v>11758.19197</v>
      </c>
      <c r="M5" s="302">
        <f>'Processed Results 2024'!R33/1000</f>
        <v>12484.920239999999</v>
      </c>
      <c r="N5" s="303">
        <f t="shared" si="2"/>
        <v>6.1806123922298881E-2</v>
      </c>
      <c r="O5" s="302">
        <f>'Processed Results 2024'!T33/1000</f>
        <v>253765.82511999999</v>
      </c>
      <c r="P5" s="302">
        <f>'Processed Results 2024'!U33/1000</f>
        <v>342146.73349000001</v>
      </c>
      <c r="Q5" s="302">
        <f>'Processed Results 2024'!V33/1000</f>
        <v>283353.39591000002</v>
      </c>
      <c r="R5" s="303">
        <f t="shared" si="3"/>
        <v>-0.1718366181091083</v>
      </c>
      <c r="S5" s="302">
        <f>'Processed Results 2024'!X33/1000</f>
        <v>33495.979859999999</v>
      </c>
      <c r="T5" s="302">
        <f>'Processed Results 2024'!Y33/1000</f>
        <v>44281.405709999999</v>
      </c>
      <c r="U5" s="302">
        <f>'Processed Results 2024'!Z33/1000</f>
        <v>48410.729850000003</v>
      </c>
      <c r="V5" s="303">
        <f t="shared" si="4"/>
        <v>9.3251875675380499E-2</v>
      </c>
      <c r="W5" s="302">
        <f t="shared" si="5"/>
        <v>303708.38166000001</v>
      </c>
      <c r="X5" s="302">
        <f t="shared" si="6"/>
        <v>407534.29213000002</v>
      </c>
      <c r="Y5" s="302">
        <f t="shared" si="6"/>
        <v>353584.45667000004</v>
      </c>
      <c r="AG5" s="258" t="s">
        <v>609</v>
      </c>
      <c r="AH5" s="302">
        <f>X3</f>
        <v>590817.84901999997</v>
      </c>
    </row>
    <row r="6" spans="1:37">
      <c r="A6" t="s">
        <v>457</v>
      </c>
      <c r="B6" t="s">
        <v>426</v>
      </c>
      <c r="C6" s="166">
        <f>'Processed Results 2024'!H52</f>
        <v>70573.570000000007</v>
      </c>
      <c r="D6" s="166">
        <f>'Processed Results 2024'!I52</f>
        <v>87861.49</v>
      </c>
      <c r="E6" s="166">
        <f>'Processed Results 2024'!J52</f>
        <v>101466.23</v>
      </c>
      <c r="F6" s="227">
        <f t="shared" si="0"/>
        <v>0.15484303760384657</v>
      </c>
      <c r="G6" s="166">
        <f>'Processed Results 2024'!L52</f>
        <v>143822.07999999999</v>
      </c>
      <c r="H6" s="166">
        <f>'Processed Results 2024'!M52</f>
        <v>185562.59</v>
      </c>
      <c r="I6" s="166">
        <f>'Processed Results 2024'!N52</f>
        <v>220428.35</v>
      </c>
      <c r="J6" s="227">
        <f t="shared" si="1"/>
        <v>0.18789218236283514</v>
      </c>
      <c r="K6" s="166">
        <f>'Processed Results 2024'!P52</f>
        <v>266473.03999999998</v>
      </c>
      <c r="L6" s="166">
        <f>'Processed Results 2024'!Q52</f>
        <v>343800.06</v>
      </c>
      <c r="M6" s="166">
        <f>'Processed Results 2024'!R52</f>
        <v>420244.68</v>
      </c>
      <c r="N6" s="227">
        <f t="shared" si="2"/>
        <v>0.22235196817592176</v>
      </c>
      <c r="O6" s="166">
        <f>'Processed Results 2024'!T52</f>
        <v>7070691.2599999998</v>
      </c>
      <c r="P6" s="166">
        <f>'Processed Results 2024'!U52</f>
        <v>9533250.1899999995</v>
      </c>
      <c r="Q6" s="166">
        <f>'Processed Results 2024'!V52</f>
        <v>11143246.449999999</v>
      </c>
      <c r="R6" s="227">
        <f t="shared" si="3"/>
        <v>0.16888219945059471</v>
      </c>
      <c r="S6" s="166">
        <f>'Processed Results 2024'!X52</f>
        <v>831336.01</v>
      </c>
      <c r="T6" s="166">
        <f>'Processed Results 2024'!Y52</f>
        <v>1099019.3500000001</v>
      </c>
      <c r="U6" s="166">
        <f>'Processed Results 2024'!Z52</f>
        <v>1503914.69</v>
      </c>
      <c r="V6" s="227">
        <f t="shared" si="4"/>
        <v>0.36841511480211864</v>
      </c>
      <c r="W6" s="166">
        <f t="shared" si="5"/>
        <v>8382895.959999999</v>
      </c>
      <c r="X6" s="166">
        <f t="shared" si="6"/>
        <v>11249493.68</v>
      </c>
      <c r="Y6" s="166">
        <f t="shared" si="6"/>
        <v>13389300.399999999</v>
      </c>
      <c r="AG6" t="s">
        <v>500</v>
      </c>
      <c r="AH6" s="166">
        <f>AH4-AH5</f>
        <v>-56506.418009999907</v>
      </c>
    </row>
    <row r="7" spans="1:37" s="258" customFormat="1">
      <c r="A7" s="258" t="s">
        <v>448</v>
      </c>
      <c r="B7" s="258" t="s">
        <v>426</v>
      </c>
      <c r="C7" s="302">
        <f>'Processed Results 2024'!H40</f>
        <v>473343.2</v>
      </c>
      <c r="D7" s="302">
        <f>'Processed Results 2024'!I40</f>
        <v>589296.4</v>
      </c>
      <c r="E7" s="302">
        <f>'Processed Results 2024'!J40</f>
        <v>695684</v>
      </c>
      <c r="F7" s="303">
        <f t="shared" si="0"/>
        <v>0.18053325966355804</v>
      </c>
      <c r="G7" s="302">
        <f>'Processed Results 2024'!L40</f>
        <v>1237687.5</v>
      </c>
      <c r="H7" s="302">
        <f>'Processed Results 2024'!M40</f>
        <v>1596894.6</v>
      </c>
      <c r="I7" s="302">
        <f>'Processed Results 2024'!N40</f>
        <v>1868809.8</v>
      </c>
      <c r="J7" s="303">
        <f t="shared" si="1"/>
        <v>0.17027748731819867</v>
      </c>
      <c r="K7" s="302">
        <f>'Processed Results 2024'!P40</f>
        <v>2270148.2999999998</v>
      </c>
      <c r="L7" s="302">
        <f>'Processed Results 2024'!Q40</f>
        <v>2928912</v>
      </c>
      <c r="M7" s="302">
        <f>'Processed Results 2024'!R40</f>
        <v>4835565</v>
      </c>
      <c r="N7" s="303">
        <f t="shared" si="2"/>
        <v>0.65097654009406902</v>
      </c>
      <c r="O7" s="302">
        <f>'Processed Results 2024'!T40</f>
        <v>56112959.700000003</v>
      </c>
      <c r="P7" s="302">
        <f>'Processed Results 2024'!U40</f>
        <v>75656154</v>
      </c>
      <c r="Q7" s="302">
        <f>'Processed Results 2024'!V40</f>
        <v>117632604</v>
      </c>
      <c r="R7" s="303">
        <f t="shared" si="3"/>
        <v>0.5548319307904549</v>
      </c>
      <c r="S7" s="302">
        <f>'Processed Results 2024'!X40</f>
        <v>6606329.0999999996</v>
      </c>
      <c r="T7" s="302">
        <f>'Processed Results 2024'!Y40</f>
        <v>8733509.4000000004</v>
      </c>
      <c r="U7" s="302">
        <f>'Processed Results 2024'!Z40</f>
        <v>29646136.800000001</v>
      </c>
      <c r="V7" s="303">
        <f t="shared" si="4"/>
        <v>2.3945273820853732</v>
      </c>
      <c r="W7" s="302">
        <f t="shared" si="5"/>
        <v>66700467.800000004</v>
      </c>
      <c r="X7" s="302">
        <f t="shared" si="6"/>
        <v>89504766.400000006</v>
      </c>
      <c r="Y7" s="302">
        <f t="shared" si="6"/>
        <v>154678799.59999999</v>
      </c>
      <c r="AG7" s="258" t="s">
        <v>501</v>
      </c>
      <c r="AH7" s="302">
        <f>AH6/20</f>
        <v>-2825.3209004999953</v>
      </c>
    </row>
    <row r="8" spans="1:37" s="259" customFormat="1">
      <c r="A8" s="298" t="s">
        <v>502</v>
      </c>
      <c r="B8" s="298" t="s">
        <v>503</v>
      </c>
      <c r="C8" s="299">
        <f>((C4*1000/C9)+(C5*1000/C10))/1000</f>
        <v>31.671467620000001</v>
      </c>
      <c r="D8" s="299">
        <f t="shared" ref="D8:Y8" si="7">((D4*1000/D9)+(D5*1000/D10))/1000</f>
        <v>39.429864740000006</v>
      </c>
      <c r="E8" s="299">
        <f t="shared" si="7"/>
        <v>46.074258700000001</v>
      </c>
      <c r="F8" s="300">
        <f t="shared" si="0"/>
        <v>0.16851171069982204</v>
      </c>
      <c r="G8" s="299">
        <f t="shared" si="7"/>
        <v>74.264311800000002</v>
      </c>
      <c r="H8" s="299">
        <f t="shared" si="7"/>
        <v>95.817591660000005</v>
      </c>
      <c r="I8" s="299">
        <f t="shared" si="7"/>
        <v>112.81958238000001</v>
      </c>
      <c r="J8" s="300">
        <f t="shared" si="1"/>
        <v>0.17744122374031299</v>
      </c>
      <c r="K8" s="299">
        <f t="shared" si="7"/>
        <v>136.77661788</v>
      </c>
      <c r="L8" s="299">
        <f t="shared" si="7"/>
        <v>176.46727980000003</v>
      </c>
      <c r="M8" s="299">
        <f t="shared" si="7"/>
        <v>260.3974968</v>
      </c>
      <c r="N8" s="300">
        <f t="shared" si="2"/>
        <v>0.47561347970639462</v>
      </c>
      <c r="O8" s="299">
        <f t="shared" ref="O8" si="8">((O4*1000/O9)+(O5*1000/O10))/1000</f>
        <v>3482.4665299199996</v>
      </c>
      <c r="P8" s="299">
        <f t="shared" ref="P8:Q8" si="9">((P4*1000/P9)+(P5*1000/P10))/1000</f>
        <v>4695.3416223000004</v>
      </c>
      <c r="Q8" s="299">
        <f t="shared" si="9"/>
        <v>6527.802456899999</v>
      </c>
      <c r="R8" s="300">
        <f t="shared" si="3"/>
        <v>0.39027209988234524</v>
      </c>
      <c r="S8" s="299">
        <f t="shared" ref="S8" si="10">((S4*1000/S9)+(S5*1000/S10))/1000</f>
        <v>409.76587805999998</v>
      </c>
      <c r="T8" s="299">
        <f t="shared" ref="T8:U8" si="11">((T4*1000/T9)+(T5*1000/T10))/1000</f>
        <v>541.70699814</v>
      </c>
      <c r="U8" s="299">
        <f t="shared" si="11"/>
        <v>1371.22455498</v>
      </c>
      <c r="V8" s="300">
        <f t="shared" si="4"/>
        <v>1.5313030100925844</v>
      </c>
      <c r="W8" s="299">
        <f t="shared" si="7"/>
        <v>4134.9448052799999</v>
      </c>
      <c r="X8" s="299">
        <f t="shared" si="7"/>
        <v>5548.76335664</v>
      </c>
      <c r="Y8" s="299">
        <f t="shared" si="7"/>
        <v>8318.3183497600003</v>
      </c>
    </row>
    <row r="9" spans="1:37">
      <c r="A9" s="161" t="s">
        <v>504</v>
      </c>
      <c r="B9" s="161" t="s">
        <v>505</v>
      </c>
      <c r="C9" s="143">
        <f>(C4*1000)/(C6*0.21)</f>
        <v>83.316536609547001</v>
      </c>
      <c r="D9" s="143">
        <f t="shared" ref="D9:Y9" si="12">(D4*1000)/(D6*0.21)</f>
        <v>83.315539362824708</v>
      </c>
      <c r="E9" s="143">
        <f t="shared" si="12"/>
        <v>70.602557924467888</v>
      </c>
      <c r="F9" s="227">
        <f t="shared" si="0"/>
        <v>-0.15258835909342186</v>
      </c>
      <c r="G9" s="143">
        <f t="shared" si="12"/>
        <v>71.18765637045307</v>
      </c>
      <c r="H9" s="143">
        <f t="shared" si="12"/>
        <v>71.187985425192409</v>
      </c>
      <c r="I9" s="143">
        <f t="shared" si="12"/>
        <v>61.741222963207342</v>
      </c>
      <c r="J9" s="227">
        <f t="shared" si="1"/>
        <v>-0.13270164067098311</v>
      </c>
      <c r="K9" s="143">
        <f t="shared" si="12"/>
        <v>68.646902194254679</v>
      </c>
      <c r="L9" s="143">
        <f t="shared" si="12"/>
        <v>68.646475734153384</v>
      </c>
      <c r="M9" s="143">
        <f t="shared" si="12"/>
        <v>59.129952692367333</v>
      </c>
      <c r="N9" s="227">
        <f t="shared" si="2"/>
        <v>-0.13863090479168383</v>
      </c>
      <c r="O9" s="143">
        <f t="shared" ref="O9" si="13">(O4*1000)/(O6*0.21)</f>
        <v>69.730228570931232</v>
      </c>
      <c r="P9" s="143">
        <f t="shared" ref="P9:Q9" si="14">(P4*1000)/(P6*0.21)</f>
        <v>69.731643272459905</v>
      </c>
      <c r="Q9" s="143">
        <f t="shared" si="14"/>
        <v>58.926444490595692</v>
      </c>
      <c r="R9" s="227">
        <f t="shared" si="3"/>
        <v>-0.15495402481260129</v>
      </c>
      <c r="S9" s="143">
        <f t="shared" ref="S9" si="15">(S4*1000)/(S6*0.21)</f>
        <v>79.757139469079547</v>
      </c>
      <c r="T9" s="143">
        <f t="shared" ref="T9:U9" si="16">(T4*1000)/(T6*0.21)</f>
        <v>79.757006184866626</v>
      </c>
      <c r="U9" s="143">
        <f t="shared" si="16"/>
        <v>63.838963213683741</v>
      </c>
      <c r="V9" s="227">
        <f t="shared" si="4"/>
        <v>-0.19958175127946604</v>
      </c>
      <c r="W9" s="143">
        <f t="shared" si="12"/>
        <v>70.829550264620579</v>
      </c>
      <c r="X9" s="143">
        <f t="shared" si="12"/>
        <v>70.808023373063619</v>
      </c>
      <c r="Y9" s="143">
        <f t="shared" si="12"/>
        <v>59.619439659873066</v>
      </c>
      <c r="AI9" t="s">
        <v>491</v>
      </c>
      <c r="AJ9" t="s">
        <v>606</v>
      </c>
    </row>
    <row r="10" spans="1:37">
      <c r="A10" s="161" t="s">
        <v>506</v>
      </c>
      <c r="B10" s="161" t="s">
        <v>505</v>
      </c>
      <c r="C10" s="143">
        <f>(C5*1000)/(C7*0.0356)</f>
        <v>148.46380864806531</v>
      </c>
      <c r="D10" s="143">
        <f t="shared" ref="D10:Y10" si="17">(D5*1000)/(D7*0.0356)</f>
        <v>148.46150578703075</v>
      </c>
      <c r="E10" s="143">
        <f t="shared" si="17"/>
        <v>124.31357306484688</v>
      </c>
      <c r="F10" s="227">
        <f t="shared" si="0"/>
        <v>-0.16265450491135577</v>
      </c>
      <c r="G10" s="143">
        <f t="shared" si="17"/>
        <v>109.64749774038322</v>
      </c>
      <c r="H10" s="143">
        <f t="shared" si="17"/>
        <v>109.64740073316764</v>
      </c>
      <c r="I10" s="143">
        <f t="shared" si="17"/>
        <v>94.042568180939469</v>
      </c>
      <c r="J10" s="227">
        <f t="shared" si="1"/>
        <v>-0.14231830802996692</v>
      </c>
      <c r="K10" s="143">
        <f t="shared" si="17"/>
        <v>112.76744315867933</v>
      </c>
      <c r="L10" s="143">
        <f t="shared" si="17"/>
        <v>112.76757078810658</v>
      </c>
      <c r="M10" s="143">
        <f t="shared" si="17"/>
        <v>72.525135478806106</v>
      </c>
      <c r="N10" s="227">
        <f t="shared" si="2"/>
        <v>-0.35686177354052556</v>
      </c>
      <c r="O10" s="143">
        <f t="shared" ref="O10" si="18">(O5*1000)/(O7*0.0356)</f>
        <v>127.03399629456261</v>
      </c>
      <c r="P10" s="143">
        <f t="shared" ref="P10:Q10" si="19">(P5*1000)/(P7*0.0356)</f>
        <v>127.03346379834348</v>
      </c>
      <c r="Q10" s="143">
        <f t="shared" si="19"/>
        <v>67.662916427929176</v>
      </c>
      <c r="R10" s="227">
        <f t="shared" si="3"/>
        <v>-0.46736147779659692</v>
      </c>
      <c r="S10" s="143">
        <f t="shared" ref="S10" si="20">(S5*1000)/(S7*0.0356)</f>
        <v>142.42377217843375</v>
      </c>
      <c r="T10" s="143">
        <f t="shared" ref="T10:U10" si="21">(T5*1000)/(T7*0.0356)</f>
        <v>142.42381315294128</v>
      </c>
      <c r="U10" s="143">
        <f t="shared" si="21"/>
        <v>45.869449070296795</v>
      </c>
      <c r="V10" s="227">
        <f t="shared" si="4"/>
        <v>-0.67793694007447991</v>
      </c>
      <c r="W10" s="143">
        <f t="shared" si="17"/>
        <v>127.90216617179611</v>
      </c>
      <c r="X10" s="143">
        <f t="shared" si="17"/>
        <v>127.89924979416288</v>
      </c>
      <c r="Y10" s="143">
        <f t="shared" si="17"/>
        <v>64.211434824644599</v>
      </c>
      <c r="AH10" t="s">
        <v>610</v>
      </c>
      <c r="AI10" s="166">
        <f>AH3</f>
        <v>440319.45545000001</v>
      </c>
      <c r="AJ10" s="166">
        <f>AH3</f>
        <v>440319.45545000001</v>
      </c>
      <c r="AK10">
        <f>(AJ10-AI10)/AI10*100</f>
        <v>0</v>
      </c>
    </row>
    <row r="11" spans="1:37" s="146" customFormat="1" ht="15">
      <c r="A11" s="146" t="s">
        <v>507</v>
      </c>
      <c r="B11" s="146" t="s">
        <v>508</v>
      </c>
      <c r="C11" s="271">
        <f>'Processed Results 2024'!H59/1000</f>
        <v>5636.0418399999999</v>
      </c>
      <c r="D11" s="271">
        <f>'Processed Results 2024'!I59/1000</f>
        <v>7016.5760199999995</v>
      </c>
      <c r="E11" s="271">
        <f>'Processed Results 2024'!J59/1000</f>
        <v>6890.92004</v>
      </c>
      <c r="F11" s="243">
        <f t="shared" si="0"/>
        <v>-1.7908447031975513E-2</v>
      </c>
      <c r="G11" s="271">
        <f>'Processed Results 2024'!L59/1000</f>
        <v>10447.42107</v>
      </c>
      <c r="H11" s="271">
        <f>'Processed Results 2024'!M59/1000</f>
        <v>13479.44706</v>
      </c>
      <c r="I11" s="271">
        <f>'Processed Results 2024'!N59/1000</f>
        <v>13527.25777</v>
      </c>
      <c r="J11" s="243">
        <f t="shared" si="1"/>
        <v>3.546934068377115E-3</v>
      </c>
      <c r="K11" s="271">
        <f>'Processed Results 2024'!P59/1000</f>
        <v>19548.502489999999</v>
      </c>
      <c r="L11" s="271">
        <f>'Processed Results 2024'!Q59/1000</f>
        <v>25221.367460000001</v>
      </c>
      <c r="M11" s="271">
        <f>'Processed Results 2024'!R59/1000</f>
        <v>26357.837239999997</v>
      </c>
      <c r="N11" s="243">
        <f t="shared" si="2"/>
        <v>4.5059800258744405E-2</v>
      </c>
      <c r="O11" s="271">
        <f>'Processed Results 2024'!T59/1000</f>
        <v>536619.33305000002</v>
      </c>
      <c r="P11" s="271">
        <f>'Processed Results 2024'!U59/1000</f>
        <v>723495.56336999999</v>
      </c>
      <c r="Q11" s="271">
        <f>'Processed Results 2024'!V59/1000</f>
        <v>614316.41120000009</v>
      </c>
      <c r="R11" s="243">
        <f t="shared" si="3"/>
        <v>-0.15090507488594651</v>
      </c>
      <c r="S11" s="271">
        <f>'Processed Results 2024'!X59/1000</f>
        <v>61684.983319999999</v>
      </c>
      <c r="T11" s="271">
        <f>'Processed Results 2024'!Y59/1000</f>
        <v>81547.163939999999</v>
      </c>
      <c r="U11" s="271">
        <f>'Processed Results 2024'!Z59/1000</f>
        <v>88659.574400000012</v>
      </c>
      <c r="V11" s="243">
        <f t="shared" si="4"/>
        <v>8.7218366848822795E-2</v>
      </c>
      <c r="W11" s="271">
        <f>C11+G11+K11+O11+S11</f>
        <v>633936.28177</v>
      </c>
      <c r="X11" s="271">
        <f>D11+H11+L11+P11+T11</f>
        <v>850760.11785000004</v>
      </c>
      <c r="Y11" s="271">
        <f>E11+I11+M11+Q11+U11</f>
        <v>749752.00065000018</v>
      </c>
      <c r="AH11" s="161" t="s">
        <v>611</v>
      </c>
      <c r="AI11" s="222">
        <f>AI10+(($AH$5-$AH$3)/20)</f>
        <v>447844.37512849999</v>
      </c>
      <c r="AJ11" s="222">
        <f>AJ10+(($AH$4-$AH$3)/20)</f>
        <v>445019.05422799999</v>
      </c>
      <c r="AK11">
        <f t="shared" ref="AK11:AK30" si="22">(AJ11-AI11)/AI11*100</f>
        <v>-0.6308711368071388</v>
      </c>
    </row>
    <row r="12" spans="1:37" s="139" customFormat="1">
      <c r="A12" s="291" t="s">
        <v>509</v>
      </c>
      <c r="B12" s="291" t="s">
        <v>510</v>
      </c>
      <c r="C12" s="292">
        <f>'Processed Results 2024'!H49</f>
        <v>2936.99</v>
      </c>
      <c r="D12" s="292">
        <f>'Processed Results 2024'!I49</f>
        <v>3656.41</v>
      </c>
      <c r="E12" s="292">
        <f>'Processed Results 2024'!J49</f>
        <v>3344.82</v>
      </c>
      <c r="F12" s="293">
        <f t="shared" si="0"/>
        <v>-8.5217467406554434E-2</v>
      </c>
      <c r="G12" s="292">
        <f>'Processed Results 2024'!L49</f>
        <v>5850.27</v>
      </c>
      <c r="H12" s="292">
        <f>'Processed Results 2024'!M49</f>
        <v>7548.13</v>
      </c>
      <c r="I12" s="292">
        <f>'Processed Results 2024'!N49</f>
        <v>6903.77</v>
      </c>
      <c r="J12" s="293">
        <f t="shared" si="1"/>
        <v>-8.5366839203882244E-2</v>
      </c>
      <c r="K12" s="292">
        <f>'Processed Results 2024'!P49</f>
        <v>10429.66</v>
      </c>
      <c r="L12" s="292">
        <f>'Processed Results 2024'!Q49</f>
        <v>13456.27</v>
      </c>
      <c r="M12" s="292">
        <f>'Processed Results 2024'!R49</f>
        <v>12601.78</v>
      </c>
      <c r="N12" s="293">
        <f t="shared" si="2"/>
        <v>-6.3501252575936695E-2</v>
      </c>
      <c r="O12" s="292">
        <f>'Processed Results 2024'!T49</f>
        <v>265857.63</v>
      </c>
      <c r="P12" s="292">
        <f>'Processed Results 2024'!U49</f>
        <v>358444.31</v>
      </c>
      <c r="Q12" s="292">
        <f>'Processed Results 2024'!V49</f>
        <v>319434.78999999998</v>
      </c>
      <c r="R12" s="293">
        <f t="shared" si="3"/>
        <v>-0.10883007181785093</v>
      </c>
      <c r="S12" s="292">
        <f>'Processed Results 2024'!X49</f>
        <v>31118.36</v>
      </c>
      <c r="T12" s="292">
        <f>'Processed Results 2024'!Y49</f>
        <v>41138.26</v>
      </c>
      <c r="U12" s="292">
        <f>'Processed Results 2024'!Z49</f>
        <v>38699.85</v>
      </c>
      <c r="V12" s="293">
        <f t="shared" si="4"/>
        <v>-5.9273532716259833E-2</v>
      </c>
      <c r="W12" s="292">
        <f>C12+G12+K12+O12+S12</f>
        <v>316192.90999999997</v>
      </c>
      <c r="X12" s="292">
        <f t="shared" ref="X12" si="23">D12+H12+L12+P12+T12</f>
        <v>424243.38</v>
      </c>
      <c r="Y12" s="292">
        <f t="shared" ref="Y12" si="24">E12+I12+M12+Q12+U12</f>
        <v>380985.00999999995</v>
      </c>
      <c r="AH12" s="139" t="s">
        <v>612</v>
      </c>
      <c r="AI12" s="292">
        <f t="shared" ref="AI12:AI30" si="25">AI11+(($AH$5-$AH$3)/20)</f>
        <v>455369.29480699997</v>
      </c>
      <c r="AJ12" s="292">
        <f t="shared" ref="AJ12:AJ30" si="26">AJ11+(($AH$4-$AH$3)/20)</f>
        <v>449718.65300599998</v>
      </c>
      <c r="AK12">
        <f t="shared" si="22"/>
        <v>-1.2408921430231508</v>
      </c>
    </row>
    <row r="13" spans="1:37">
      <c r="A13" s="161" t="s">
        <v>506</v>
      </c>
      <c r="B13" s="161" t="s">
        <v>511</v>
      </c>
      <c r="C13" s="118">
        <f>C3*1000/C7</f>
        <v>7.8939912731396582</v>
      </c>
      <c r="D13" s="118">
        <f t="shared" ref="D13:Y13" si="27">D3*1000/D7</f>
        <v>7.8938710299265367</v>
      </c>
      <c r="E13" s="118">
        <f t="shared" si="27"/>
        <v>6.5880513422760911</v>
      </c>
      <c r="F13" s="227">
        <f t="shared" si="0"/>
        <v>-0.16542196885405638</v>
      </c>
      <c r="G13" s="118">
        <f t="shared" si="27"/>
        <v>5.7614011210422662</v>
      </c>
      <c r="H13" s="118">
        <f t="shared" si="27"/>
        <v>5.7613716647297828</v>
      </c>
      <c r="I13" s="118">
        <f t="shared" si="27"/>
        <v>4.9830562853426814</v>
      </c>
      <c r="J13" s="227">
        <f t="shared" si="1"/>
        <v>-0.135092027503073</v>
      </c>
      <c r="K13" s="118">
        <f t="shared" si="27"/>
        <v>5.8724507821801781</v>
      </c>
      <c r="L13" s="118">
        <f t="shared" si="27"/>
        <v>5.8724910478703354</v>
      </c>
      <c r="M13" s="118">
        <f t="shared" si="27"/>
        <v>3.7628012114406486</v>
      </c>
      <c r="N13" s="227">
        <f t="shared" si="2"/>
        <v>-0.35924956193756447</v>
      </c>
      <c r="O13" s="118">
        <f t="shared" ref="O13" si="28">O3*1000/O7</f>
        <v>6.5549180976458095</v>
      </c>
      <c r="P13" s="118">
        <f t="shared" ref="P13:Q13" si="29">P3*1000/P7</f>
        <v>6.5547470483366101</v>
      </c>
      <c r="Q13" s="118">
        <f t="shared" si="29"/>
        <v>3.6753236850898925</v>
      </c>
      <c r="R13" s="227">
        <f t="shared" si="3"/>
        <v>-0.43928825048671027</v>
      </c>
      <c r="S13" s="118">
        <f t="shared" ref="S13" si="30">S3*1000/S7</f>
        <v>7.3119101801937179</v>
      </c>
      <c r="T13" s="118">
        <f t="shared" ref="T13:U13" si="31">T3*1000/T7</f>
        <v>7.3119236947291766</v>
      </c>
      <c r="U13" s="118">
        <f t="shared" si="31"/>
        <v>2.3572271723444249</v>
      </c>
      <c r="V13" s="227">
        <f t="shared" si="4"/>
        <v>-0.67761874018958379</v>
      </c>
      <c r="W13" s="118">
        <f t="shared" si="27"/>
        <v>6.6014447870184201</v>
      </c>
      <c r="X13" s="118">
        <f t="shared" si="27"/>
        <v>6.6009652087087058</v>
      </c>
      <c r="Y13" s="118">
        <f t="shared" si="27"/>
        <v>3.4543287922568031</v>
      </c>
      <c r="Z13" s="118"/>
      <c r="AH13" t="s">
        <v>613</v>
      </c>
      <c r="AI13" s="166">
        <f t="shared" si="25"/>
        <v>462894.21448549995</v>
      </c>
      <c r="AJ13" s="166">
        <f t="shared" si="26"/>
        <v>454418.25178399996</v>
      </c>
      <c r="AK13">
        <f t="shared" si="22"/>
        <v>-1.8310798528603112</v>
      </c>
    </row>
    <row r="14" spans="1:37">
      <c r="A14" s="161" t="s">
        <v>512</v>
      </c>
      <c r="B14" s="161" t="s">
        <v>513</v>
      </c>
      <c r="C14" s="152">
        <f>C17/C12</f>
        <v>41.483287311158705</v>
      </c>
      <c r="D14" s="152">
        <f t="shared" ref="D14:Y14" si="32">D17/D12</f>
        <v>41.483493371913987</v>
      </c>
      <c r="E14" s="152">
        <f t="shared" si="32"/>
        <v>44.392009136515561</v>
      </c>
      <c r="F14" s="227">
        <f t="shared" si="0"/>
        <v>7.0112604512973783E-2</v>
      </c>
      <c r="G14" s="152">
        <f t="shared" si="32"/>
        <v>38.491302110842746</v>
      </c>
      <c r="H14" s="152">
        <f t="shared" si="32"/>
        <v>38.491258099688267</v>
      </c>
      <c r="I14" s="152">
        <f t="shared" si="32"/>
        <v>42.334182627752661</v>
      </c>
      <c r="J14" s="227">
        <f t="shared" si="1"/>
        <v>9.9838891160991095E-2</v>
      </c>
      <c r="K14" s="152">
        <f t="shared" si="32"/>
        <v>40.593705835089544</v>
      </c>
      <c r="L14" s="152">
        <f t="shared" si="32"/>
        <v>40.593763353440437</v>
      </c>
      <c r="M14" s="152">
        <f t="shared" si="32"/>
        <v>45.234197073746721</v>
      </c>
      <c r="N14" s="227">
        <f t="shared" si="2"/>
        <v>0.11431395704564538</v>
      </c>
      <c r="O14" s="152">
        <f t="shared" ref="O14" si="33">O17/O12</f>
        <v>42.435406047966353</v>
      </c>
      <c r="P14" s="152">
        <f t="shared" ref="P14:Q14" si="34">P17/P12</f>
        <v>42.435122320675141</v>
      </c>
      <c r="Q14" s="152">
        <f t="shared" si="34"/>
        <v>40.799615282981541</v>
      </c>
      <c r="R14" s="227">
        <f t="shared" si="3"/>
        <v>-3.8541353205826676E-2</v>
      </c>
      <c r="S14" s="152">
        <f t="shared" ref="S14" si="35">S17/S12</f>
        <v>41.842350303807784</v>
      </c>
      <c r="T14" s="152">
        <f t="shared" ref="T14:U14" si="36">T17/T12</f>
        <v>41.84237033846351</v>
      </c>
      <c r="U14" s="152">
        <f t="shared" si="36"/>
        <v>48.585672295887456</v>
      </c>
      <c r="V14" s="227">
        <f t="shared" si="4"/>
        <v>0.16115965474415725</v>
      </c>
      <c r="W14" s="152">
        <f t="shared" si="32"/>
        <v>42.234472809652821</v>
      </c>
      <c r="X14" s="152">
        <f t="shared" si="32"/>
        <v>42.240868366643696</v>
      </c>
      <c r="Y14" s="152">
        <f t="shared" si="32"/>
        <v>41.796539212920742</v>
      </c>
      <c r="AH14" t="s">
        <v>614</v>
      </c>
      <c r="AI14" s="166">
        <f t="shared" si="25"/>
        <v>470419.13416399993</v>
      </c>
      <c r="AJ14" s="166">
        <f t="shared" si="26"/>
        <v>459117.85056199995</v>
      </c>
      <c r="AK14">
        <f t="shared" si="22"/>
        <v>-2.4023860385874674</v>
      </c>
    </row>
    <row r="15" spans="1:37" ht="28.9">
      <c r="F15" s="227"/>
      <c r="J15" s="227"/>
      <c r="N15" s="227"/>
      <c r="R15" s="227"/>
      <c r="V15" s="301" t="s">
        <v>615</v>
      </c>
      <c r="W15" s="116">
        <f>W3/W8</f>
        <v>106.48738403660107</v>
      </c>
      <c r="X15" s="116">
        <f t="shared" ref="X15:Y15" si="37">X3/X8</f>
        <v>106.47739163592011</v>
      </c>
      <c r="Y15" s="116">
        <f t="shared" si="37"/>
        <v>64.233106806427529</v>
      </c>
      <c r="AH15" t="s">
        <v>616</v>
      </c>
      <c r="AI15" s="166">
        <f t="shared" si="25"/>
        <v>477944.05384249991</v>
      </c>
      <c r="AJ15" s="166">
        <f t="shared" si="26"/>
        <v>463817.44933999993</v>
      </c>
      <c r="AK15">
        <f t="shared" si="22"/>
        <v>-2.9557025323209087</v>
      </c>
    </row>
    <row r="16" spans="1:37" ht="23.45" customHeight="1">
      <c r="A16" s="160" t="s">
        <v>514</v>
      </c>
      <c r="B16" s="160"/>
      <c r="F16" s="227"/>
      <c r="J16" s="227"/>
      <c r="N16" s="227"/>
      <c r="R16" s="227"/>
      <c r="V16" s="243" t="s">
        <v>617</v>
      </c>
      <c r="W16" s="148">
        <f>W5/(W7/1000)</f>
        <v>4.5533171157159416</v>
      </c>
      <c r="X16" s="148">
        <f t="shared" ref="X16:Y16" si="38">X5/(X7/1000)</f>
        <v>4.5532132926721989</v>
      </c>
      <c r="Y16" s="148">
        <f t="shared" si="38"/>
        <v>2.2859270797573479</v>
      </c>
      <c r="AH16" t="s">
        <v>618</v>
      </c>
      <c r="AI16" s="166">
        <f t="shared" si="25"/>
        <v>485468.97352099989</v>
      </c>
      <c r="AJ16" s="166">
        <f t="shared" si="26"/>
        <v>468517.04811799992</v>
      </c>
      <c r="AK16">
        <f t="shared" si="22"/>
        <v>-3.4918658714791553</v>
      </c>
    </row>
    <row r="17" spans="1:37">
      <c r="A17" s="160" t="s">
        <v>409</v>
      </c>
      <c r="B17" s="161" t="s">
        <v>410</v>
      </c>
      <c r="C17" s="166">
        <f>'Processed Results 2024'!H21</f>
        <v>121836</v>
      </c>
      <c r="D17" s="166">
        <f>'Processed Results 2024'!I21</f>
        <v>151680.66</v>
      </c>
      <c r="E17" s="166">
        <f>'Processed Results 2024'!J21</f>
        <v>148483.28</v>
      </c>
      <c r="F17" s="227">
        <f t="shared" si="0"/>
        <v>-2.1079681483453492E-2</v>
      </c>
      <c r="G17" s="166">
        <f>'Processed Results 2024'!L21</f>
        <v>225184.51</v>
      </c>
      <c r="H17" s="166">
        <f>'Processed Results 2024'!M21</f>
        <v>290537.02</v>
      </c>
      <c r="I17" s="166">
        <f>'Processed Results 2024'!N21</f>
        <v>292265.46000000002</v>
      </c>
      <c r="J17" s="227">
        <f t="shared" si="1"/>
        <v>5.9491213890746257E-3</v>
      </c>
      <c r="K17" s="166">
        <f>'Processed Results 2024'!P21</f>
        <v>423378.55</v>
      </c>
      <c r="L17" s="166">
        <f>'Processed Results 2024'!Q21</f>
        <v>546240.64</v>
      </c>
      <c r="M17" s="166">
        <f>'Processed Results 2024'!R21</f>
        <v>570031.4</v>
      </c>
      <c r="N17" s="227">
        <f t="shared" si="2"/>
        <v>4.3553625010398361E-2</v>
      </c>
      <c r="O17" s="166">
        <f>'Processed Results 2024'!T21</f>
        <v>11281776.48</v>
      </c>
      <c r="P17" s="166">
        <f>'Processed Results 2024'!U21</f>
        <v>15210628.140000001</v>
      </c>
      <c r="Q17" s="166">
        <f>'Processed Results 2024'!V21</f>
        <v>13032816.539999999</v>
      </c>
      <c r="R17" s="227">
        <f t="shared" si="3"/>
        <v>-0.14317696678633032</v>
      </c>
      <c r="S17" s="166">
        <f>'Processed Results 2024'!X21</f>
        <v>1302065.32</v>
      </c>
      <c r="T17" s="166">
        <f>'Processed Results 2024'!Y21</f>
        <v>1721322.31</v>
      </c>
      <c r="U17" s="166">
        <f>'Processed Results 2024'!Z21</f>
        <v>1880258.23</v>
      </c>
      <c r="V17" s="227">
        <f t="shared" si="4"/>
        <v>9.2333619959878363E-2</v>
      </c>
      <c r="W17" s="166">
        <f>C17+G17+K17+O17+S17</f>
        <v>13354240.860000001</v>
      </c>
      <c r="X17" s="166">
        <f>D17+H17+L17+P17+T17</f>
        <v>17920408.77</v>
      </c>
      <c r="Y17" s="166">
        <f>E17+I17+M17+Q17+U17</f>
        <v>15923854.91</v>
      </c>
      <c r="AH17" t="s">
        <v>619</v>
      </c>
      <c r="AI17" s="166">
        <f t="shared" si="25"/>
        <v>492993.89319949987</v>
      </c>
      <c r="AJ17" s="166">
        <f t="shared" si="26"/>
        <v>473216.6468959999</v>
      </c>
      <c r="AK17">
        <f t="shared" si="22"/>
        <v>-4.0116615187962799</v>
      </c>
    </row>
    <row r="18" spans="1:37">
      <c r="A18" s="160" t="s">
        <v>411</v>
      </c>
      <c r="B18" s="161" t="s">
        <v>410</v>
      </c>
      <c r="C18" s="166">
        <f>'Processed Results 2024'!H22</f>
        <v>7076</v>
      </c>
      <c r="D18" s="166">
        <f>'Processed Results 2024'!I22</f>
        <v>8810.49</v>
      </c>
      <c r="E18" s="166">
        <f>'Processed Results 2024'!J22</f>
        <v>8458.35</v>
      </c>
      <c r="F18" s="227">
        <f t="shared" si="0"/>
        <v>-3.9968265102167916E-2</v>
      </c>
      <c r="G18" s="166">
        <f>'Processed Results 2024'!L22</f>
        <v>13757.29</v>
      </c>
      <c r="H18" s="166">
        <f>'Processed Results 2024'!M22</f>
        <v>17749.89</v>
      </c>
      <c r="I18" s="166">
        <f>'Processed Results 2024'!N22</f>
        <v>17755.37</v>
      </c>
      <c r="J18" s="227">
        <f t="shared" si="1"/>
        <v>3.0873430764920593E-4</v>
      </c>
      <c r="K18" s="166">
        <f>'Processed Results 2024'!P22</f>
        <v>26299.5</v>
      </c>
      <c r="L18" s="166">
        <f>'Processed Results 2024'!Q22</f>
        <v>33931.480000000003</v>
      </c>
      <c r="M18" s="166">
        <f>'Processed Results 2024'!R22</f>
        <v>34611.39</v>
      </c>
      <c r="N18" s="227">
        <f t="shared" si="2"/>
        <v>2.0037734870391628E-2</v>
      </c>
      <c r="O18" s="166">
        <f>'Processed Results 2024'!T22</f>
        <v>747549.08</v>
      </c>
      <c r="P18" s="166">
        <f>'Processed Results 2024'!U22</f>
        <v>1007879.9</v>
      </c>
      <c r="Q18" s="166">
        <f>'Processed Results 2024'!V22</f>
        <v>754486.85</v>
      </c>
      <c r="R18" s="227">
        <f t="shared" si="3"/>
        <v>-0.25141194898320729</v>
      </c>
      <c r="S18" s="166">
        <f>'Processed Results 2024'!X22</f>
        <v>309479.96000000002</v>
      </c>
      <c r="T18" s="166">
        <f>'Processed Results 2024'!Y22</f>
        <v>409130.57</v>
      </c>
      <c r="U18" s="166">
        <f>'Processed Results 2024'!Z22</f>
        <v>403728.6</v>
      </c>
      <c r="V18" s="227">
        <f t="shared" si="4"/>
        <v>-1.3203535487460715E-2</v>
      </c>
      <c r="W18" s="166">
        <f>'Processed Results 2024'!BJ22</f>
        <v>1104161.83</v>
      </c>
      <c r="X18" s="166">
        <f>'Processed Results 2024'!BK22</f>
        <v>1477502.33</v>
      </c>
      <c r="Y18" s="166">
        <f>'Processed Results 2024'!BL22</f>
        <v>1219040.5599999998</v>
      </c>
      <c r="AH18" t="s">
        <v>620</v>
      </c>
      <c r="AI18" s="166">
        <f t="shared" si="25"/>
        <v>500518.81287799985</v>
      </c>
      <c r="AJ18" s="166">
        <f t="shared" si="26"/>
        <v>477916.24567399989</v>
      </c>
      <c r="AK18">
        <f t="shared" si="22"/>
        <v>-4.5158277016670851</v>
      </c>
    </row>
    <row r="19" spans="1:37">
      <c r="A19" s="160" t="s">
        <v>414</v>
      </c>
      <c r="B19" s="161" t="s">
        <v>415</v>
      </c>
      <c r="C19" s="166">
        <f>'Processed Results 2024'!H24</f>
        <v>9466.86</v>
      </c>
      <c r="D19" s="166">
        <f>'Processed Results 2024'!I24</f>
        <v>11785.93</v>
      </c>
      <c r="E19" s="166">
        <f>'Processed Results 2024'!J24</f>
        <v>13913.68</v>
      </c>
      <c r="F19" s="227">
        <f t="shared" si="0"/>
        <v>0.18053305933430794</v>
      </c>
      <c r="G19" s="166">
        <f>'Processed Results 2024'!L24</f>
        <v>33417.56</v>
      </c>
      <c r="H19" s="166">
        <f>'Processed Results 2024'!M24</f>
        <v>43116.15</v>
      </c>
      <c r="I19" s="166">
        <f>'Processed Results 2024'!N24</f>
        <v>50457.86</v>
      </c>
      <c r="J19" s="227">
        <f t="shared" si="1"/>
        <v>0.17027749462788302</v>
      </c>
      <c r="K19" s="166">
        <f>'Processed Results 2024'!P24</f>
        <v>61294</v>
      </c>
      <c r="L19" s="166">
        <f>'Processed Results 2024'!Q24</f>
        <v>79080.62</v>
      </c>
      <c r="M19" s="166">
        <f>'Processed Results 2024'!R24</f>
        <v>130560.26</v>
      </c>
      <c r="N19" s="243">
        <f t="shared" si="2"/>
        <v>0.65097668682921306</v>
      </c>
      <c r="O19" s="166">
        <f>'Processed Results 2024'!T24</f>
        <v>1515049.91</v>
      </c>
      <c r="P19" s="166">
        <f>'Processed Results 2024'!U24</f>
        <v>2042716.1599999999</v>
      </c>
      <c r="Q19" s="166">
        <f>'Processed Results 2024'!V24</f>
        <v>3176080.33</v>
      </c>
      <c r="R19" s="227">
        <f t="shared" si="3"/>
        <v>0.55483194003811087</v>
      </c>
      <c r="S19" s="166">
        <f>'Processed Results 2024'!X24</f>
        <v>178370.89</v>
      </c>
      <c r="T19" s="166">
        <f>'Processed Results 2024'!Y24</f>
        <v>235804.75</v>
      </c>
      <c r="U19" s="166">
        <f>'Processed Results 2024'!Z24</f>
        <v>800445.69</v>
      </c>
      <c r="V19" s="227">
        <f t="shared" si="4"/>
        <v>2.3945274215214067</v>
      </c>
      <c r="W19" s="166">
        <f>'Processed Results 2024'!BJ24</f>
        <v>1797599.22</v>
      </c>
      <c r="X19" s="166">
        <f>'Processed Results 2024'!BK24</f>
        <v>2412503.61</v>
      </c>
      <c r="Y19" s="166">
        <f>'Processed Results 2024'!BL24</f>
        <v>4171457.82</v>
      </c>
      <c r="AH19" t="s">
        <v>621</v>
      </c>
      <c r="AI19" s="166">
        <f t="shared" si="25"/>
        <v>508043.73255649983</v>
      </c>
      <c r="AJ19" s="166">
        <f t="shared" si="26"/>
        <v>482615.84445199987</v>
      </c>
      <c r="AK19">
        <f t="shared" si="22"/>
        <v>-5.0050589102921581</v>
      </c>
    </row>
    <row r="20" spans="1:37">
      <c r="A20" s="160" t="s">
        <v>416</v>
      </c>
      <c r="B20" s="161" t="s">
        <v>415</v>
      </c>
      <c r="C20" s="166">
        <f>'Processed Results 2024'!H25</f>
        <v>3273.41</v>
      </c>
      <c r="D20" s="166">
        <f>'Processed Results 2024'!I25</f>
        <v>4075.28</v>
      </c>
      <c r="E20" s="166">
        <f>'Processed Results 2024'!J25</f>
        <v>4706.3100000000004</v>
      </c>
      <c r="F20" s="227">
        <f t="shared" si="0"/>
        <v>0.15484334818711848</v>
      </c>
      <c r="G20" s="166">
        <f>'Processed Results 2024'!L25</f>
        <v>11842.37</v>
      </c>
      <c r="H20" s="166">
        <f>'Processed Results 2024'!M25</f>
        <v>15279.3</v>
      </c>
      <c r="I20" s="166">
        <f>'Processed Results 2024'!N25</f>
        <v>18150.16</v>
      </c>
      <c r="J20" s="227">
        <f t="shared" si="1"/>
        <v>0.1878921154764944</v>
      </c>
      <c r="K20" s="166">
        <f>'Processed Results 2024'!P25</f>
        <v>21941.5</v>
      </c>
      <c r="L20" s="166">
        <f>'Processed Results 2024'!Q25</f>
        <v>28308.639999999999</v>
      </c>
      <c r="M20" s="166">
        <f>'Processed Results 2024'!R25</f>
        <v>34603.129999999997</v>
      </c>
      <c r="N20" s="227">
        <f t="shared" si="2"/>
        <v>0.22235225712008766</v>
      </c>
      <c r="O20" s="166">
        <f>'Processed Results 2024'!T25</f>
        <v>582203.73</v>
      </c>
      <c r="P20" s="166">
        <f>'Processed Results 2024'!U25</f>
        <v>784971.88</v>
      </c>
      <c r="Q20" s="166">
        <f>'Processed Results 2024'!V25</f>
        <v>917539.65</v>
      </c>
      <c r="R20" s="227">
        <f t="shared" si="3"/>
        <v>0.16888218976710354</v>
      </c>
      <c r="S20" s="166">
        <f>'Processed Results 2024'!X25</f>
        <v>68452.56</v>
      </c>
      <c r="T20" s="166">
        <f>'Processed Results 2024'!Y25</f>
        <v>90493.72</v>
      </c>
      <c r="U20" s="166">
        <f>'Processed Results 2024'!Z25</f>
        <v>123832.98</v>
      </c>
      <c r="V20" s="227">
        <f t="shared" si="4"/>
        <v>0.36841517842343086</v>
      </c>
      <c r="W20" s="166">
        <f>'Processed Results 2024'!BJ25</f>
        <v>687713.57000000007</v>
      </c>
      <c r="X20" s="166">
        <f>'Processed Results 2024'!BK25</f>
        <v>923128.82000000007</v>
      </c>
      <c r="Y20" s="166">
        <f>'Processed Results 2024'!BL25</f>
        <v>1098832.23</v>
      </c>
      <c r="AH20" t="s">
        <v>622</v>
      </c>
      <c r="AI20" s="166">
        <f t="shared" si="25"/>
        <v>515568.65223499981</v>
      </c>
      <c r="AJ20" s="166">
        <f t="shared" si="26"/>
        <v>487315.44322999986</v>
      </c>
      <c r="AK20">
        <f t="shared" si="22"/>
        <v>-5.4800090894824116</v>
      </c>
    </row>
    <row r="21" spans="1:37">
      <c r="A21" s="160" t="s">
        <v>417</v>
      </c>
      <c r="B21" s="161" t="s">
        <v>415</v>
      </c>
      <c r="C21" s="166">
        <f>'Processed Results 2024'!H26</f>
        <v>11990.25</v>
      </c>
      <c r="D21" s="166">
        <f>'Processed Results 2024'!I26</f>
        <v>14927.74</v>
      </c>
      <c r="E21" s="166">
        <f>'Processed Results 2024'!J26</f>
        <v>16410.560000000001</v>
      </c>
      <c r="F21" s="227">
        <f t="shared" si="0"/>
        <v>9.9333187743087803E-2</v>
      </c>
      <c r="G21" s="166">
        <f>'Processed Results 2024'!L26</f>
        <v>128182.67</v>
      </c>
      <c r="H21" s="166">
        <f>'Processed Results 2024'!M26</f>
        <v>165385.04999999999</v>
      </c>
      <c r="I21" s="166">
        <f>'Processed Results 2024'!N26</f>
        <v>182316.04</v>
      </c>
      <c r="J21" s="227">
        <f t="shared" si="1"/>
        <v>0.10237315887983842</v>
      </c>
      <c r="K21" s="166">
        <f>'Processed Results 2024'!P26</f>
        <v>233349.75</v>
      </c>
      <c r="L21" s="166">
        <f>'Processed Results 2024'!Q26</f>
        <v>301062.90000000002</v>
      </c>
      <c r="M21" s="166">
        <f>'Processed Results 2024'!R26</f>
        <v>348385.1</v>
      </c>
      <c r="N21" s="243">
        <f t="shared" si="2"/>
        <v>0.15718376458872863</v>
      </c>
      <c r="O21" s="166">
        <f>'Processed Results 2024'!T26</f>
        <v>19694823.789999999</v>
      </c>
      <c r="P21" s="166">
        <f>'Processed Results 2024'!U26</f>
        <v>26553591.18</v>
      </c>
      <c r="Q21" s="166">
        <f>'Processed Results 2024'!V26</f>
        <v>25799742.120000001</v>
      </c>
      <c r="R21" s="227">
        <f t="shared" si="3"/>
        <v>-2.838972155931184E-2</v>
      </c>
      <c r="S21" s="166">
        <f>'Processed Results 2024'!X26</f>
        <v>2100191.98</v>
      </c>
      <c r="T21" s="166">
        <f>'Processed Results 2024'!Y26</f>
        <v>2776436.66</v>
      </c>
      <c r="U21" s="166">
        <f>'Processed Results 2024'!Z26</f>
        <v>3744775.91</v>
      </c>
      <c r="V21" s="227">
        <f t="shared" si="4"/>
        <v>0.34877051724277403</v>
      </c>
      <c r="W21" s="166">
        <f>'Processed Results 2024'!BJ26</f>
        <v>22168538.439999998</v>
      </c>
      <c r="X21" s="166">
        <f>'Processed Results 2024'!BK26</f>
        <v>29811403.529999997</v>
      </c>
      <c r="Y21" s="166">
        <f>'Processed Results 2024'!BL26</f>
        <v>30091629.73</v>
      </c>
      <c r="AH21" t="s">
        <v>623</v>
      </c>
      <c r="AI21" s="166">
        <f t="shared" si="25"/>
        <v>523093.57191349979</v>
      </c>
      <c r="AJ21" s="166">
        <f t="shared" si="26"/>
        <v>492015.04200799984</v>
      </c>
      <c r="AK21">
        <f t="shared" si="22"/>
        <v>-5.9412945549709759</v>
      </c>
    </row>
    <row r="22" spans="1:37">
      <c r="A22" s="160" t="s">
        <v>418</v>
      </c>
      <c r="B22" s="160" t="s">
        <v>415</v>
      </c>
      <c r="C22" s="166">
        <f>'Processed Results 2024'!H27</f>
        <v>167.26</v>
      </c>
      <c r="D22" s="166">
        <f>'Processed Results 2024'!I27</f>
        <v>208.23</v>
      </c>
      <c r="E22" s="166">
        <f>'Processed Results 2024'!J27</f>
        <v>228.91</v>
      </c>
      <c r="F22" s="227">
        <f t="shared" si="0"/>
        <v>9.931325937665085E-2</v>
      </c>
      <c r="G22" s="166">
        <f>'Processed Results 2024'!L27</f>
        <v>769.87</v>
      </c>
      <c r="H22" s="166">
        <f>'Processed Results 2024'!M27</f>
        <v>993.32</v>
      </c>
      <c r="I22" s="166">
        <f>'Processed Results 2024'!N27</f>
        <v>1130.53</v>
      </c>
      <c r="J22" s="227">
        <f t="shared" si="1"/>
        <v>0.13813272661377995</v>
      </c>
      <c r="K22" s="166">
        <f>'Processed Results 2024'!P27</f>
        <v>1350.69</v>
      </c>
      <c r="L22" s="166">
        <f>'Processed Results 2024'!Q27</f>
        <v>1742.63</v>
      </c>
      <c r="M22" s="166">
        <f>'Processed Results 2024'!R27</f>
        <v>2125.7399999999998</v>
      </c>
      <c r="N22" s="227">
        <f t="shared" si="2"/>
        <v>0.21984586515783594</v>
      </c>
      <c r="O22" s="166">
        <f>'Processed Results 2024'!T27</f>
        <v>37592.720000000001</v>
      </c>
      <c r="P22" s="166">
        <f>'Processed Results 2024'!U27</f>
        <v>50687.05</v>
      </c>
      <c r="Q22" s="166">
        <f>'Processed Results 2024'!V27</f>
        <v>57166.09</v>
      </c>
      <c r="R22" s="227">
        <f t="shared" si="3"/>
        <v>0.12782436539510572</v>
      </c>
      <c r="S22" s="166">
        <f>'Processed Results 2024'!X27</f>
        <v>7421.25</v>
      </c>
      <c r="T22" s="166">
        <f>'Processed Results 2024'!Y27</f>
        <v>9810.8700000000008</v>
      </c>
      <c r="U22" s="166">
        <f>'Processed Results 2024'!Z27</f>
        <v>11306.28</v>
      </c>
      <c r="V22" s="227">
        <f t="shared" si="4"/>
        <v>0.15242379116225163</v>
      </c>
      <c r="W22" s="166">
        <f>'Processed Results 2024'!BJ27</f>
        <v>47301.790000000008</v>
      </c>
      <c r="X22" s="166">
        <f>'Processed Results 2024'!BK27</f>
        <v>63442.100000000006</v>
      </c>
      <c r="Y22" s="166">
        <f>'Processed Results 2024'!BL27</f>
        <v>71957.55</v>
      </c>
      <c r="AB22" s="160" t="s">
        <v>515</v>
      </c>
      <c r="AH22" t="s">
        <v>624</v>
      </c>
      <c r="AI22" s="166">
        <f t="shared" si="25"/>
        <v>530618.49159199977</v>
      </c>
      <c r="AJ22" s="166">
        <f t="shared" si="26"/>
        <v>496714.64078599983</v>
      </c>
      <c r="AK22">
        <f t="shared" si="22"/>
        <v>-6.3894966615805586</v>
      </c>
    </row>
    <row r="23" spans="1:37">
      <c r="A23" s="160" t="s">
        <v>419</v>
      </c>
      <c r="B23" s="160" t="s">
        <v>415</v>
      </c>
      <c r="C23" s="166">
        <f>'Processed Results 2024'!H28</f>
        <v>211.09</v>
      </c>
      <c r="D23" s="166">
        <f>'Processed Results 2024'!I28</f>
        <v>262.8</v>
      </c>
      <c r="E23" s="166">
        <f>'Processed Results 2024'!J28</f>
        <v>288.89999999999998</v>
      </c>
      <c r="F23" s="227">
        <f t="shared" si="0"/>
        <v>9.9315068493150555E-2</v>
      </c>
      <c r="G23" s="166">
        <f>'Processed Results 2024'!L28</f>
        <v>5835.04</v>
      </c>
      <c r="H23" s="166">
        <f>'Processed Results 2024'!M28</f>
        <v>7528.56</v>
      </c>
      <c r="I23" s="166">
        <f>'Processed Results 2024'!N28</f>
        <v>8568.5499999999993</v>
      </c>
      <c r="J23" s="227">
        <f t="shared" si="1"/>
        <v>0.13813929888318599</v>
      </c>
      <c r="K23" s="166">
        <f>'Processed Results 2024'!P28</f>
        <v>10237.200000000001</v>
      </c>
      <c r="L23" s="166">
        <f>'Processed Results 2024'!Q28</f>
        <v>13207.77</v>
      </c>
      <c r="M23" s="166">
        <f>'Processed Results 2024'!R28</f>
        <v>16111.47</v>
      </c>
      <c r="N23" s="227">
        <f t="shared" si="2"/>
        <v>0.21984786228106629</v>
      </c>
      <c r="O23" s="166">
        <f>'Processed Results 2024'!T28</f>
        <v>284923.7</v>
      </c>
      <c r="P23" s="166">
        <f>'Processed Results 2024'!U28</f>
        <v>384168.54</v>
      </c>
      <c r="Q23" s="166">
        <f>'Processed Results 2024'!V28</f>
        <v>433274.63</v>
      </c>
      <c r="R23" s="227">
        <f t="shared" si="3"/>
        <v>0.12782433980669014</v>
      </c>
      <c r="S23" s="166">
        <f>'Processed Results 2024'!X28</f>
        <v>37735.4</v>
      </c>
      <c r="T23" s="166">
        <f>'Processed Results 2024'!Y28</f>
        <v>49885.85</v>
      </c>
      <c r="U23" s="166">
        <f>'Processed Results 2024'!Z28</f>
        <v>62922.42</v>
      </c>
      <c r="V23" s="227">
        <f t="shared" si="4"/>
        <v>0.26132801185105597</v>
      </c>
      <c r="W23" s="166">
        <f>'Processed Results 2024'!BJ28</f>
        <v>338942.43000000005</v>
      </c>
      <c r="X23" s="166">
        <f>'Processed Results 2024'!BK28</f>
        <v>455053.51999999996</v>
      </c>
      <c r="Y23" s="166">
        <f>'Processed Results 2024'!BL28</f>
        <v>521165.97</v>
      </c>
      <c r="AB23" t="s">
        <v>491</v>
      </c>
      <c r="AC23" t="s">
        <v>492</v>
      </c>
      <c r="AD23" s="160" t="s">
        <v>496</v>
      </c>
      <c r="AH23" t="s">
        <v>625</v>
      </c>
      <c r="AI23" s="166">
        <f t="shared" si="25"/>
        <v>538143.41127049981</v>
      </c>
      <c r="AJ23" s="166">
        <f t="shared" si="26"/>
        <v>501414.23956399981</v>
      </c>
      <c r="AK23">
        <f t="shared" si="22"/>
        <v>-6.8251642475351133</v>
      </c>
    </row>
    <row r="24" spans="1:37">
      <c r="A24" t="s">
        <v>420</v>
      </c>
      <c r="B24" t="s">
        <v>421</v>
      </c>
      <c r="C24" s="166">
        <f>'Processed Results 2024'!H29</f>
        <v>587.9</v>
      </c>
      <c r="D24" s="166">
        <f>'Processed Results 2024'!I29</f>
        <v>731.9</v>
      </c>
      <c r="E24" s="166">
        <f>'Processed Results 2024'!J29</f>
        <v>716.03</v>
      </c>
      <c r="F24" s="227">
        <f t="shared" si="0"/>
        <v>-2.1683290066949044E-2</v>
      </c>
      <c r="G24" s="166">
        <f>'Processed Results 2024'!L29</f>
        <v>1120.82</v>
      </c>
      <c r="H24" s="166">
        <f>'Processed Results 2024'!M29</f>
        <v>1446.11</v>
      </c>
      <c r="I24" s="166">
        <f>'Processed Results 2024'!N29</f>
        <v>1450.54</v>
      </c>
      <c r="J24" s="227">
        <f t="shared" si="1"/>
        <v>3.0633907517409213E-3</v>
      </c>
      <c r="K24" s="166">
        <f>'Processed Results 2024'!P29</f>
        <v>2097.67</v>
      </c>
      <c r="L24" s="166">
        <f>'Processed Results 2024'!Q29</f>
        <v>2706.41</v>
      </c>
      <c r="M24" s="166">
        <f>'Processed Results 2024'!R29</f>
        <v>2826.78</v>
      </c>
      <c r="N24" s="227">
        <f t="shared" si="2"/>
        <v>4.4475892418369856E-2</v>
      </c>
      <c r="O24" s="166">
        <f>'Processed Results 2024'!T29</f>
        <v>56842.58</v>
      </c>
      <c r="P24" s="166">
        <f>'Processed Results 2024'!U29</f>
        <v>76637.86</v>
      </c>
      <c r="Q24" s="166">
        <f>'Processed Results 2024'!V29</f>
        <v>74623.350000000006</v>
      </c>
      <c r="R24" s="227">
        <f t="shared" si="3"/>
        <v>-2.6286094105445985E-2</v>
      </c>
      <c r="S24" s="166">
        <f>'Processed Results 2024'!X29</f>
        <v>6400.88</v>
      </c>
      <c r="T24" s="166">
        <f>'Processed Results 2024'!Y29</f>
        <v>8461.92</v>
      </c>
      <c r="U24" s="166">
        <f>'Processed Results 2024'!Z29</f>
        <v>10651.97</v>
      </c>
      <c r="V24" s="227">
        <f t="shared" si="4"/>
        <v>0.25881242082175193</v>
      </c>
      <c r="W24" s="166">
        <f>'Processed Results 2024'!BJ29</f>
        <v>67049.850000000006</v>
      </c>
      <c r="X24" s="166">
        <f>'Processed Results 2024'!BK29</f>
        <v>89984.2</v>
      </c>
      <c r="Y24" s="166">
        <f>'Processed Results 2024'!BL29</f>
        <v>90268.67</v>
      </c>
      <c r="AB24" s="118">
        <f>X16</f>
        <v>4.5532132926721989</v>
      </c>
      <c r="AC24" s="118">
        <f>Y16</f>
        <v>2.2859270797573479</v>
      </c>
      <c r="AD24" s="155">
        <f>(AC24-AB24)/AB24</f>
        <v>-0.49795299872372584</v>
      </c>
      <c r="AH24" t="s">
        <v>626</v>
      </c>
      <c r="AI24" s="166">
        <f t="shared" si="25"/>
        <v>545668.33094899985</v>
      </c>
      <c r="AJ24" s="166">
        <f t="shared" si="26"/>
        <v>506113.8383419998</v>
      </c>
      <c r="AK24">
        <f t="shared" si="22"/>
        <v>-7.2488158765249944</v>
      </c>
    </row>
    <row r="25" spans="1:37">
      <c r="A25" t="s">
        <v>422</v>
      </c>
      <c r="B25" t="s">
        <v>421</v>
      </c>
      <c r="C25" s="166">
        <f>'Processed Results 2024'!H30</f>
        <v>5550.12</v>
      </c>
      <c r="D25" s="166">
        <f>'Processed Results 2024'!I30</f>
        <v>6909.61</v>
      </c>
      <c r="E25" s="166">
        <f>'Processed Results 2024'!J30</f>
        <v>7457.25</v>
      </c>
      <c r="F25" s="227">
        <f t="shared" si="0"/>
        <v>7.9257729452168843E-2</v>
      </c>
      <c r="G25" s="166">
        <f>'Processed Results 2024'!L30</f>
        <v>10248.719999999999</v>
      </c>
      <c r="H25" s="166">
        <f>'Processed Results 2024'!M30</f>
        <v>13223.42</v>
      </c>
      <c r="I25" s="166">
        <f>'Processed Results 2024'!N30</f>
        <v>12521.42</v>
      </c>
      <c r="J25" s="227">
        <f t="shared" si="1"/>
        <v>-5.3087627860266107E-2</v>
      </c>
      <c r="K25" s="166">
        <f>'Processed Results 2024'!P30</f>
        <v>16357.24</v>
      </c>
      <c r="L25" s="166">
        <f>'Processed Results 2024'!Q30</f>
        <v>21105.67</v>
      </c>
      <c r="M25" s="166">
        <f>'Processed Results 2024'!R30</f>
        <v>24379.47</v>
      </c>
      <c r="N25" s="227">
        <f t="shared" si="2"/>
        <v>0.15511471561907314</v>
      </c>
      <c r="O25" s="166">
        <f>'Processed Results 2024'!T30</f>
        <v>273513.84000000003</v>
      </c>
      <c r="P25" s="166">
        <f>'Processed Results 2024'!U30</f>
        <v>371603.43</v>
      </c>
      <c r="Q25" s="166">
        <f>'Processed Results 2024'!V30</f>
        <v>415541.13</v>
      </c>
      <c r="R25" s="227">
        <f t="shared" si="3"/>
        <v>0.11823814435727897</v>
      </c>
      <c r="S25" s="166">
        <f>'Processed Results 2024'!X30</f>
        <v>28157.62</v>
      </c>
      <c r="T25" s="166">
        <f>'Processed Results 2024'!Y30</f>
        <v>37256.980000000003</v>
      </c>
      <c r="U25" s="166">
        <f>'Processed Results 2024'!Z30</f>
        <v>51437.3</v>
      </c>
      <c r="V25" s="227">
        <f t="shared" si="4"/>
        <v>0.38060841216867281</v>
      </c>
      <c r="W25" s="166">
        <f>'Processed Results 2024'!BJ30</f>
        <v>333827.54000000004</v>
      </c>
      <c r="X25" s="166">
        <f>'Processed Results 2024'!BK30</f>
        <v>450099.11</v>
      </c>
      <c r="Y25" s="166">
        <f>'Processed Results 2024'!BL30</f>
        <v>511336.56999999995</v>
      </c>
      <c r="AH25" t="s">
        <v>627</v>
      </c>
      <c r="AI25" s="166">
        <f t="shared" si="25"/>
        <v>553193.25062749989</v>
      </c>
      <c r="AJ25" s="166">
        <f t="shared" si="26"/>
        <v>510813.43711999978</v>
      </c>
      <c r="AK25">
        <f t="shared" si="22"/>
        <v>-7.6609418967833935</v>
      </c>
    </row>
    <row r="26" spans="1:37">
      <c r="A26" t="s">
        <v>427</v>
      </c>
      <c r="B26" s="160" t="s">
        <v>421</v>
      </c>
      <c r="C26" s="166">
        <f>'Processed Results 2024'!H41</f>
        <v>4.12</v>
      </c>
      <c r="D26" s="166">
        <f>'Processed Results 2024'!I41</f>
        <v>5.13</v>
      </c>
      <c r="E26" s="166">
        <f>'Processed Results 2024'!J41</f>
        <v>3.67</v>
      </c>
      <c r="F26" s="227">
        <f t="shared" si="0"/>
        <v>-0.28460038986354774</v>
      </c>
      <c r="G26" s="166">
        <f>'Processed Results 2024'!L41</f>
        <v>7.04</v>
      </c>
      <c r="H26" s="166">
        <f>'Processed Results 2024'!M41</f>
        <v>9.08</v>
      </c>
      <c r="I26" s="166">
        <f>'Processed Results 2024'!N41</f>
        <v>6.92</v>
      </c>
      <c r="J26" s="227">
        <f t="shared" si="1"/>
        <v>-0.2378854625550661</v>
      </c>
      <c r="K26" s="166">
        <f>'Processed Results 2024'!P41</f>
        <v>15.55</v>
      </c>
      <c r="L26" s="166">
        <f>'Processed Results 2024'!Q41</f>
        <v>20.07</v>
      </c>
      <c r="M26" s="166">
        <f>'Processed Results 2024'!R41</f>
        <v>12.41</v>
      </c>
      <c r="N26" s="227">
        <f t="shared" si="2"/>
        <v>-0.3816641753861485</v>
      </c>
      <c r="O26" s="166">
        <f>'Processed Results 2024'!T41</f>
        <v>385.65</v>
      </c>
      <c r="P26" s="166">
        <f>'Processed Results 2024'!U41</f>
        <v>519.95000000000005</v>
      </c>
      <c r="Q26" s="166">
        <f>'Processed Results 2024'!V41</f>
        <v>358.94</v>
      </c>
      <c r="R26" s="227">
        <f t="shared" si="3"/>
        <v>-0.30966439080680841</v>
      </c>
      <c r="S26" s="166">
        <f>'Processed Results 2024'!X41</f>
        <v>40.51</v>
      </c>
      <c r="T26" s="166">
        <f>'Processed Results 2024'!Y41</f>
        <v>53.56</v>
      </c>
      <c r="U26" s="166">
        <f>'Processed Results 2024'!Z41</f>
        <v>51.07</v>
      </c>
      <c r="V26" s="227">
        <f t="shared" si="4"/>
        <v>-4.6489917849141187E-2</v>
      </c>
      <c r="W26" s="166">
        <f>'Processed Results 2024'!BJ41</f>
        <v>452.87</v>
      </c>
      <c r="X26" s="166">
        <f>'Processed Results 2024'!BK41</f>
        <v>607.79000000000008</v>
      </c>
      <c r="Y26" s="166">
        <f>'Processed Results 2024'!BL41</f>
        <v>433.01000000000005</v>
      </c>
      <c r="AH26" t="s">
        <v>628</v>
      </c>
      <c r="AI26" s="166">
        <f t="shared" si="25"/>
        <v>560718.17030599993</v>
      </c>
      <c r="AJ26" s="166">
        <f t="shared" si="26"/>
        <v>515513.03589799977</v>
      </c>
      <c r="AK26">
        <f t="shared" si="22"/>
        <v>-8.0620063343640922</v>
      </c>
    </row>
    <row r="27" spans="1:37">
      <c r="A27" t="s">
        <v>428</v>
      </c>
      <c r="B27" s="160" t="s">
        <v>421</v>
      </c>
      <c r="C27" s="166">
        <f>'Processed Results 2024'!H42</f>
        <v>841.23</v>
      </c>
      <c r="D27" s="166">
        <f>'Processed Results 2024'!I42</f>
        <v>1047.28</v>
      </c>
      <c r="E27" s="166">
        <f>'Processed Results 2024'!J42</f>
        <v>1132.7</v>
      </c>
      <c r="F27" s="227">
        <f t="shared" si="0"/>
        <v>8.1563669696738283E-2</v>
      </c>
      <c r="G27" s="166">
        <f>'Processed Results 2024'!L42</f>
        <v>1822.04</v>
      </c>
      <c r="H27" s="166">
        <f>'Processed Results 2024'!M42</f>
        <v>2350.83</v>
      </c>
      <c r="I27" s="166">
        <f>'Processed Results 2024'!N42</f>
        <v>2488.31</v>
      </c>
      <c r="J27" s="227">
        <f t="shared" si="1"/>
        <v>5.8481472501201712E-2</v>
      </c>
      <c r="K27" s="166">
        <f>'Processed Results 2024'!P42</f>
        <v>3141.42</v>
      </c>
      <c r="L27" s="166">
        <f>'Processed Results 2024'!Q42</f>
        <v>4053.04</v>
      </c>
      <c r="M27" s="166">
        <f>'Processed Results 2024'!BF42</f>
        <v>4889.16</v>
      </c>
      <c r="N27" s="227">
        <f t="shared" si="2"/>
        <v>0.20629453447288945</v>
      </c>
      <c r="O27" s="166">
        <f>'Processed Results 2024'!T42</f>
        <v>76205.820000000007</v>
      </c>
      <c r="P27" s="166">
        <f>'Processed Results 2024'!U42</f>
        <v>102744.15</v>
      </c>
      <c r="Q27" s="166">
        <f>'Processed Results 2024'!V42</f>
        <v>108420.92</v>
      </c>
      <c r="R27" s="227">
        <f t="shared" si="3"/>
        <v>5.5251515536407711E-2</v>
      </c>
      <c r="S27" s="166">
        <f>'Processed Results 2024'!X42</f>
        <v>8754.32</v>
      </c>
      <c r="T27" s="166">
        <f>'Processed Results 2024'!Y42</f>
        <v>11573.16</v>
      </c>
      <c r="U27" s="166">
        <f>'Processed Results 2024'!Z42</f>
        <v>12665.96</v>
      </c>
      <c r="V27" s="227">
        <f t="shared" si="4"/>
        <v>9.4425377338600638E-2</v>
      </c>
      <c r="W27" s="166">
        <f>'Processed Results 2024'!BJ42</f>
        <v>90764.83</v>
      </c>
      <c r="X27" s="166">
        <f>'Processed Results 2024'!BK42</f>
        <v>121768.45999999999</v>
      </c>
      <c r="Y27" s="166">
        <f>'Processed Results 2024'!BL42</f>
        <v>129597.05</v>
      </c>
      <c r="AH27" t="s">
        <v>629</v>
      </c>
      <c r="AI27" s="166">
        <f t="shared" si="25"/>
        <v>568243.08998449997</v>
      </c>
      <c r="AJ27" s="166">
        <f t="shared" si="26"/>
        <v>520212.63467599975</v>
      </c>
      <c r="AK27">
        <f t="shared" si="22"/>
        <v>-8.4524486359896329</v>
      </c>
    </row>
    <row r="28" spans="1:37">
      <c r="A28" s="160"/>
      <c r="B28" s="160"/>
      <c r="F28" s="227" t="e">
        <f t="shared" si="0"/>
        <v>#DIV/0!</v>
      </c>
      <c r="J28" s="227" t="e">
        <f t="shared" si="1"/>
        <v>#DIV/0!</v>
      </c>
      <c r="N28" s="227" t="e">
        <f t="shared" si="2"/>
        <v>#DIV/0!</v>
      </c>
      <c r="R28" s="227" t="e">
        <f t="shared" si="3"/>
        <v>#DIV/0!</v>
      </c>
      <c r="V28" s="227" t="e">
        <f t="shared" si="4"/>
        <v>#DIV/0!</v>
      </c>
      <c r="AH28" t="s">
        <v>630</v>
      </c>
      <c r="AI28" s="166">
        <f t="shared" si="25"/>
        <v>575768.009663</v>
      </c>
      <c r="AJ28" s="166">
        <f t="shared" si="26"/>
        <v>524912.23345399974</v>
      </c>
      <c r="AK28">
        <f t="shared" si="22"/>
        <v>-8.8326852752320182</v>
      </c>
    </row>
    <row r="29" spans="1:37">
      <c r="A29" s="160"/>
      <c r="B29" s="160"/>
      <c r="F29" s="227" t="e">
        <f t="shared" si="0"/>
        <v>#DIV/0!</v>
      </c>
      <c r="J29" s="227" t="e">
        <f t="shared" si="1"/>
        <v>#DIV/0!</v>
      </c>
      <c r="N29" s="227" t="e">
        <f t="shared" si="2"/>
        <v>#DIV/0!</v>
      </c>
      <c r="R29" s="227" t="e">
        <f t="shared" si="3"/>
        <v>#DIV/0!</v>
      </c>
      <c r="V29" s="227" t="e">
        <f t="shared" si="4"/>
        <v>#DIV/0!</v>
      </c>
      <c r="AH29" t="s">
        <v>631</v>
      </c>
      <c r="AI29" s="166">
        <f t="shared" si="25"/>
        <v>583292.92934150004</v>
      </c>
      <c r="AJ29" s="166">
        <f t="shared" si="26"/>
        <v>529611.83223199972</v>
      </c>
      <c r="AK29">
        <f t="shared" si="22"/>
        <v>-9.2031112343677481</v>
      </c>
    </row>
    <row r="30" spans="1:37">
      <c r="A30" s="160"/>
      <c r="F30" s="227" t="e">
        <f t="shared" si="0"/>
        <v>#DIV/0!</v>
      </c>
      <c r="J30" s="227" t="e">
        <f t="shared" si="1"/>
        <v>#DIV/0!</v>
      </c>
      <c r="N30" s="227" t="e">
        <f t="shared" si="2"/>
        <v>#DIV/0!</v>
      </c>
      <c r="R30" s="227" t="e">
        <f t="shared" si="3"/>
        <v>#DIV/0!</v>
      </c>
      <c r="V30" s="227" t="e">
        <f t="shared" si="4"/>
        <v>#DIV/0!</v>
      </c>
      <c r="AH30" t="s">
        <v>632</v>
      </c>
      <c r="AI30" s="166">
        <f t="shared" si="25"/>
        <v>590817.84902000008</v>
      </c>
      <c r="AJ30" s="166">
        <f t="shared" si="26"/>
        <v>534311.43100999971</v>
      </c>
      <c r="AK30">
        <f t="shared" si="22"/>
        <v>-9.5641013729914484</v>
      </c>
    </row>
    <row r="31" spans="1:37">
      <c r="A31" s="160" t="s">
        <v>516</v>
      </c>
      <c r="F31" s="227" t="e">
        <f t="shared" si="0"/>
        <v>#DIV/0!</v>
      </c>
      <c r="J31" s="227" t="e">
        <f t="shared" si="1"/>
        <v>#DIV/0!</v>
      </c>
      <c r="N31" s="227" t="e">
        <f t="shared" si="2"/>
        <v>#DIV/0!</v>
      </c>
      <c r="R31" s="227" t="e">
        <f t="shared" si="3"/>
        <v>#DIV/0!</v>
      </c>
      <c r="V31" s="227" t="e">
        <f t="shared" si="4"/>
        <v>#DIV/0!</v>
      </c>
      <c r="AI31" s="166"/>
      <c r="AJ31" s="166"/>
      <c r="AK31" s="140"/>
    </row>
    <row r="32" spans="1:37" s="297" customFormat="1">
      <c r="A32" s="294" t="s">
        <v>409</v>
      </c>
      <c r="B32" s="294" t="s">
        <v>495</v>
      </c>
      <c r="C32" s="295">
        <f>C17*27/1000</f>
        <v>3289.5720000000001</v>
      </c>
      <c r="D32" s="295">
        <f t="shared" ref="D32:Y32" si="39">D17*27/1000</f>
        <v>4095.3778200000002</v>
      </c>
      <c r="E32" s="295">
        <f t="shared" si="39"/>
        <v>4009.0485600000002</v>
      </c>
      <c r="F32" s="296">
        <f t="shared" si="0"/>
        <v>-2.1079681483453454E-2</v>
      </c>
      <c r="G32" s="295">
        <f t="shared" si="39"/>
        <v>6079.9817700000003</v>
      </c>
      <c r="H32" s="295">
        <f t="shared" si="39"/>
        <v>7844.4995400000007</v>
      </c>
      <c r="I32" s="295">
        <f t="shared" si="39"/>
        <v>7891.1674200000007</v>
      </c>
      <c r="J32" s="296">
        <f t="shared" si="1"/>
        <v>5.9491213890746136E-3</v>
      </c>
      <c r="K32" s="295">
        <f t="shared" si="39"/>
        <v>11431.22085</v>
      </c>
      <c r="L32" s="295">
        <f t="shared" si="39"/>
        <v>14748.497280000001</v>
      </c>
      <c r="M32" s="295">
        <f t="shared" si="39"/>
        <v>15390.847800000001</v>
      </c>
      <c r="N32" s="296">
        <f t="shared" si="2"/>
        <v>4.3553625010398341E-2</v>
      </c>
      <c r="O32" s="295">
        <f t="shared" ref="O32" si="40">O17*27/1000</f>
        <v>304607.96496000001</v>
      </c>
      <c r="P32" s="295">
        <f t="shared" ref="P32:Q32" si="41">P17*27/1000</f>
        <v>410686.95978000003</v>
      </c>
      <c r="Q32" s="295">
        <f t="shared" si="41"/>
        <v>351886.04657999997</v>
      </c>
      <c r="R32" s="296">
        <f t="shared" si="3"/>
        <v>-0.14317696678633038</v>
      </c>
      <c r="S32" s="295">
        <f t="shared" ref="S32" si="42">S17*27/1000</f>
        <v>35155.763639999997</v>
      </c>
      <c r="T32" s="295">
        <f t="shared" ref="T32:U32" si="43">T17*27/1000</f>
        <v>46475.702370000006</v>
      </c>
      <c r="U32" s="295">
        <f t="shared" si="43"/>
        <v>50766.97221</v>
      </c>
      <c r="V32" s="296">
        <f t="shared" si="4"/>
        <v>9.2333619959878252E-2</v>
      </c>
      <c r="W32" s="295">
        <f t="shared" si="39"/>
        <v>360564.50322000001</v>
      </c>
      <c r="X32" s="295">
        <f t="shared" si="39"/>
        <v>483851.03678999998</v>
      </c>
      <c r="Y32" s="295">
        <f t="shared" si="39"/>
        <v>429944.08256999997</v>
      </c>
      <c r="AI32" s="295"/>
      <c r="AJ32" s="295"/>
      <c r="AK32" s="295"/>
    </row>
    <row r="33" spans="1:36">
      <c r="A33" s="160" t="s">
        <v>411</v>
      </c>
      <c r="B33" s="160" t="s">
        <v>495</v>
      </c>
      <c r="C33" s="166">
        <f>C18*27/1000</f>
        <v>191.05199999999999</v>
      </c>
      <c r="D33" s="166">
        <f t="shared" ref="D33:Y33" si="44">D18*27/1000</f>
        <v>237.88322999999997</v>
      </c>
      <c r="E33" s="166">
        <f t="shared" si="44"/>
        <v>228.37545</v>
      </c>
      <c r="F33" s="227">
        <f t="shared" si="0"/>
        <v>-3.9968265102167853E-2</v>
      </c>
      <c r="G33" s="166">
        <f t="shared" si="44"/>
        <v>371.44683000000003</v>
      </c>
      <c r="H33" s="166">
        <f t="shared" si="44"/>
        <v>479.24703</v>
      </c>
      <c r="I33" s="166">
        <f t="shared" si="44"/>
        <v>479.39499000000001</v>
      </c>
      <c r="J33" s="227">
        <f t="shared" si="1"/>
        <v>3.0873430764925526E-4</v>
      </c>
      <c r="K33" s="166">
        <f t="shared" si="44"/>
        <v>710.0865</v>
      </c>
      <c r="L33" s="166">
        <f t="shared" si="44"/>
        <v>916.14996000000008</v>
      </c>
      <c r="M33" s="166">
        <f t="shared" si="44"/>
        <v>934.50752999999997</v>
      </c>
      <c r="N33" s="227">
        <f t="shared" si="2"/>
        <v>2.0037734870391628E-2</v>
      </c>
      <c r="O33" s="166">
        <f t="shared" ref="O33" si="45">O18*27/1000</f>
        <v>20183.82516</v>
      </c>
      <c r="P33" s="166">
        <f t="shared" ref="P33:Q33" si="46">P18*27/1000</f>
        <v>27212.757300000001</v>
      </c>
      <c r="Q33" s="166">
        <f t="shared" si="46"/>
        <v>20371.144949999998</v>
      </c>
      <c r="R33" s="227">
        <f t="shared" si="3"/>
        <v>-0.25141194898320735</v>
      </c>
      <c r="S33" s="166">
        <f t="shared" ref="S33" si="47">S18*27/1000</f>
        <v>8355.9589200000009</v>
      </c>
      <c r="T33" s="166">
        <f t="shared" ref="T33:U33" si="48">T18*27/1000</f>
        <v>11046.525390000001</v>
      </c>
      <c r="U33" s="166">
        <f t="shared" si="48"/>
        <v>10900.672199999999</v>
      </c>
      <c r="V33" s="227">
        <f t="shared" si="4"/>
        <v>-1.3203535487460788E-2</v>
      </c>
      <c r="W33" s="166">
        <f t="shared" si="44"/>
        <v>29812.369410000003</v>
      </c>
      <c r="X33" s="166">
        <f t="shared" si="44"/>
        <v>39892.562910000001</v>
      </c>
      <c r="Y33" s="166">
        <f t="shared" si="44"/>
        <v>32914.095119999991</v>
      </c>
      <c r="AI33" s="166"/>
      <c r="AJ33" s="166"/>
    </row>
    <row r="34" spans="1:36">
      <c r="A34" s="160" t="s">
        <v>414</v>
      </c>
      <c r="B34" s="160" t="s">
        <v>495</v>
      </c>
      <c r="C34" s="166">
        <f>C19*1/1000</f>
        <v>9.4668600000000005</v>
      </c>
      <c r="D34" s="166">
        <f t="shared" ref="D34:Y38" si="49">D19*1/1000</f>
        <v>11.78593</v>
      </c>
      <c r="E34" s="166">
        <f t="shared" si="49"/>
        <v>13.913680000000001</v>
      </c>
      <c r="F34" s="227">
        <f t="shared" si="0"/>
        <v>0.18053305933430799</v>
      </c>
      <c r="G34" s="166">
        <f t="shared" si="49"/>
        <v>33.417559999999995</v>
      </c>
      <c r="H34" s="166">
        <f t="shared" si="49"/>
        <v>43.116150000000005</v>
      </c>
      <c r="I34" s="166">
        <f t="shared" si="49"/>
        <v>50.457860000000004</v>
      </c>
      <c r="J34" s="227">
        <f t="shared" si="1"/>
        <v>0.17027749462788302</v>
      </c>
      <c r="K34" s="166">
        <f t="shared" si="49"/>
        <v>61.293999999999997</v>
      </c>
      <c r="L34" s="166">
        <f t="shared" si="49"/>
        <v>79.080619999999996</v>
      </c>
      <c r="M34" s="166">
        <f t="shared" si="49"/>
        <v>130.56026</v>
      </c>
      <c r="N34" s="227">
        <f t="shared" si="2"/>
        <v>0.65097668682921306</v>
      </c>
      <c r="O34" s="166">
        <f t="shared" ref="O34" si="50">O19*1/1000</f>
        <v>1515.04991</v>
      </c>
      <c r="P34" s="166">
        <f t="shared" ref="P34:Q34" si="51">P19*1/1000</f>
        <v>2042.7161599999999</v>
      </c>
      <c r="Q34" s="166">
        <f t="shared" si="51"/>
        <v>3176.0803300000002</v>
      </c>
      <c r="R34" s="227">
        <f t="shared" si="3"/>
        <v>0.55483194003811098</v>
      </c>
      <c r="S34" s="166">
        <f t="shared" ref="S34" si="52">S19*1/1000</f>
        <v>178.37089</v>
      </c>
      <c r="T34" s="166">
        <f t="shared" ref="T34:U34" si="53">T19*1/1000</f>
        <v>235.80475000000001</v>
      </c>
      <c r="U34" s="166">
        <f t="shared" si="53"/>
        <v>800.4456899999999</v>
      </c>
      <c r="V34" s="227">
        <f t="shared" si="4"/>
        <v>2.3945274215214063</v>
      </c>
      <c r="W34" s="166">
        <f t="shared" si="49"/>
        <v>1797.5992200000001</v>
      </c>
      <c r="X34" s="166">
        <f t="shared" si="49"/>
        <v>2412.5036099999998</v>
      </c>
      <c r="Y34" s="166">
        <f t="shared" si="49"/>
        <v>4171.4578199999996</v>
      </c>
      <c r="AI34" s="166"/>
      <c r="AJ34" s="166"/>
    </row>
    <row r="35" spans="1:36">
      <c r="A35" s="160" t="s">
        <v>416</v>
      </c>
      <c r="B35" s="160" t="s">
        <v>495</v>
      </c>
      <c r="C35" s="166">
        <f t="shared" ref="C35:M38" si="54">C20*1/1000</f>
        <v>3.2734099999999997</v>
      </c>
      <c r="D35" s="166">
        <f t="shared" si="54"/>
        <v>4.0752800000000002</v>
      </c>
      <c r="E35" s="166">
        <f t="shared" si="54"/>
        <v>4.7063100000000002</v>
      </c>
      <c r="F35" s="227">
        <f t="shared" si="0"/>
        <v>0.15484334818711842</v>
      </c>
      <c r="G35" s="166">
        <f t="shared" si="54"/>
        <v>11.842370000000001</v>
      </c>
      <c r="H35" s="166">
        <f t="shared" si="54"/>
        <v>15.279299999999999</v>
      </c>
      <c r="I35" s="166">
        <f t="shared" si="54"/>
        <v>18.15016</v>
      </c>
      <c r="J35" s="227">
        <f t="shared" si="1"/>
        <v>0.18789211547649437</v>
      </c>
      <c r="K35" s="166">
        <f t="shared" si="54"/>
        <v>21.941500000000001</v>
      </c>
      <c r="L35" s="166">
        <f t="shared" si="54"/>
        <v>28.30864</v>
      </c>
      <c r="M35" s="166">
        <f t="shared" si="54"/>
        <v>34.60313</v>
      </c>
      <c r="N35" s="227">
        <f t="shared" si="2"/>
        <v>0.22235225712008772</v>
      </c>
      <c r="O35" s="166">
        <f t="shared" ref="O35" si="55">O20*1/1000</f>
        <v>582.20372999999995</v>
      </c>
      <c r="P35" s="166">
        <f t="shared" ref="P35:Q35" si="56">P20*1/1000</f>
        <v>784.97188000000006</v>
      </c>
      <c r="Q35" s="166">
        <f t="shared" si="56"/>
        <v>917.53965000000005</v>
      </c>
      <c r="R35" s="227">
        <f t="shared" si="3"/>
        <v>0.16888218976710348</v>
      </c>
      <c r="S35" s="166">
        <f t="shared" ref="S35" si="57">S20*1/1000</f>
        <v>68.452559999999991</v>
      </c>
      <c r="T35" s="166">
        <f t="shared" ref="T35:U35" si="58">T20*1/1000</f>
        <v>90.493719999999996</v>
      </c>
      <c r="U35" s="166">
        <f t="shared" si="58"/>
        <v>123.83297999999999</v>
      </c>
      <c r="V35" s="227">
        <f t="shared" si="4"/>
        <v>0.36841517842343091</v>
      </c>
      <c r="W35" s="166">
        <f t="shared" si="49"/>
        <v>687.71357000000012</v>
      </c>
      <c r="X35" s="166">
        <f t="shared" si="49"/>
        <v>923.12882000000002</v>
      </c>
      <c r="Y35" s="166">
        <f t="shared" si="49"/>
        <v>1098.83223</v>
      </c>
      <c r="AI35" s="166"/>
      <c r="AJ35" s="166"/>
    </row>
    <row r="36" spans="1:36">
      <c r="A36" s="160" t="s">
        <v>417</v>
      </c>
      <c r="B36" s="160" t="s">
        <v>495</v>
      </c>
      <c r="C36" s="166">
        <f t="shared" si="54"/>
        <v>11.99025</v>
      </c>
      <c r="D36" s="166">
        <f t="shared" si="49"/>
        <v>14.92774</v>
      </c>
      <c r="E36" s="166">
        <f t="shared" si="49"/>
        <v>16.41056</v>
      </c>
      <c r="F36" s="227">
        <f t="shared" si="0"/>
        <v>9.933318774308772E-2</v>
      </c>
      <c r="G36" s="166">
        <f t="shared" si="49"/>
        <v>128.18267</v>
      </c>
      <c r="H36" s="166">
        <f t="shared" si="49"/>
        <v>165.38504999999998</v>
      </c>
      <c r="I36" s="166">
        <f t="shared" si="49"/>
        <v>182.31604000000002</v>
      </c>
      <c r="J36" s="227">
        <f t="shared" si="1"/>
        <v>0.10237315887983853</v>
      </c>
      <c r="K36" s="166">
        <f t="shared" si="49"/>
        <v>233.34975</v>
      </c>
      <c r="L36" s="166">
        <f t="shared" si="49"/>
        <v>301.06290000000001</v>
      </c>
      <c r="M36" s="166">
        <f t="shared" si="49"/>
        <v>348.38509999999997</v>
      </c>
      <c r="N36" s="227">
        <f t="shared" si="2"/>
        <v>0.15718376458872863</v>
      </c>
      <c r="O36" s="166">
        <f t="shared" ref="O36" si="59">O21*1/1000</f>
        <v>19694.823789999999</v>
      </c>
      <c r="P36" s="166">
        <f t="shared" ref="P36:Q36" si="60">P21*1/1000</f>
        <v>26553.591179999999</v>
      </c>
      <c r="Q36" s="166">
        <f t="shared" si="60"/>
        <v>25799.742120000003</v>
      </c>
      <c r="R36" s="227">
        <f t="shared" si="3"/>
        <v>-2.838972155931177E-2</v>
      </c>
      <c r="S36" s="166">
        <f t="shared" ref="S36" si="61">S21*1/1000</f>
        <v>2100.1919800000001</v>
      </c>
      <c r="T36" s="166">
        <f t="shared" ref="T36:U36" si="62">T21*1/1000</f>
        <v>2776.4366600000003</v>
      </c>
      <c r="U36" s="166">
        <f t="shared" si="62"/>
        <v>3744.7759100000003</v>
      </c>
      <c r="V36" s="227">
        <f t="shared" si="4"/>
        <v>0.34877051724277403</v>
      </c>
      <c r="W36" s="166">
        <f t="shared" si="49"/>
        <v>22168.538439999997</v>
      </c>
      <c r="X36" s="166">
        <f t="shared" si="49"/>
        <v>29811.403529999996</v>
      </c>
      <c r="Y36" s="166">
        <f t="shared" si="49"/>
        <v>30091.629730000001</v>
      </c>
    </row>
    <row r="37" spans="1:36">
      <c r="A37" s="160" t="s">
        <v>418</v>
      </c>
      <c r="B37" s="160" t="s">
        <v>495</v>
      </c>
      <c r="C37" s="166">
        <f t="shared" si="54"/>
        <v>0.16725999999999999</v>
      </c>
      <c r="D37" s="166">
        <f t="shared" si="49"/>
        <v>0.20823</v>
      </c>
      <c r="E37" s="166">
        <f t="shared" si="49"/>
        <v>0.22891</v>
      </c>
      <c r="F37" s="227">
        <f t="shared" si="0"/>
        <v>9.9313259376650836E-2</v>
      </c>
      <c r="G37" s="166">
        <f t="shared" si="49"/>
        <v>0.76987000000000005</v>
      </c>
      <c r="H37" s="166">
        <f t="shared" si="49"/>
        <v>0.99332000000000009</v>
      </c>
      <c r="I37" s="166">
        <f t="shared" si="49"/>
        <v>1.13053</v>
      </c>
      <c r="J37" s="227">
        <f t="shared" si="1"/>
        <v>0.13813272661377998</v>
      </c>
      <c r="K37" s="166">
        <f t="shared" si="49"/>
        <v>1.3506899999999999</v>
      </c>
      <c r="L37" s="166">
        <f t="shared" si="49"/>
        <v>1.7426300000000001</v>
      </c>
      <c r="M37" s="166">
        <f t="shared" si="49"/>
        <v>2.12574</v>
      </c>
      <c r="N37" s="227">
        <f t="shared" si="2"/>
        <v>0.21984586515783602</v>
      </c>
      <c r="O37" s="166">
        <f t="shared" ref="O37" si="63">O22*1/1000</f>
        <v>37.59272</v>
      </c>
      <c r="P37" s="166">
        <f t="shared" ref="P37:Q37" si="64">P22*1/1000</f>
        <v>50.687050000000006</v>
      </c>
      <c r="Q37" s="166">
        <f t="shared" si="64"/>
        <v>57.166089999999997</v>
      </c>
      <c r="R37" s="227">
        <f t="shared" si="3"/>
        <v>0.12782436539510564</v>
      </c>
      <c r="S37" s="166">
        <f t="shared" ref="S37" si="65">S22*1/1000</f>
        <v>7.4212499999999997</v>
      </c>
      <c r="T37" s="166">
        <f t="shared" ref="T37:U37" si="66">T22*1/1000</f>
        <v>9.8108700000000013</v>
      </c>
      <c r="U37" s="166">
        <f t="shared" si="66"/>
        <v>11.306280000000001</v>
      </c>
      <c r="V37" s="227">
        <f t="shared" si="4"/>
        <v>0.1524237911622516</v>
      </c>
      <c r="W37" s="166">
        <f t="shared" si="49"/>
        <v>47.301790000000011</v>
      </c>
      <c r="X37" s="166">
        <f t="shared" si="49"/>
        <v>63.442100000000003</v>
      </c>
      <c r="Y37" s="166">
        <f t="shared" si="49"/>
        <v>71.957549999999998</v>
      </c>
    </row>
    <row r="38" spans="1:36">
      <c r="A38" s="160" t="s">
        <v>419</v>
      </c>
      <c r="B38" s="160" t="s">
        <v>495</v>
      </c>
      <c r="C38" s="166">
        <f t="shared" si="54"/>
        <v>0.21109</v>
      </c>
      <c r="D38" s="166">
        <f t="shared" si="49"/>
        <v>0.26280000000000003</v>
      </c>
      <c r="E38" s="166">
        <f t="shared" si="49"/>
        <v>0.28889999999999999</v>
      </c>
      <c r="F38" s="227">
        <f t="shared" si="0"/>
        <v>9.9315068493150513E-2</v>
      </c>
      <c r="G38" s="166">
        <f t="shared" si="49"/>
        <v>5.8350400000000002</v>
      </c>
      <c r="H38" s="166">
        <f t="shared" si="49"/>
        <v>7.5285600000000006</v>
      </c>
      <c r="I38" s="166">
        <f t="shared" si="49"/>
        <v>8.5685500000000001</v>
      </c>
      <c r="J38" s="227">
        <f t="shared" si="1"/>
        <v>0.13813929888318607</v>
      </c>
      <c r="K38" s="166">
        <f t="shared" si="49"/>
        <v>10.237200000000001</v>
      </c>
      <c r="L38" s="166">
        <f t="shared" si="49"/>
        <v>13.20777</v>
      </c>
      <c r="M38" s="166">
        <f t="shared" si="49"/>
        <v>16.111470000000001</v>
      </c>
      <c r="N38" s="227">
        <f t="shared" si="2"/>
        <v>0.21984786228106643</v>
      </c>
      <c r="O38" s="166">
        <f t="shared" ref="O38" si="67">O23*1/1000</f>
        <v>284.9237</v>
      </c>
      <c r="P38" s="166">
        <f t="shared" ref="P38:Q38" si="68">P23*1/1000</f>
        <v>384.16854000000001</v>
      </c>
      <c r="Q38" s="166">
        <f t="shared" si="68"/>
        <v>433.27463</v>
      </c>
      <c r="R38" s="227">
        <f t="shared" si="3"/>
        <v>0.12782433980669003</v>
      </c>
      <c r="S38" s="166">
        <f t="shared" ref="S38" si="69">S23*1/1000</f>
        <v>37.735399999999998</v>
      </c>
      <c r="T38" s="166">
        <f t="shared" ref="T38:U38" si="70">T23*1/1000</f>
        <v>49.885849999999998</v>
      </c>
      <c r="U38" s="166">
        <f t="shared" si="70"/>
        <v>62.922419999999995</v>
      </c>
      <c r="V38" s="227">
        <f t="shared" si="4"/>
        <v>0.26132801185105592</v>
      </c>
      <c r="W38" s="166">
        <f t="shared" si="49"/>
        <v>338.94243000000006</v>
      </c>
      <c r="X38" s="166">
        <f t="shared" si="49"/>
        <v>455.05351999999993</v>
      </c>
      <c r="Y38" s="166">
        <f t="shared" si="49"/>
        <v>521.16597000000002</v>
      </c>
    </row>
    <row r="39" spans="1:36">
      <c r="A39" t="s">
        <v>420</v>
      </c>
      <c r="B39" s="160" t="s">
        <v>495</v>
      </c>
      <c r="C39" s="166">
        <f>C24*273/1000</f>
        <v>160.49669999999998</v>
      </c>
      <c r="D39" s="166">
        <f t="shared" ref="D39:Y42" si="71">D24*273/1000</f>
        <v>199.80869999999999</v>
      </c>
      <c r="E39" s="166">
        <f t="shared" si="71"/>
        <v>195.47619</v>
      </c>
      <c r="F39" s="227">
        <f t="shared" si="0"/>
        <v>-2.1683290066948965E-2</v>
      </c>
      <c r="G39" s="166">
        <f t="shared" si="71"/>
        <v>305.98385999999999</v>
      </c>
      <c r="H39" s="166">
        <f t="shared" si="71"/>
        <v>394.78802999999999</v>
      </c>
      <c r="I39" s="166">
        <f t="shared" si="71"/>
        <v>395.99741999999998</v>
      </c>
      <c r="J39" s="227">
        <f t="shared" si="1"/>
        <v>3.0633907517408389E-3</v>
      </c>
      <c r="K39" s="166">
        <f t="shared" si="71"/>
        <v>572.66390999999999</v>
      </c>
      <c r="L39" s="166">
        <f t="shared" si="71"/>
        <v>738.84992999999997</v>
      </c>
      <c r="M39" s="166">
        <f t="shared" si="71"/>
        <v>771.71094000000005</v>
      </c>
      <c r="N39" s="227">
        <f t="shared" si="2"/>
        <v>4.4475892418369828E-2</v>
      </c>
      <c r="O39" s="166">
        <f t="shared" ref="O39" si="72">O24*273/1000</f>
        <v>15518.02434</v>
      </c>
      <c r="P39" s="166">
        <f t="shared" ref="P39:Q39" si="73">P24*273/1000</f>
        <v>20922.135780000001</v>
      </c>
      <c r="Q39" s="166">
        <f t="shared" si="73"/>
        <v>20372.17455</v>
      </c>
      <c r="R39" s="227">
        <f t="shared" si="3"/>
        <v>-2.6286094105446092E-2</v>
      </c>
      <c r="S39" s="166">
        <f t="shared" ref="S39" si="74">S24*273/1000</f>
        <v>1747.4402399999999</v>
      </c>
      <c r="T39" s="166">
        <f t="shared" ref="T39:U39" si="75">T24*273/1000</f>
        <v>2310.1041600000003</v>
      </c>
      <c r="U39" s="166">
        <f t="shared" si="75"/>
        <v>2907.9878099999996</v>
      </c>
      <c r="V39" s="227">
        <f t="shared" si="4"/>
        <v>0.25881242082175171</v>
      </c>
      <c r="W39" s="166">
        <f t="shared" si="71"/>
        <v>18304.609049999999</v>
      </c>
      <c r="X39" s="166">
        <f t="shared" si="71"/>
        <v>24565.686599999997</v>
      </c>
      <c r="Y39" s="166">
        <f t="shared" si="71"/>
        <v>24643.34691</v>
      </c>
    </row>
    <row r="40" spans="1:36">
      <c r="A40" t="s">
        <v>422</v>
      </c>
      <c r="B40" s="160" t="s">
        <v>495</v>
      </c>
      <c r="C40" s="166">
        <f t="shared" ref="C40:M42" si="76">C25*273/1000</f>
        <v>1515.1827599999999</v>
      </c>
      <c r="D40" s="166">
        <f t="shared" si="76"/>
        <v>1886.3235299999999</v>
      </c>
      <c r="E40" s="166">
        <f t="shared" si="76"/>
        <v>2035.82925</v>
      </c>
      <c r="F40" s="227">
        <f t="shared" si="0"/>
        <v>7.9257729452168857E-2</v>
      </c>
      <c r="G40" s="166">
        <f t="shared" si="76"/>
        <v>2797.9005599999996</v>
      </c>
      <c r="H40" s="166">
        <f t="shared" si="76"/>
        <v>3609.9936600000001</v>
      </c>
      <c r="I40" s="166">
        <f t="shared" si="76"/>
        <v>3418.3476600000004</v>
      </c>
      <c r="J40" s="227">
        <f t="shared" si="1"/>
        <v>-5.308762786026603E-2</v>
      </c>
      <c r="K40" s="166">
        <f t="shared" si="76"/>
        <v>4465.5265199999994</v>
      </c>
      <c r="L40" s="166">
        <f t="shared" si="76"/>
        <v>5761.8479099999995</v>
      </c>
      <c r="M40" s="166">
        <f t="shared" si="76"/>
        <v>6655.5953100000006</v>
      </c>
      <c r="N40" s="227">
        <f t="shared" si="2"/>
        <v>0.1551147156190732</v>
      </c>
      <c r="O40" s="166">
        <f t="shared" ref="O40" si="77">O25*273/1000</f>
        <v>74669.278320000012</v>
      </c>
      <c r="P40" s="166">
        <f t="shared" ref="P40:Q40" si="78">P25*273/1000</f>
        <v>101447.73639000001</v>
      </c>
      <c r="Q40" s="166">
        <f t="shared" si="78"/>
        <v>113442.72848999999</v>
      </c>
      <c r="R40" s="227">
        <f t="shared" si="3"/>
        <v>0.11823814435727882</v>
      </c>
      <c r="S40" s="166">
        <f t="shared" ref="S40" si="79">S25*273/1000</f>
        <v>7687.0302599999995</v>
      </c>
      <c r="T40" s="166">
        <f t="shared" ref="T40:U40" si="80">T25*273/1000</f>
        <v>10171.155540000002</v>
      </c>
      <c r="U40" s="166">
        <f t="shared" si="80"/>
        <v>14042.382900000001</v>
      </c>
      <c r="V40" s="227">
        <f t="shared" si="4"/>
        <v>0.38060841216867264</v>
      </c>
      <c r="W40" s="166">
        <f t="shared" si="71"/>
        <v>91134.918420000016</v>
      </c>
      <c r="X40" s="166">
        <f t="shared" si="71"/>
        <v>122877.05703</v>
      </c>
      <c r="Y40" s="166">
        <f t="shared" si="71"/>
        <v>139594.88360999999</v>
      </c>
    </row>
    <row r="41" spans="1:36">
      <c r="A41" t="s">
        <v>427</v>
      </c>
      <c r="B41" s="160" t="s">
        <v>495</v>
      </c>
      <c r="C41" s="166">
        <f t="shared" si="76"/>
        <v>1.12476</v>
      </c>
      <c r="D41" s="166">
        <f t="shared" si="71"/>
        <v>1.40049</v>
      </c>
      <c r="E41" s="166">
        <f t="shared" si="71"/>
        <v>1.0019100000000001</v>
      </c>
      <c r="F41" s="227">
        <f t="shared" si="0"/>
        <v>-0.28460038986354769</v>
      </c>
      <c r="G41" s="166">
        <f t="shared" si="71"/>
        <v>1.9219200000000001</v>
      </c>
      <c r="H41" s="166">
        <f t="shared" si="71"/>
        <v>2.4788399999999999</v>
      </c>
      <c r="I41" s="166">
        <f t="shared" si="71"/>
        <v>1.8891600000000002</v>
      </c>
      <c r="J41" s="227">
        <f t="shared" si="1"/>
        <v>-0.23788546255506599</v>
      </c>
      <c r="K41" s="166">
        <f t="shared" si="71"/>
        <v>4.2451500000000006</v>
      </c>
      <c r="L41" s="166">
        <f t="shared" si="71"/>
        <v>5.4791099999999995</v>
      </c>
      <c r="M41" s="166">
        <f t="shared" si="71"/>
        <v>3.3879299999999999</v>
      </c>
      <c r="N41" s="227">
        <f t="shared" si="2"/>
        <v>-0.38166417538614844</v>
      </c>
      <c r="O41" s="166">
        <f t="shared" ref="O41" si="81">O26*273/1000</f>
        <v>105.28245</v>
      </c>
      <c r="P41" s="166">
        <f t="shared" ref="P41:Q41" si="82">P26*273/1000</f>
        <v>141.94635</v>
      </c>
      <c r="Q41" s="166">
        <f t="shared" si="82"/>
        <v>97.990619999999993</v>
      </c>
      <c r="R41" s="227">
        <f t="shared" si="3"/>
        <v>-0.30966439080680835</v>
      </c>
      <c r="S41" s="166">
        <f t="shared" ref="S41" si="83">S26*273/1000</f>
        <v>11.059229999999999</v>
      </c>
      <c r="T41" s="166">
        <f t="shared" ref="T41:U41" si="84">T26*273/1000</f>
        <v>14.621880000000001</v>
      </c>
      <c r="U41" s="166">
        <f t="shared" si="84"/>
        <v>13.942110000000001</v>
      </c>
      <c r="V41" s="227">
        <f t="shared" si="4"/>
        <v>-4.6489917849141117E-2</v>
      </c>
      <c r="W41" s="166">
        <f t="shared" si="71"/>
        <v>123.63351</v>
      </c>
      <c r="X41" s="166">
        <f t="shared" si="71"/>
        <v>165.92667</v>
      </c>
      <c r="Y41" s="166">
        <f t="shared" si="71"/>
        <v>118.21173000000002</v>
      </c>
      <c r="AB41" s="160" t="s">
        <v>517</v>
      </c>
    </row>
    <row r="42" spans="1:36">
      <c r="A42" t="s">
        <v>428</v>
      </c>
      <c r="B42" s="160" t="s">
        <v>495</v>
      </c>
      <c r="C42" s="166">
        <f t="shared" si="76"/>
        <v>229.65579</v>
      </c>
      <c r="D42" s="166">
        <f t="shared" si="71"/>
        <v>285.90744000000001</v>
      </c>
      <c r="E42" s="166">
        <f t="shared" si="71"/>
        <v>309.22710000000001</v>
      </c>
      <c r="F42" s="227">
        <f t="shared" si="0"/>
        <v>8.1563669696738214E-2</v>
      </c>
      <c r="G42" s="166">
        <f t="shared" si="71"/>
        <v>497.41692</v>
      </c>
      <c r="H42" s="166">
        <f t="shared" si="71"/>
        <v>641.77658999999994</v>
      </c>
      <c r="I42" s="166">
        <f t="shared" si="71"/>
        <v>679.30862999999999</v>
      </c>
      <c r="J42" s="227">
        <f t="shared" si="1"/>
        <v>5.8481472501201788E-2</v>
      </c>
      <c r="K42" s="166">
        <f t="shared" si="71"/>
        <v>857.60766000000001</v>
      </c>
      <c r="L42" s="166">
        <f t="shared" si="71"/>
        <v>1106.47992</v>
      </c>
      <c r="M42" s="166">
        <f t="shared" si="71"/>
        <v>1334.7406799999999</v>
      </c>
      <c r="N42" s="227">
        <f t="shared" si="2"/>
        <v>0.2062945344728894</v>
      </c>
      <c r="O42" s="166">
        <f t="shared" ref="O42" si="85">O27*273/1000</f>
        <v>20804.188860000002</v>
      </c>
      <c r="P42" s="166">
        <f t="shared" ref="P42:Q42" si="86">P27*273/1000</f>
        <v>28049.15295</v>
      </c>
      <c r="Q42" s="166">
        <f t="shared" si="86"/>
        <v>29598.91116</v>
      </c>
      <c r="R42" s="227">
        <f t="shared" si="3"/>
        <v>5.5251515536407669E-2</v>
      </c>
      <c r="S42" s="166">
        <f t="shared" ref="S42" si="87">S27*273/1000</f>
        <v>2389.9293600000001</v>
      </c>
      <c r="T42" s="166">
        <f t="shared" ref="T42:U42" si="88">T27*273/1000</f>
        <v>3159.4726800000003</v>
      </c>
      <c r="U42" s="166">
        <f t="shared" si="88"/>
        <v>3457.8070799999996</v>
      </c>
      <c r="V42" s="227">
        <f t="shared" si="4"/>
        <v>9.4425377338600458E-2</v>
      </c>
      <c r="W42" s="166">
        <f t="shared" si="71"/>
        <v>24778.798589999999</v>
      </c>
      <c r="X42" s="166">
        <f t="shared" si="71"/>
        <v>33242.789579999997</v>
      </c>
      <c r="Y42" s="166">
        <f t="shared" si="71"/>
        <v>35379.994650000001</v>
      </c>
      <c r="AB42" t="s">
        <v>491</v>
      </c>
      <c r="AC42" t="s">
        <v>492</v>
      </c>
      <c r="AD42" s="160" t="s">
        <v>496</v>
      </c>
    </row>
    <row r="43" spans="1:36">
      <c r="A43" s="160"/>
      <c r="B43" s="160"/>
      <c r="AB43" s="166">
        <f>X7/1000</f>
        <v>89504.766400000008</v>
      </c>
      <c r="AC43" s="166">
        <f>Y7/1000</f>
        <v>154678.7996</v>
      </c>
      <c r="AD43" s="147">
        <f>(AC43-AB43)/AB43</f>
        <v>0.72816270933253879</v>
      </c>
    </row>
    <row r="44" spans="1:36">
      <c r="A44" s="160"/>
    </row>
    <row r="45" spans="1:36">
      <c r="A45" s="160"/>
    </row>
    <row r="46" spans="1:36">
      <c r="A46" s="160"/>
      <c r="B46" s="144" t="s">
        <v>605</v>
      </c>
      <c r="C46" s="144" t="s">
        <v>491</v>
      </c>
      <c r="D46" s="144" t="s">
        <v>606</v>
      </c>
      <c r="G46" s="144" t="s">
        <v>605</v>
      </c>
      <c r="H46" s="144" t="s">
        <v>491</v>
      </c>
      <c r="I46" s="144" t="s">
        <v>606</v>
      </c>
      <c r="J46" s="144"/>
      <c r="N46" s="144"/>
      <c r="R46" s="144"/>
      <c r="V46" s="144"/>
    </row>
    <row r="47" spans="1:36">
      <c r="A47" s="160" t="s">
        <v>633</v>
      </c>
      <c r="B47" s="163">
        <f>W32</f>
        <v>360564.50322000001</v>
      </c>
      <c r="C47" s="163">
        <f t="shared" ref="C47:D47" si="89">X32</f>
        <v>483851.03678999998</v>
      </c>
      <c r="D47" s="163">
        <f t="shared" si="89"/>
        <v>429944.08256999997</v>
      </c>
      <c r="G47" s="147">
        <f>B47/$B$53</f>
        <v>0.81887035427601729</v>
      </c>
      <c r="H47" s="147">
        <f>C47/$C$53</f>
        <v>0.81895128729236899</v>
      </c>
      <c r="I47" s="147">
        <f>D47/$D$53</f>
        <v>0.80466945033588499</v>
      </c>
      <c r="J47" s="147"/>
      <c r="N47" s="147"/>
      <c r="R47" s="147"/>
      <c r="V47" s="147"/>
    </row>
    <row r="48" spans="1:36">
      <c r="A48" s="160" t="s">
        <v>634</v>
      </c>
      <c r="B48" s="163">
        <f>W33</f>
        <v>29812.369410000003</v>
      </c>
      <c r="C48" s="163">
        <f t="shared" ref="C48:D48" si="90">X33</f>
        <v>39892.562910000001</v>
      </c>
      <c r="D48" s="163">
        <f t="shared" si="90"/>
        <v>32914.095119999991</v>
      </c>
      <c r="G48" s="147">
        <f t="shared" ref="G48:G52" si="91">B48/$B$53</f>
        <v>6.7706236422498942E-2</v>
      </c>
      <c r="H48" s="147">
        <f t="shared" ref="H48:H52" si="92">C48/$C$53</f>
        <v>6.7520917109692394E-2</v>
      </c>
      <c r="I48" s="147">
        <f t="shared" ref="I48:I52" si="93">D48/$D$53</f>
        <v>6.1600956734184989E-2</v>
      </c>
      <c r="J48" s="147"/>
      <c r="N48" s="147"/>
      <c r="R48" s="147"/>
      <c r="V48" s="147"/>
    </row>
    <row r="49" spans="1:30">
      <c r="A49" s="160" t="s">
        <v>428</v>
      </c>
      <c r="B49" s="163">
        <f>W42</f>
        <v>24778.798589999999</v>
      </c>
      <c r="C49" s="163">
        <f t="shared" ref="C49:D49" si="94">X42</f>
        <v>33242.789579999997</v>
      </c>
      <c r="D49" s="163">
        <f t="shared" si="94"/>
        <v>35379.994650000001</v>
      </c>
      <c r="G49" s="147">
        <f t="shared" si="91"/>
        <v>5.6274601073381211E-2</v>
      </c>
      <c r="H49" s="147">
        <f t="shared" si="92"/>
        <v>5.6265716614649207E-2</v>
      </c>
      <c r="I49" s="147">
        <f t="shared" si="93"/>
        <v>6.621605460348888E-2</v>
      </c>
      <c r="J49" s="147"/>
      <c r="N49" s="147"/>
      <c r="R49" s="147"/>
      <c r="V49" s="147"/>
    </row>
    <row r="50" spans="1:30">
      <c r="A50" t="s">
        <v>635</v>
      </c>
      <c r="B50" s="39">
        <f>W41</f>
        <v>123.63351</v>
      </c>
      <c r="C50" s="39">
        <f t="shared" ref="C50:D50" si="95">X41</f>
        <v>165.92667</v>
      </c>
      <c r="D50" s="39">
        <f t="shared" si="95"/>
        <v>118.21173000000002</v>
      </c>
      <c r="G50" s="147">
        <f t="shared" si="91"/>
        <v>2.8078142809392307E-4</v>
      </c>
      <c r="H50" s="155">
        <f t="shared" si="92"/>
        <v>2.8084234539237535E-4</v>
      </c>
      <c r="I50" s="155">
        <f t="shared" si="93"/>
        <v>2.21241253592244E-4</v>
      </c>
      <c r="J50" s="155"/>
      <c r="N50" s="155"/>
      <c r="R50" s="155"/>
      <c r="V50" s="155"/>
    </row>
    <row r="51" spans="1:30">
      <c r="A51" s="160" t="s">
        <v>636</v>
      </c>
      <c r="B51" s="163">
        <f>W34+W35</f>
        <v>2485.3127899999999</v>
      </c>
      <c r="C51" s="163">
        <f t="shared" ref="C51:D51" si="96">X34+X35</f>
        <v>3335.6324299999997</v>
      </c>
      <c r="D51" s="163">
        <f t="shared" si="96"/>
        <v>5270.2900499999996</v>
      </c>
      <c r="G51" s="147">
        <f t="shared" si="91"/>
        <v>5.6443408784260215E-3</v>
      </c>
      <c r="H51" s="147">
        <f t="shared" si="92"/>
        <v>5.645788196726109E-3</v>
      </c>
      <c r="I51" s="147">
        <f t="shared" si="93"/>
        <v>9.8637045364003226E-3</v>
      </c>
      <c r="J51" s="147"/>
      <c r="N51" s="147"/>
      <c r="R51" s="147"/>
      <c r="V51" s="147"/>
    </row>
    <row r="52" spans="1:30">
      <c r="A52" s="160" t="s">
        <v>637</v>
      </c>
      <c r="B52" s="163">
        <f>W36+W37+W38</f>
        <v>22554.782659999997</v>
      </c>
      <c r="C52" s="163">
        <f t="shared" ref="C52:D52" si="97">X36+X37+X38</f>
        <v>30329.899149999997</v>
      </c>
      <c r="D52" s="163">
        <f t="shared" si="97"/>
        <v>30684.753250000002</v>
      </c>
      <c r="G52" s="147">
        <f t="shared" si="91"/>
        <v>5.1223685921582683E-2</v>
      </c>
      <c r="H52" s="147">
        <f t="shared" si="92"/>
        <v>5.1335448441171098E-2</v>
      </c>
      <c r="I52" s="147">
        <f t="shared" si="93"/>
        <v>5.742859253644865E-2</v>
      </c>
      <c r="J52" s="147"/>
      <c r="N52" s="147"/>
      <c r="R52" s="147"/>
      <c r="V52" s="147"/>
    </row>
    <row r="53" spans="1:30">
      <c r="B53" s="98">
        <f>SUM(B47:B52)</f>
        <v>440319.40018</v>
      </c>
      <c r="C53" s="98">
        <f t="shared" ref="C53:D53" si="98">SUM(C47:C52)</f>
        <v>590817.84752999991</v>
      </c>
      <c r="D53" s="98">
        <f t="shared" si="98"/>
        <v>534311.42736999993</v>
      </c>
    </row>
    <row r="61" spans="1:30">
      <c r="AB61" s="160" t="s">
        <v>524</v>
      </c>
    </row>
    <row r="62" spans="1:30">
      <c r="AB62" t="s">
        <v>491</v>
      </c>
      <c r="AC62" t="s">
        <v>492</v>
      </c>
      <c r="AD62" s="160" t="s">
        <v>496</v>
      </c>
    </row>
    <row r="63" spans="1:30">
      <c r="AB63" s="166">
        <f>X11</f>
        <v>850760.11785000004</v>
      </c>
      <c r="AC63" s="166">
        <f>Y11</f>
        <v>749752.00065000018</v>
      </c>
      <c r="AD63" s="155">
        <f>(AC63-AB63)/AB63</f>
        <v>-0.11872690677515856</v>
      </c>
    </row>
  </sheetData>
  <mergeCells count="6">
    <mergeCell ref="C1:E1"/>
    <mergeCell ref="G1:I1"/>
    <mergeCell ref="K1:M1"/>
    <mergeCell ref="W1:Y1"/>
    <mergeCell ref="O1:Q1"/>
    <mergeCell ref="S1:U1"/>
  </mergeCells>
  <phoneticPr fontId="35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752CD-C540-4838-9ADA-37E2AC3A9C92}">
  <dimension ref="A1:AP81"/>
  <sheetViews>
    <sheetView workbookViewId="0">
      <pane xSplit="2" ySplit="1" topLeftCell="C81" activePane="bottomRight" state="frozen"/>
      <selection pane="bottomRight" activeCell="C81" sqref="C81"/>
      <selection pane="bottomLeft" activeCell="A2" sqref="A2"/>
      <selection pane="topRight" activeCell="G1" sqref="G1"/>
    </sheetView>
  </sheetViews>
  <sheetFormatPr defaultColWidth="8.85546875" defaultRowHeight="14.45"/>
  <cols>
    <col min="1" max="1" width="48.42578125" customWidth="1"/>
    <col min="2" max="2" width="16.28515625" bestFit="1" customWidth="1"/>
    <col min="3" max="6" width="16.7109375" bestFit="1" customWidth="1"/>
    <col min="7" max="7" width="17.7109375" bestFit="1" customWidth="1"/>
    <col min="8" max="8" width="16.7109375" bestFit="1" customWidth="1"/>
    <col min="9" max="9" width="14.140625" customWidth="1"/>
    <col min="10" max="10" width="13.28515625" customWidth="1"/>
    <col min="11" max="11" width="12.85546875" customWidth="1"/>
    <col min="12" max="14" width="18.7109375" bestFit="1" customWidth="1"/>
    <col min="15" max="17" width="17.7109375" bestFit="1" customWidth="1"/>
    <col min="18" max="18" width="15" bestFit="1" customWidth="1"/>
    <col min="21" max="22" width="13.5703125" bestFit="1" customWidth="1"/>
    <col min="24" max="24" width="13.5703125" bestFit="1" customWidth="1"/>
    <col min="26" max="28" width="13.5703125" bestFit="1" customWidth="1"/>
    <col min="30" max="30" width="13.5703125" bestFit="1" customWidth="1"/>
    <col min="32" max="32" width="13.5703125" bestFit="1" customWidth="1"/>
    <col min="34" max="34" width="13.5703125" bestFit="1" customWidth="1"/>
    <col min="36" max="36" width="13.5703125" bestFit="1" customWidth="1"/>
    <col min="37" max="37" width="10" bestFit="1" customWidth="1"/>
    <col min="38" max="38" width="13.5703125" bestFit="1" customWidth="1"/>
    <col min="39" max="39" width="10" bestFit="1" customWidth="1"/>
    <col min="40" max="40" width="13.5703125" bestFit="1" customWidth="1"/>
    <col min="41" max="41" width="10" bestFit="1" customWidth="1"/>
    <col min="42" max="42" width="13.5703125" bestFit="1" customWidth="1"/>
    <col min="43" max="43" width="10" bestFit="1" customWidth="1"/>
    <col min="44" max="44" width="15" bestFit="1" customWidth="1"/>
    <col min="45" max="45" width="10" bestFit="1" customWidth="1"/>
    <col min="46" max="46" width="15" bestFit="1" customWidth="1"/>
    <col min="47" max="47" width="10" bestFit="1" customWidth="1"/>
    <col min="48" max="48" width="13.5703125" bestFit="1" customWidth="1"/>
    <col min="50" max="50" width="13.5703125" bestFit="1" customWidth="1"/>
    <col min="52" max="52" width="13.7109375" bestFit="1" customWidth="1"/>
  </cols>
  <sheetData>
    <row r="1" spans="1:42" s="29" customFormat="1" ht="28.9">
      <c r="A1" s="29" t="s">
        <v>386</v>
      </c>
      <c r="B1" s="29" t="s">
        <v>394</v>
      </c>
      <c r="C1" s="218" t="s">
        <v>534</v>
      </c>
      <c r="D1" s="218" t="s">
        <v>535</v>
      </c>
      <c r="E1" s="218" t="s">
        <v>536</v>
      </c>
      <c r="F1" s="223" t="s">
        <v>537</v>
      </c>
      <c r="G1" s="223" t="s">
        <v>538</v>
      </c>
      <c r="H1" s="225" t="s">
        <v>539</v>
      </c>
      <c r="I1" s="229" t="s">
        <v>540</v>
      </c>
      <c r="J1" s="229" t="s">
        <v>541</v>
      </c>
      <c r="K1" s="231" t="s">
        <v>542</v>
      </c>
      <c r="L1" s="233" t="s">
        <v>543</v>
      </c>
      <c r="M1" s="233" t="s">
        <v>544</v>
      </c>
      <c r="N1" s="233" t="s">
        <v>545</v>
      </c>
      <c r="O1" s="235" t="s">
        <v>546</v>
      </c>
      <c r="P1" s="237" t="s">
        <v>547</v>
      </c>
      <c r="Q1" s="237" t="s">
        <v>548</v>
      </c>
    </row>
    <row r="2" spans="1:42">
      <c r="A2" t="s">
        <v>451</v>
      </c>
      <c r="B2" t="s">
        <v>430</v>
      </c>
      <c r="C2">
        <v>332.39</v>
      </c>
      <c r="D2">
        <v>413.82</v>
      </c>
      <c r="E2">
        <v>489.21</v>
      </c>
      <c r="F2">
        <v>704.17</v>
      </c>
      <c r="G2">
        <v>908.54</v>
      </c>
      <c r="H2" s="159">
        <v>1111.8</v>
      </c>
      <c r="I2" s="159">
        <v>1220.52</v>
      </c>
      <c r="J2" s="159">
        <v>1574.7</v>
      </c>
      <c r="K2" s="159">
        <v>2001.83</v>
      </c>
      <c r="L2" s="159">
        <v>36990.949999999997</v>
      </c>
      <c r="M2" s="159">
        <v>49874.28</v>
      </c>
      <c r="N2" s="159">
        <v>55042.400000000001</v>
      </c>
      <c r="O2" s="159">
        <v>4355.04</v>
      </c>
      <c r="P2" s="159">
        <v>5757.33</v>
      </c>
      <c r="Q2" s="159">
        <v>6751.51</v>
      </c>
      <c r="R2" s="121"/>
      <c r="T2" s="121"/>
      <c r="V2" s="121"/>
      <c r="X2" s="121"/>
      <c r="Y2" s="159"/>
      <c r="Z2" s="121"/>
      <c r="AA2" s="159"/>
      <c r="AB2" s="121"/>
      <c r="AC2" s="159"/>
      <c r="AD2" s="121"/>
      <c r="AE2" s="159"/>
      <c r="AF2" s="121"/>
      <c r="AG2" s="159"/>
      <c r="AH2" s="121"/>
      <c r="AI2" s="159"/>
      <c r="AJ2" s="121"/>
      <c r="AK2" s="159"/>
      <c r="AL2" s="121"/>
      <c r="AM2" s="159"/>
      <c r="AN2" s="121"/>
      <c r="AO2" s="159"/>
      <c r="AP2" s="121"/>
    </row>
    <row r="3" spans="1:42">
      <c r="A3" t="s">
        <v>452</v>
      </c>
      <c r="B3" t="s">
        <v>430</v>
      </c>
      <c r="C3">
        <v>679.81</v>
      </c>
      <c r="D3">
        <v>846.37</v>
      </c>
      <c r="E3">
        <v>757.22</v>
      </c>
      <c r="F3" s="159">
        <v>1384.45</v>
      </c>
      <c r="G3" s="159">
        <v>1786.27</v>
      </c>
      <c r="H3" s="159">
        <v>1644.34</v>
      </c>
      <c r="I3" s="159">
        <v>2351.7399999999998</v>
      </c>
      <c r="J3" s="159">
        <v>3034.14</v>
      </c>
      <c r="K3" s="159">
        <v>2955.16</v>
      </c>
      <c r="L3" s="159">
        <v>62826.86</v>
      </c>
      <c r="M3" s="159">
        <v>84711.97</v>
      </c>
      <c r="N3" s="159">
        <v>78410.83</v>
      </c>
      <c r="O3" s="159">
        <v>7489.2</v>
      </c>
      <c r="P3" s="159">
        <v>9900.6299999999992</v>
      </c>
      <c r="Q3" s="159">
        <v>9694.94</v>
      </c>
      <c r="R3" s="121"/>
      <c r="T3" s="121"/>
      <c r="V3" s="121"/>
      <c r="X3" s="121"/>
      <c r="Y3" s="159"/>
      <c r="Z3" s="121"/>
      <c r="AA3" s="159"/>
      <c r="AB3" s="121"/>
      <c r="AC3" s="159"/>
      <c r="AD3" s="121"/>
      <c r="AE3" s="159"/>
      <c r="AF3" s="121"/>
      <c r="AG3" s="159"/>
      <c r="AH3" s="121"/>
      <c r="AI3" s="159"/>
      <c r="AJ3" s="121"/>
      <c r="AK3" s="159"/>
      <c r="AL3" s="121"/>
      <c r="AM3" s="159"/>
      <c r="AN3" s="121"/>
      <c r="AO3" s="159"/>
      <c r="AP3" s="121"/>
    </row>
    <row r="4" spans="1:42">
      <c r="A4" t="s">
        <v>453</v>
      </c>
      <c r="B4" t="s">
        <v>430</v>
      </c>
      <c r="C4">
        <v>543.66999999999996</v>
      </c>
      <c r="D4">
        <v>676.85</v>
      </c>
      <c r="E4">
        <v>434.14</v>
      </c>
      <c r="F4" s="159">
        <v>1062.51</v>
      </c>
      <c r="G4" s="159">
        <v>1370.88</v>
      </c>
      <c r="H4">
        <v>858.09</v>
      </c>
      <c r="I4" s="159">
        <v>1828.58</v>
      </c>
      <c r="J4" s="159">
        <v>2359.21</v>
      </c>
      <c r="K4" s="159">
        <v>1562.07</v>
      </c>
      <c r="L4" s="159">
        <v>41721.57</v>
      </c>
      <c r="M4" s="159">
        <v>56252.49</v>
      </c>
      <c r="N4" s="159">
        <v>37999.67</v>
      </c>
      <c r="O4" s="159">
        <v>4911.99</v>
      </c>
      <c r="P4" s="159">
        <v>6493.61</v>
      </c>
      <c r="Q4" s="159">
        <v>4614.67</v>
      </c>
      <c r="R4" s="121"/>
      <c r="T4" s="121"/>
      <c r="V4" s="121"/>
      <c r="X4" s="121"/>
      <c r="Y4" s="159"/>
      <c r="Z4" s="121"/>
      <c r="AA4" s="159"/>
      <c r="AB4" s="121"/>
      <c r="AC4" s="159"/>
      <c r="AD4" s="121"/>
      <c r="AE4" s="159"/>
      <c r="AF4" s="121"/>
      <c r="AG4" s="159"/>
      <c r="AH4" s="121"/>
      <c r="AI4" s="159"/>
      <c r="AJ4" s="121"/>
      <c r="AK4" s="159"/>
      <c r="AL4" s="121"/>
      <c r="AM4" s="159"/>
      <c r="AN4" s="121"/>
      <c r="AO4" s="159"/>
      <c r="AP4" s="121"/>
    </row>
    <row r="5" spans="1:42">
      <c r="A5" t="s">
        <v>454</v>
      </c>
      <c r="B5" t="s">
        <v>430</v>
      </c>
      <c r="C5">
        <v>36.549999999999997</v>
      </c>
      <c r="D5">
        <v>45.47</v>
      </c>
      <c r="E5">
        <v>42.95</v>
      </c>
      <c r="F5">
        <v>71.44</v>
      </c>
      <c r="G5">
        <v>92.15</v>
      </c>
      <c r="H5">
        <v>84.94</v>
      </c>
      <c r="I5">
        <v>171.43</v>
      </c>
      <c r="J5">
        <v>221.23</v>
      </c>
      <c r="K5">
        <v>203.43</v>
      </c>
      <c r="L5" s="159">
        <v>4246.1499999999996</v>
      </c>
      <c r="M5" s="159">
        <v>5719.48</v>
      </c>
      <c r="N5" s="159">
        <v>4953.8900000000003</v>
      </c>
      <c r="O5">
        <v>356.92</v>
      </c>
      <c r="P5">
        <v>471.89</v>
      </c>
      <c r="Q5">
        <v>430.03</v>
      </c>
      <c r="R5" s="121"/>
      <c r="T5" s="121"/>
      <c r="V5" s="121"/>
      <c r="X5" s="121"/>
      <c r="Y5" s="159"/>
      <c r="Z5" s="121"/>
      <c r="AA5" s="159"/>
      <c r="AB5" s="121"/>
      <c r="AC5" s="159"/>
      <c r="AD5" s="121"/>
      <c r="AE5" s="159"/>
      <c r="AF5" s="121"/>
      <c r="AG5" s="159"/>
      <c r="AH5" s="121"/>
      <c r="AI5" s="159"/>
      <c r="AJ5" s="121"/>
      <c r="AL5" s="121"/>
      <c r="AN5" s="121"/>
      <c r="AP5" s="121"/>
    </row>
    <row r="6" spans="1:42">
      <c r="A6" s="139" t="s">
        <v>429</v>
      </c>
      <c r="B6" t="s">
        <v>430</v>
      </c>
      <c r="C6" s="159">
        <v>2936.99</v>
      </c>
      <c r="D6" s="159">
        <v>3656.41</v>
      </c>
      <c r="E6" s="159">
        <v>3344.82</v>
      </c>
      <c r="F6" s="159">
        <v>5850.27</v>
      </c>
      <c r="G6" s="159">
        <v>7548.13</v>
      </c>
      <c r="H6" s="159">
        <v>6903.77</v>
      </c>
      <c r="I6" s="159">
        <v>10429.66</v>
      </c>
      <c r="J6" s="159">
        <v>13456.27</v>
      </c>
      <c r="K6" s="159">
        <v>12601.78</v>
      </c>
      <c r="L6" s="159">
        <v>265857.63</v>
      </c>
      <c r="M6" s="159">
        <v>358444.31</v>
      </c>
      <c r="N6" s="159">
        <v>319434.78999999998</v>
      </c>
      <c r="O6" s="159">
        <v>31118.36</v>
      </c>
      <c r="P6" s="159">
        <v>41138.26</v>
      </c>
      <c r="Q6" s="159">
        <v>38699.85</v>
      </c>
      <c r="R6" s="121"/>
      <c r="S6" s="159"/>
      <c r="T6" s="121"/>
      <c r="U6" s="159"/>
      <c r="V6" s="121"/>
      <c r="W6" s="159"/>
      <c r="X6" s="121"/>
      <c r="Y6" s="159"/>
      <c r="Z6" s="121"/>
      <c r="AA6" s="159"/>
      <c r="AB6" s="121"/>
      <c r="AC6" s="159"/>
      <c r="AD6" s="121"/>
      <c r="AE6" s="159"/>
      <c r="AF6" s="121"/>
      <c r="AG6" s="159"/>
      <c r="AH6" s="121"/>
      <c r="AI6" s="159"/>
      <c r="AJ6" s="121"/>
      <c r="AK6" s="159"/>
      <c r="AL6" s="121"/>
      <c r="AM6" s="159"/>
      <c r="AN6" s="121"/>
      <c r="AO6" s="159"/>
      <c r="AP6" s="121"/>
    </row>
    <row r="7" spans="1:42">
      <c r="A7" t="s">
        <v>455</v>
      </c>
      <c r="B7" t="s">
        <v>430</v>
      </c>
      <c r="C7">
        <v>414.04</v>
      </c>
      <c r="D7">
        <v>515.46</v>
      </c>
      <c r="E7">
        <v>519.07000000000005</v>
      </c>
      <c r="F7">
        <v>842.04</v>
      </c>
      <c r="G7" s="159">
        <v>1086.42</v>
      </c>
      <c r="H7" s="159">
        <v>1123.6300000000001</v>
      </c>
      <c r="I7" s="159">
        <v>1544.46</v>
      </c>
      <c r="J7" s="159">
        <v>1992.64</v>
      </c>
      <c r="K7" s="159">
        <v>2045.44</v>
      </c>
      <c r="L7" s="159">
        <v>41125.11</v>
      </c>
      <c r="M7" s="159">
        <v>55448.29</v>
      </c>
      <c r="N7" s="159">
        <v>54084.01</v>
      </c>
      <c r="O7" s="159">
        <v>4841.7700000000004</v>
      </c>
      <c r="P7" s="159">
        <v>6400.78</v>
      </c>
      <c r="Q7" s="159">
        <v>6567.95</v>
      </c>
      <c r="R7" s="121"/>
      <c r="T7" s="121"/>
      <c r="V7" s="121"/>
      <c r="X7" s="121"/>
      <c r="Y7" s="159"/>
      <c r="Z7" s="121"/>
      <c r="AA7" s="159"/>
      <c r="AB7" s="121"/>
      <c r="AC7" s="159"/>
      <c r="AD7" s="121"/>
      <c r="AE7" s="159"/>
      <c r="AF7" s="121"/>
      <c r="AG7" s="159"/>
      <c r="AH7" s="121"/>
      <c r="AI7" s="159"/>
      <c r="AJ7" s="121"/>
      <c r="AK7" s="159"/>
      <c r="AL7" s="121"/>
      <c r="AM7" s="159"/>
      <c r="AN7" s="121"/>
      <c r="AO7" s="159"/>
      <c r="AP7" s="121"/>
    </row>
    <row r="8" spans="1:42">
      <c r="A8" t="s">
        <v>456</v>
      </c>
      <c r="B8" t="s">
        <v>430</v>
      </c>
      <c r="C8">
        <v>414.04</v>
      </c>
      <c r="D8">
        <v>515.46</v>
      </c>
      <c r="E8">
        <v>519.07000000000005</v>
      </c>
      <c r="F8">
        <v>842.04</v>
      </c>
      <c r="G8" s="159">
        <v>1086.42</v>
      </c>
      <c r="H8" s="159">
        <v>1123.6300000000001</v>
      </c>
      <c r="I8" s="159">
        <v>1544.46</v>
      </c>
      <c r="J8" s="159">
        <v>1992.64</v>
      </c>
      <c r="K8" s="159">
        <v>2045.44</v>
      </c>
      <c r="L8" s="159">
        <v>41125.11</v>
      </c>
      <c r="M8" s="159">
        <v>55448.29</v>
      </c>
      <c r="N8" s="159">
        <v>54084.01</v>
      </c>
      <c r="O8" s="159">
        <v>4841.7700000000004</v>
      </c>
      <c r="P8" s="159">
        <v>6400.78</v>
      </c>
      <c r="Q8" s="159">
        <v>6567.95</v>
      </c>
      <c r="R8" s="121"/>
      <c r="T8" s="121"/>
      <c r="V8" s="121"/>
      <c r="X8" s="121"/>
      <c r="Y8" s="159"/>
      <c r="Z8" s="121"/>
      <c r="AA8" s="159"/>
      <c r="AB8" s="121"/>
      <c r="AC8" s="159"/>
      <c r="AD8" s="121"/>
      <c r="AE8" s="159"/>
      <c r="AF8" s="121"/>
      <c r="AG8" s="159"/>
      <c r="AH8" s="121"/>
      <c r="AI8" s="159"/>
      <c r="AJ8" s="121"/>
      <c r="AK8" s="159"/>
      <c r="AL8" s="121"/>
      <c r="AM8" s="159"/>
      <c r="AN8" s="121"/>
      <c r="AO8" s="159"/>
      <c r="AP8" s="121"/>
    </row>
    <row r="9" spans="1:42">
      <c r="A9" t="s">
        <v>460</v>
      </c>
      <c r="B9" t="s">
        <v>426</v>
      </c>
      <c r="C9" s="159">
        <v>392635.48</v>
      </c>
      <c r="D9" s="159">
        <v>488817</v>
      </c>
      <c r="E9" s="159">
        <v>655182.91</v>
      </c>
      <c r="F9" s="159">
        <v>744867.48</v>
      </c>
      <c r="G9" s="159">
        <v>961046.19</v>
      </c>
      <c r="H9" s="159">
        <v>1335164.25</v>
      </c>
      <c r="I9" s="159">
        <v>1330711.82</v>
      </c>
      <c r="J9" s="159">
        <v>1716864.85</v>
      </c>
      <c r="K9" s="159">
        <v>2510395.0499999998</v>
      </c>
      <c r="L9" s="159">
        <v>40330613.990000002</v>
      </c>
      <c r="M9" s="159">
        <v>54377084.350000001</v>
      </c>
      <c r="N9" s="159">
        <v>69026058.109999999</v>
      </c>
      <c r="O9" s="159">
        <v>4748231.25</v>
      </c>
      <c r="P9" s="159">
        <v>6277120.2599999998</v>
      </c>
      <c r="Q9" s="159">
        <v>9227756.4000000004</v>
      </c>
      <c r="R9" s="121"/>
      <c r="S9" s="159"/>
      <c r="T9" s="121"/>
      <c r="U9" s="159"/>
      <c r="V9" s="121"/>
      <c r="W9" s="159"/>
      <c r="X9" s="121"/>
      <c r="Y9" s="159"/>
      <c r="Z9" s="121"/>
      <c r="AA9" s="159"/>
      <c r="AB9" s="121"/>
      <c r="AC9" s="159"/>
      <c r="AD9" s="121"/>
      <c r="AE9" s="159"/>
      <c r="AF9" s="121"/>
      <c r="AG9" s="159"/>
      <c r="AH9" s="121"/>
      <c r="AI9" s="159"/>
      <c r="AJ9" s="121"/>
      <c r="AK9" s="159"/>
      <c r="AL9" s="121"/>
      <c r="AM9" s="159"/>
      <c r="AN9" s="121"/>
      <c r="AO9" s="159"/>
      <c r="AP9" s="121"/>
    </row>
    <row r="10" spans="1:42">
      <c r="A10" t="s">
        <v>461</v>
      </c>
      <c r="B10" t="s">
        <v>426</v>
      </c>
      <c r="C10" s="159">
        <v>932169.06</v>
      </c>
      <c r="D10" s="159">
        <v>1160550.67</v>
      </c>
      <c r="E10" s="159">
        <v>1158009.28</v>
      </c>
      <c r="F10" s="159">
        <v>1694353.29</v>
      </c>
      <c r="G10" s="159">
        <v>2186115.75</v>
      </c>
      <c r="H10" s="159">
        <v>2246743.34</v>
      </c>
      <c r="I10" s="159">
        <v>2948741.64</v>
      </c>
      <c r="J10" s="159">
        <v>3804375.6</v>
      </c>
      <c r="K10" s="159">
        <v>4224675.5</v>
      </c>
      <c r="L10" s="159">
        <v>78775929.329999998</v>
      </c>
      <c r="M10" s="159">
        <v>106216739.92</v>
      </c>
      <c r="N10" s="159">
        <v>112095561.55</v>
      </c>
      <c r="O10" s="159">
        <v>9390395.2100000009</v>
      </c>
      <c r="P10" s="159">
        <v>12413978.220000001</v>
      </c>
      <c r="Q10" s="159">
        <v>15026468.300000001</v>
      </c>
      <c r="R10" s="121"/>
      <c r="S10" s="159"/>
      <c r="T10" s="121"/>
      <c r="U10" s="159"/>
      <c r="V10" s="121"/>
      <c r="W10" s="159"/>
      <c r="X10" s="121"/>
      <c r="Y10" s="159"/>
      <c r="Z10" s="121"/>
      <c r="AA10" s="159"/>
      <c r="AB10" s="121"/>
      <c r="AC10" s="159"/>
      <c r="AD10" s="121"/>
      <c r="AE10" s="159"/>
      <c r="AF10" s="121"/>
      <c r="AG10" s="159"/>
      <c r="AH10" s="121"/>
      <c r="AI10" s="159"/>
      <c r="AJ10" s="121"/>
      <c r="AK10" s="159"/>
      <c r="AL10" s="121"/>
      <c r="AM10" s="159"/>
      <c r="AN10" s="121"/>
      <c r="AO10" s="159"/>
      <c r="AP10" s="121"/>
    </row>
    <row r="11" spans="1:42">
      <c r="A11" t="s">
        <v>462</v>
      </c>
      <c r="B11" t="s">
        <v>463</v>
      </c>
      <c r="C11" s="159">
        <v>5636041.8399999999</v>
      </c>
      <c r="D11" s="159">
        <v>7016576.0199999996</v>
      </c>
      <c r="E11" s="159">
        <v>6890920.04</v>
      </c>
      <c r="F11" s="159">
        <v>10447421.07</v>
      </c>
      <c r="G11" s="159">
        <v>13479447.060000001</v>
      </c>
      <c r="H11" s="159">
        <v>13527257.77</v>
      </c>
      <c r="I11" s="159">
        <v>19548502.489999998</v>
      </c>
      <c r="J11" s="159">
        <v>25221367.460000001</v>
      </c>
      <c r="K11" s="159">
        <v>26357837.239999998</v>
      </c>
      <c r="L11" s="159">
        <v>536619333.05000001</v>
      </c>
      <c r="M11" s="159">
        <v>723495563.37</v>
      </c>
      <c r="N11" s="159">
        <v>614316411.20000005</v>
      </c>
      <c r="O11" s="159">
        <v>62681706.299999997</v>
      </c>
      <c r="P11" s="159">
        <v>82864849.439999998</v>
      </c>
      <c r="Q11" s="159">
        <v>86506449.560000002</v>
      </c>
      <c r="R11" s="121"/>
      <c r="S11" s="159"/>
      <c r="T11" s="121"/>
      <c r="U11" s="159"/>
      <c r="V11" s="121"/>
      <c r="W11" s="159"/>
      <c r="X11" s="121"/>
      <c r="Y11" s="159"/>
      <c r="Z11" s="121"/>
      <c r="AA11" s="159"/>
      <c r="AB11" s="121"/>
      <c r="AC11" s="159"/>
      <c r="AD11" s="121"/>
      <c r="AE11" s="159"/>
      <c r="AF11" s="121"/>
      <c r="AG11" s="159"/>
      <c r="AH11" s="121"/>
      <c r="AI11" s="159"/>
      <c r="AJ11" s="121"/>
      <c r="AK11" s="159"/>
      <c r="AL11" s="121"/>
      <c r="AM11" s="159"/>
      <c r="AN11" s="121"/>
      <c r="AO11" s="159"/>
      <c r="AP11" s="121"/>
    </row>
    <row r="12" spans="1:42"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21"/>
      <c r="S12" s="159"/>
      <c r="T12" s="121"/>
      <c r="U12" s="159"/>
      <c r="V12" s="121"/>
      <c r="W12" s="159"/>
      <c r="X12" s="121"/>
      <c r="Y12" s="159"/>
      <c r="Z12" s="121"/>
      <c r="AA12" s="159"/>
      <c r="AB12" s="121"/>
      <c r="AC12" s="159"/>
      <c r="AD12" s="121"/>
      <c r="AE12" s="159"/>
      <c r="AF12" s="121"/>
      <c r="AG12" s="159"/>
      <c r="AH12" s="121"/>
      <c r="AI12" s="159"/>
      <c r="AJ12" s="121"/>
      <c r="AK12" s="159"/>
      <c r="AL12" s="121"/>
      <c r="AM12" s="159"/>
      <c r="AN12" s="121"/>
      <c r="AO12" s="159"/>
      <c r="AP12" s="121"/>
    </row>
    <row r="13" spans="1:42">
      <c r="A13" t="s">
        <v>532</v>
      </c>
      <c r="B13" t="s">
        <v>533</v>
      </c>
      <c r="C13" s="260" t="s">
        <v>534</v>
      </c>
      <c r="D13" s="260" t="s">
        <v>535</v>
      </c>
      <c r="E13" s="260" t="s">
        <v>536</v>
      </c>
      <c r="F13" s="170" t="s">
        <v>537</v>
      </c>
      <c r="G13" s="170" t="s">
        <v>538</v>
      </c>
      <c r="H13" s="170" t="s">
        <v>539</v>
      </c>
      <c r="I13" s="258" t="s">
        <v>540</v>
      </c>
      <c r="J13" s="257" t="s">
        <v>541</v>
      </c>
      <c r="K13" s="258" t="s">
        <v>542</v>
      </c>
      <c r="L13" s="259" t="s">
        <v>543</v>
      </c>
      <c r="M13" s="259" t="s">
        <v>544</v>
      </c>
      <c r="N13" s="259" t="s">
        <v>545</v>
      </c>
      <c r="O13" s="256" t="s">
        <v>546</v>
      </c>
      <c r="P13" s="256" t="s">
        <v>547</v>
      </c>
      <c r="Q13" s="256" t="s">
        <v>548</v>
      </c>
    </row>
    <row r="14" spans="1:42">
      <c r="A14" t="s">
        <v>555</v>
      </c>
      <c r="B14" t="s">
        <v>556</v>
      </c>
      <c r="C14">
        <v>300</v>
      </c>
      <c r="D14">
        <v>300</v>
      </c>
      <c r="E14">
        <v>330</v>
      </c>
      <c r="F14">
        <v>300</v>
      </c>
      <c r="G14">
        <v>300</v>
      </c>
      <c r="H14">
        <v>330</v>
      </c>
      <c r="I14">
        <v>300</v>
      </c>
      <c r="J14">
        <v>300</v>
      </c>
      <c r="K14">
        <v>345</v>
      </c>
      <c r="L14">
        <v>300</v>
      </c>
      <c r="M14">
        <v>300</v>
      </c>
      <c r="N14">
        <v>345</v>
      </c>
      <c r="O14">
        <v>300</v>
      </c>
      <c r="P14">
        <v>300</v>
      </c>
      <c r="Q14">
        <v>384</v>
      </c>
    </row>
    <row r="15" spans="1:42">
      <c r="A15" t="s">
        <v>557</v>
      </c>
      <c r="B15" t="s">
        <v>556</v>
      </c>
      <c r="C15">
        <v>350</v>
      </c>
      <c r="D15">
        <v>350</v>
      </c>
      <c r="E15">
        <v>386</v>
      </c>
      <c r="F15">
        <v>350</v>
      </c>
      <c r="G15">
        <v>350</v>
      </c>
      <c r="H15">
        <v>386</v>
      </c>
      <c r="I15">
        <v>350</v>
      </c>
      <c r="J15" s="159">
        <v>350</v>
      </c>
      <c r="K15">
        <v>402.5</v>
      </c>
      <c r="L15">
        <v>350</v>
      </c>
      <c r="M15">
        <v>350</v>
      </c>
      <c r="N15">
        <v>402.5</v>
      </c>
      <c r="O15">
        <v>350</v>
      </c>
      <c r="P15">
        <v>350</v>
      </c>
      <c r="Q15">
        <v>448</v>
      </c>
    </row>
    <row r="16" spans="1:42">
      <c r="A16" t="s">
        <v>558</v>
      </c>
      <c r="B16" t="s">
        <v>556</v>
      </c>
      <c r="C16">
        <v>195</v>
      </c>
      <c r="D16">
        <v>195</v>
      </c>
      <c r="E16">
        <v>215</v>
      </c>
      <c r="F16">
        <v>195</v>
      </c>
      <c r="G16">
        <v>195</v>
      </c>
      <c r="H16">
        <v>215</v>
      </c>
      <c r="I16">
        <v>195</v>
      </c>
      <c r="J16" s="159">
        <v>195</v>
      </c>
      <c r="K16">
        <v>224.25</v>
      </c>
      <c r="L16">
        <v>195</v>
      </c>
      <c r="M16">
        <v>195</v>
      </c>
      <c r="N16">
        <v>224.25</v>
      </c>
      <c r="O16">
        <v>195</v>
      </c>
      <c r="P16">
        <v>195</v>
      </c>
      <c r="Q16">
        <v>249.60000000000002</v>
      </c>
    </row>
    <row r="17" spans="1:42">
      <c r="A17" t="s">
        <v>559</v>
      </c>
      <c r="B17" t="s">
        <v>556</v>
      </c>
      <c r="C17">
        <v>231</v>
      </c>
      <c r="D17">
        <v>231</v>
      </c>
      <c r="E17">
        <v>254</v>
      </c>
      <c r="F17">
        <v>231</v>
      </c>
      <c r="G17">
        <v>231</v>
      </c>
      <c r="H17">
        <v>254</v>
      </c>
      <c r="I17">
        <v>231</v>
      </c>
      <c r="J17" s="159">
        <v>231</v>
      </c>
      <c r="K17">
        <v>265.64999999999998</v>
      </c>
      <c r="L17">
        <v>231</v>
      </c>
      <c r="M17">
        <v>231</v>
      </c>
      <c r="N17">
        <v>265.64999999999998</v>
      </c>
      <c r="O17">
        <v>231</v>
      </c>
      <c r="P17">
        <v>231</v>
      </c>
      <c r="Q17">
        <v>295.68</v>
      </c>
    </row>
    <row r="18" spans="1:42">
      <c r="A18" t="s">
        <v>560</v>
      </c>
      <c r="B18" t="s">
        <v>556</v>
      </c>
      <c r="C18">
        <v>361</v>
      </c>
      <c r="D18">
        <v>361</v>
      </c>
      <c r="E18">
        <v>440.00000000000006</v>
      </c>
      <c r="F18">
        <v>483</v>
      </c>
      <c r="G18">
        <v>483</v>
      </c>
      <c r="H18">
        <v>598</v>
      </c>
      <c r="I18">
        <v>483</v>
      </c>
      <c r="J18">
        <v>483</v>
      </c>
      <c r="K18">
        <v>850</v>
      </c>
      <c r="L18">
        <v>483</v>
      </c>
      <c r="M18">
        <v>483</v>
      </c>
      <c r="N18">
        <v>850</v>
      </c>
      <c r="O18">
        <v>483</v>
      </c>
      <c r="P18">
        <v>483</v>
      </c>
      <c r="Q18">
        <v>1764</v>
      </c>
    </row>
    <row r="19" spans="1:42">
      <c r="A19" t="s">
        <v>561</v>
      </c>
      <c r="B19" t="s">
        <v>430</v>
      </c>
      <c r="C19">
        <v>1311.2042374670327</v>
      </c>
      <c r="D19">
        <v>1632.4426651268841</v>
      </c>
      <c r="E19">
        <v>1581.100281139665</v>
      </c>
      <c r="F19">
        <v>2562.5446458324659</v>
      </c>
      <c r="G19">
        <v>3306.1514809727291</v>
      </c>
      <c r="H19">
        <v>3125.0824487673503</v>
      </c>
      <c r="I19">
        <v>4700.1211234836292</v>
      </c>
      <c r="J19">
        <v>6064.0162654057967</v>
      </c>
      <c r="K19">
        <v>5688.9497935246436</v>
      </c>
      <c r="L19">
        <v>116175.92769864024</v>
      </c>
      <c r="M19">
        <v>156638.01113854419</v>
      </c>
      <c r="N19">
        <v>138391.30156927483</v>
      </c>
      <c r="O19">
        <v>13677.718682472376</v>
      </c>
      <c r="P19">
        <v>18081.829905458057</v>
      </c>
      <c r="Q19">
        <v>16806.195121890774</v>
      </c>
    </row>
    <row r="20" spans="1:42">
      <c r="A20" t="s">
        <v>562</v>
      </c>
      <c r="B20" t="s">
        <v>430</v>
      </c>
      <c r="C20">
        <v>33.362640122987209</v>
      </c>
      <c r="D20">
        <v>41.536318753246633</v>
      </c>
      <c r="E20">
        <v>40.229949058064129</v>
      </c>
      <c r="F20">
        <v>65.202088564898958</v>
      </c>
      <c r="G20">
        <v>84.122624759705019</v>
      </c>
      <c r="H20">
        <v>79.515454658916269</v>
      </c>
      <c r="I20">
        <v>157.30973846699069</v>
      </c>
      <c r="J20">
        <v>202.9583467550155</v>
      </c>
      <c r="K20">
        <v>190.40513651867369</v>
      </c>
      <c r="L20">
        <v>3896.2306229409337</v>
      </c>
      <c r="M20">
        <v>5248.0820557545994</v>
      </c>
      <c r="N20">
        <v>4636.7347309832849</v>
      </c>
      <c r="O20">
        <v>327.53738751818548</v>
      </c>
      <c r="P20">
        <v>433.00169174932819</v>
      </c>
      <c r="Q20">
        <v>402.45433994771696</v>
      </c>
    </row>
    <row r="21" spans="1:42">
      <c r="A21" t="s">
        <v>638</v>
      </c>
      <c r="C21" s="121">
        <f t="shared" ref="C21:K21" si="0">C14/C16</f>
        <v>1.5384615384615385</v>
      </c>
      <c r="D21" s="121">
        <f t="shared" si="0"/>
        <v>1.5384615384615385</v>
      </c>
      <c r="E21" s="121">
        <f t="shared" si="0"/>
        <v>1.5348837209302326</v>
      </c>
      <c r="F21" s="121">
        <f t="shared" si="0"/>
        <v>1.5384615384615385</v>
      </c>
      <c r="G21" s="121">
        <f t="shared" si="0"/>
        <v>1.5384615384615385</v>
      </c>
      <c r="H21" s="121">
        <f t="shared" si="0"/>
        <v>1.5348837209302326</v>
      </c>
      <c r="I21" s="121">
        <f t="shared" si="0"/>
        <v>1.5384615384615385</v>
      </c>
      <c r="J21" s="121">
        <f t="shared" si="0"/>
        <v>1.5384615384615385</v>
      </c>
      <c r="K21" s="121">
        <f t="shared" si="0"/>
        <v>1.5384615384615385</v>
      </c>
      <c r="L21" s="121">
        <f>L14/L16</f>
        <v>1.5384615384615385</v>
      </c>
      <c r="M21" s="121">
        <f t="shared" ref="M21:Q21" si="1">M14/M16</f>
        <v>1.5384615384615385</v>
      </c>
      <c r="N21" s="121">
        <f t="shared" si="1"/>
        <v>1.5384615384615385</v>
      </c>
      <c r="O21" s="121">
        <f t="shared" si="1"/>
        <v>1.5384615384615385</v>
      </c>
      <c r="P21" s="121">
        <f t="shared" si="1"/>
        <v>1.5384615384615385</v>
      </c>
      <c r="Q21" s="121">
        <f t="shared" si="1"/>
        <v>1.5384615384615383</v>
      </c>
    </row>
    <row r="23" spans="1:42">
      <c r="A23" t="s">
        <v>639</v>
      </c>
      <c r="B23" t="s">
        <v>640</v>
      </c>
      <c r="C23">
        <f>C14*0.025</f>
        <v>7.5</v>
      </c>
      <c r="D23">
        <f t="shared" ref="D23:Q23" si="2">D14*0.025</f>
        <v>7.5</v>
      </c>
      <c r="E23">
        <f t="shared" si="2"/>
        <v>8.25</v>
      </c>
      <c r="F23">
        <f t="shared" si="2"/>
        <v>7.5</v>
      </c>
      <c r="G23">
        <f t="shared" si="2"/>
        <v>7.5</v>
      </c>
      <c r="H23">
        <f t="shared" si="2"/>
        <v>8.25</v>
      </c>
      <c r="I23">
        <f t="shared" si="2"/>
        <v>7.5</v>
      </c>
      <c r="J23">
        <f t="shared" si="2"/>
        <v>7.5</v>
      </c>
      <c r="K23">
        <f t="shared" si="2"/>
        <v>8.625</v>
      </c>
      <c r="L23">
        <f t="shared" si="2"/>
        <v>7.5</v>
      </c>
      <c r="M23">
        <f t="shared" si="2"/>
        <v>7.5</v>
      </c>
      <c r="N23">
        <f t="shared" si="2"/>
        <v>8.625</v>
      </c>
      <c r="O23">
        <f t="shared" si="2"/>
        <v>7.5</v>
      </c>
      <c r="P23">
        <f t="shared" si="2"/>
        <v>7.5</v>
      </c>
      <c r="Q23">
        <f t="shared" si="2"/>
        <v>9.6000000000000014</v>
      </c>
    </row>
    <row r="24" spans="1:42">
      <c r="A24" t="s">
        <v>641</v>
      </c>
      <c r="B24" t="s">
        <v>640</v>
      </c>
      <c r="C24">
        <f t="shared" ref="C24:Q26" si="3">C15*0.025</f>
        <v>8.75</v>
      </c>
      <c r="D24">
        <f t="shared" si="3"/>
        <v>8.75</v>
      </c>
      <c r="E24">
        <f t="shared" si="3"/>
        <v>9.65</v>
      </c>
      <c r="F24">
        <f t="shared" si="3"/>
        <v>8.75</v>
      </c>
      <c r="G24">
        <f t="shared" si="3"/>
        <v>8.75</v>
      </c>
      <c r="H24">
        <f t="shared" si="3"/>
        <v>9.65</v>
      </c>
      <c r="I24">
        <f t="shared" si="3"/>
        <v>8.75</v>
      </c>
      <c r="J24">
        <f t="shared" si="3"/>
        <v>8.75</v>
      </c>
      <c r="K24">
        <f t="shared" si="3"/>
        <v>10.0625</v>
      </c>
      <c r="L24">
        <f t="shared" si="3"/>
        <v>8.75</v>
      </c>
      <c r="M24">
        <f t="shared" si="3"/>
        <v>8.75</v>
      </c>
      <c r="N24">
        <f t="shared" si="3"/>
        <v>10.0625</v>
      </c>
      <c r="O24">
        <f t="shared" si="3"/>
        <v>8.75</v>
      </c>
      <c r="P24">
        <f t="shared" si="3"/>
        <v>8.75</v>
      </c>
      <c r="Q24">
        <f t="shared" si="3"/>
        <v>11.200000000000001</v>
      </c>
    </row>
    <row r="25" spans="1:42">
      <c r="A25" t="s">
        <v>642</v>
      </c>
      <c r="B25" t="s">
        <v>640</v>
      </c>
      <c r="C25">
        <f t="shared" si="3"/>
        <v>4.875</v>
      </c>
      <c r="D25">
        <f t="shared" si="3"/>
        <v>4.875</v>
      </c>
      <c r="E25">
        <f t="shared" si="3"/>
        <v>5.375</v>
      </c>
      <c r="F25">
        <f t="shared" si="3"/>
        <v>4.875</v>
      </c>
      <c r="G25">
        <f t="shared" si="3"/>
        <v>4.875</v>
      </c>
      <c r="H25">
        <f t="shared" si="3"/>
        <v>5.375</v>
      </c>
      <c r="I25">
        <f t="shared" si="3"/>
        <v>4.875</v>
      </c>
      <c r="J25">
        <f t="shared" si="3"/>
        <v>4.875</v>
      </c>
      <c r="K25">
        <f t="shared" si="3"/>
        <v>5.6062500000000002</v>
      </c>
      <c r="L25">
        <f t="shared" si="3"/>
        <v>4.875</v>
      </c>
      <c r="M25">
        <f t="shared" si="3"/>
        <v>4.875</v>
      </c>
      <c r="N25">
        <f t="shared" si="3"/>
        <v>5.6062500000000002</v>
      </c>
      <c r="O25">
        <f t="shared" si="3"/>
        <v>4.875</v>
      </c>
      <c r="P25">
        <f t="shared" si="3"/>
        <v>4.875</v>
      </c>
      <c r="Q25">
        <f t="shared" si="3"/>
        <v>6.2400000000000011</v>
      </c>
    </row>
    <row r="26" spans="1:42">
      <c r="A26" t="s">
        <v>643</v>
      </c>
      <c r="B26" t="s">
        <v>640</v>
      </c>
      <c r="C26">
        <f t="shared" si="3"/>
        <v>5.7750000000000004</v>
      </c>
      <c r="D26">
        <f t="shared" si="3"/>
        <v>5.7750000000000004</v>
      </c>
      <c r="E26">
        <f t="shared" si="3"/>
        <v>6.3500000000000005</v>
      </c>
      <c r="F26">
        <f t="shared" si="3"/>
        <v>5.7750000000000004</v>
      </c>
      <c r="G26">
        <f t="shared" si="3"/>
        <v>5.7750000000000004</v>
      </c>
      <c r="H26">
        <f t="shared" si="3"/>
        <v>6.3500000000000005</v>
      </c>
      <c r="I26">
        <f t="shared" si="3"/>
        <v>5.7750000000000004</v>
      </c>
      <c r="J26">
        <f t="shared" si="3"/>
        <v>5.7750000000000004</v>
      </c>
      <c r="K26">
        <f t="shared" si="3"/>
        <v>6.6412499999999994</v>
      </c>
      <c r="L26">
        <f t="shared" si="3"/>
        <v>5.7750000000000004</v>
      </c>
      <c r="M26">
        <f t="shared" si="3"/>
        <v>5.7750000000000004</v>
      </c>
      <c r="N26">
        <f t="shared" si="3"/>
        <v>6.6412499999999994</v>
      </c>
      <c r="O26">
        <f t="shared" si="3"/>
        <v>5.7750000000000004</v>
      </c>
      <c r="P26">
        <f t="shared" si="3"/>
        <v>5.7750000000000004</v>
      </c>
      <c r="Q26">
        <f t="shared" si="3"/>
        <v>7.3920000000000003</v>
      </c>
    </row>
    <row r="27" spans="1:42"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21"/>
      <c r="S27" s="159"/>
      <c r="T27" s="121"/>
      <c r="U27" s="159"/>
      <c r="V27" s="121"/>
      <c r="W27" s="159"/>
      <c r="X27" s="121"/>
      <c r="Y27" s="159"/>
      <c r="Z27" s="121"/>
      <c r="AA27" s="159"/>
      <c r="AB27" s="121"/>
      <c r="AC27" s="159"/>
      <c r="AD27" s="121"/>
      <c r="AE27" s="159"/>
      <c r="AF27" s="121"/>
      <c r="AG27" s="159"/>
      <c r="AH27" s="121"/>
      <c r="AI27" s="159"/>
      <c r="AJ27" s="121"/>
      <c r="AK27" s="159"/>
      <c r="AL27" s="121"/>
      <c r="AM27" s="159"/>
      <c r="AN27" s="121"/>
      <c r="AO27" s="159"/>
      <c r="AP27" s="121"/>
    </row>
    <row r="28" spans="1:42"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21"/>
      <c r="S28" s="159"/>
      <c r="T28" s="121"/>
      <c r="U28" s="159"/>
      <c r="V28" s="121"/>
      <c r="W28" s="159"/>
      <c r="X28" s="121"/>
      <c r="Y28" s="159"/>
      <c r="Z28" s="121"/>
      <c r="AA28" s="159"/>
      <c r="AB28" s="121"/>
      <c r="AC28" s="159"/>
      <c r="AD28" s="121"/>
      <c r="AE28" s="159"/>
      <c r="AF28" s="121"/>
      <c r="AG28" s="159"/>
      <c r="AH28" s="121"/>
      <c r="AI28" s="159"/>
      <c r="AJ28" s="121"/>
      <c r="AK28" s="159"/>
      <c r="AL28" s="121"/>
      <c r="AM28" s="159"/>
      <c r="AN28" s="121"/>
      <c r="AO28" s="159"/>
      <c r="AP28" s="121"/>
    </row>
    <row r="30" spans="1:42">
      <c r="A30" s="269" t="s">
        <v>644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</row>
    <row r="31" spans="1:42">
      <c r="A31" t="s">
        <v>645</v>
      </c>
      <c r="B31" t="s">
        <v>646</v>
      </c>
      <c r="N31" s="272">
        <f>(N9*0.05)/365</f>
        <v>9455.6243986301379</v>
      </c>
      <c r="Q31" s="118">
        <f>(Q9*0.05)/365</f>
        <v>1264.0762191780823</v>
      </c>
    </row>
    <row r="32" spans="1:42">
      <c r="A32" t="s">
        <v>647</v>
      </c>
      <c r="B32" t="s">
        <v>646</v>
      </c>
      <c r="N32" s="272">
        <f>(N10*0.05)/365</f>
        <v>15355.556376712331</v>
      </c>
      <c r="Q32" s="118">
        <f>(Q10*0.05)/365</f>
        <v>2058.4203150684934</v>
      </c>
    </row>
    <row r="33" spans="1:17">
      <c r="A33" t="s">
        <v>648</v>
      </c>
      <c r="B33" t="s">
        <v>646</v>
      </c>
      <c r="N33" s="272">
        <f>N31+N32</f>
        <v>24811.180775342469</v>
      </c>
      <c r="Q33" s="272">
        <f>Q31+Q32</f>
        <v>3322.4965342465757</v>
      </c>
    </row>
    <row r="34" spans="1:17" s="267" customFormat="1">
      <c r="A34" s="267" t="s">
        <v>649</v>
      </c>
      <c r="B34" s="267" t="s">
        <v>650</v>
      </c>
      <c r="N34" s="270">
        <f>N33/(N2+N3)</f>
        <v>0.18591667489308777</v>
      </c>
      <c r="Q34" s="270">
        <f>Q33/(Q2+Q3)</f>
        <v>0.2020190700270621</v>
      </c>
    </row>
    <row r="35" spans="1:17">
      <c r="A35" t="s">
        <v>645</v>
      </c>
      <c r="B35" t="s">
        <v>651</v>
      </c>
      <c r="N35" s="140">
        <f>N31/N2</f>
        <v>0.17178801067232058</v>
      </c>
      <c r="Q35" s="140">
        <f>Q31/Q2</f>
        <v>0.18722866724304374</v>
      </c>
    </row>
    <row r="36" spans="1:17">
      <c r="A36" t="s">
        <v>647</v>
      </c>
      <c r="B36" t="s">
        <v>651</v>
      </c>
      <c r="N36" s="140">
        <f>N32/N3</f>
        <v>0.19583463632144094</v>
      </c>
      <c r="Q36" s="140">
        <f>Q32/Q3</f>
        <v>0.21231903601966523</v>
      </c>
    </row>
    <row r="37" spans="1:17">
      <c r="A37" t="s">
        <v>652</v>
      </c>
      <c r="B37" t="s">
        <v>653</v>
      </c>
      <c r="C37" s="118">
        <f t="shared" ref="C37:P37" si="4">C9/C2</f>
        <v>1181.2493757333252</v>
      </c>
      <c r="D37" s="118">
        <f t="shared" si="4"/>
        <v>1181.2309699869509</v>
      </c>
      <c r="E37" s="118">
        <f t="shared" si="4"/>
        <v>1339.2672063122177</v>
      </c>
      <c r="F37" s="118">
        <f t="shared" si="4"/>
        <v>1057.7949642841927</v>
      </c>
      <c r="G37" s="118">
        <f t="shared" si="4"/>
        <v>1057.7918308494948</v>
      </c>
      <c r="H37" s="118">
        <f t="shared" si="4"/>
        <v>1200.903264975715</v>
      </c>
      <c r="I37" s="118">
        <f t="shared" si="4"/>
        <v>1090.2826827909416</v>
      </c>
      <c r="J37" s="118">
        <f t="shared" si="4"/>
        <v>1090.2805931288499</v>
      </c>
      <c r="K37" s="118">
        <f t="shared" si="4"/>
        <v>1254.0500691866941</v>
      </c>
      <c r="L37" s="118">
        <f t="shared" si="4"/>
        <v>1090.2832717191638</v>
      </c>
      <c r="M37" s="118">
        <f t="shared" si="4"/>
        <v>1090.2830948135993</v>
      </c>
      <c r="N37" s="118">
        <f t="shared" si="4"/>
        <v>1254.0524779079401</v>
      </c>
      <c r="O37" s="118">
        <f t="shared" si="4"/>
        <v>1090.2841879753114</v>
      </c>
      <c r="P37" s="118">
        <f t="shared" si="4"/>
        <v>1090.2832146151079</v>
      </c>
      <c r="Q37" s="118">
        <f>Q9/Q2</f>
        <v>1366.7692708742193</v>
      </c>
    </row>
    <row r="38" spans="1:17">
      <c r="A38" t="s">
        <v>654</v>
      </c>
      <c r="B38" t="s">
        <v>653</v>
      </c>
      <c r="C38" s="118">
        <f t="shared" ref="C38:P38" si="5">C10/C3</f>
        <v>1371.2199879378063</v>
      </c>
      <c r="D38" s="118">
        <f t="shared" si="5"/>
        <v>1371.2096010019259</v>
      </c>
      <c r="E38" s="118">
        <f t="shared" si="5"/>
        <v>1529.290404373894</v>
      </c>
      <c r="F38" s="118">
        <f t="shared" si="5"/>
        <v>1223.8457799126006</v>
      </c>
      <c r="G38" s="118">
        <f t="shared" si="5"/>
        <v>1223.8439597597228</v>
      </c>
      <c r="H38" s="118">
        <f t="shared" si="5"/>
        <v>1366.3496235571718</v>
      </c>
      <c r="I38" s="118">
        <f t="shared" si="5"/>
        <v>1253.8552901256094</v>
      </c>
      <c r="J38" s="118">
        <f t="shared" si="5"/>
        <v>1253.8563151337778</v>
      </c>
      <c r="K38" s="118">
        <f t="shared" si="5"/>
        <v>1429.5928139254729</v>
      </c>
      <c r="L38" s="118">
        <f t="shared" si="5"/>
        <v>1253.8574955043114</v>
      </c>
      <c r="M38" s="118">
        <f t="shared" si="5"/>
        <v>1253.8575117542421</v>
      </c>
      <c r="N38" s="118">
        <f t="shared" si="5"/>
        <v>1429.5928451465186</v>
      </c>
      <c r="O38" s="118">
        <f t="shared" si="5"/>
        <v>1253.8582505474551</v>
      </c>
      <c r="P38" s="118">
        <f t="shared" si="5"/>
        <v>1253.8574030137477</v>
      </c>
      <c r="Q38" s="118">
        <f>Q10/Q3</f>
        <v>1549.9289629435561</v>
      </c>
    </row>
    <row r="39" spans="1:17">
      <c r="A39" t="s">
        <v>655</v>
      </c>
      <c r="B39" t="s">
        <v>656</v>
      </c>
      <c r="C39" s="148">
        <f t="shared" ref="C39:P39" si="6">C37*C21</f>
        <v>1817.3067318974236</v>
      </c>
      <c r="D39" s="148">
        <f t="shared" si="6"/>
        <v>1817.2784153645398</v>
      </c>
      <c r="E39" s="148">
        <f t="shared" si="6"/>
        <v>2055.6194329443342</v>
      </c>
      <c r="F39" s="148">
        <f t="shared" si="6"/>
        <v>1627.3768681295273</v>
      </c>
      <c r="G39" s="148">
        <f t="shared" si="6"/>
        <v>1627.3720474607612</v>
      </c>
      <c r="H39" s="148">
        <f t="shared" si="6"/>
        <v>1843.2468718231905</v>
      </c>
      <c r="I39" s="148">
        <f t="shared" si="6"/>
        <v>1677.3579735245257</v>
      </c>
      <c r="J39" s="148">
        <f t="shared" si="6"/>
        <v>1677.3547586597692</v>
      </c>
      <c r="K39" s="148">
        <f t="shared" si="6"/>
        <v>1929.3077987487604</v>
      </c>
      <c r="L39" s="148">
        <f t="shared" si="6"/>
        <v>1677.3588795679445</v>
      </c>
      <c r="M39" s="148">
        <f t="shared" si="6"/>
        <v>1677.3586074055374</v>
      </c>
      <c r="N39" s="148">
        <f t="shared" si="6"/>
        <v>1929.3115044737542</v>
      </c>
      <c r="O39" s="148">
        <f t="shared" si="6"/>
        <v>1677.3602891927869</v>
      </c>
      <c r="P39" s="148">
        <f t="shared" si="6"/>
        <v>1677.3587917155508</v>
      </c>
      <c r="Q39" s="148">
        <f>Q37*Q21</f>
        <v>2102.7219551911062</v>
      </c>
    </row>
    <row r="40" spans="1:17">
      <c r="A40" t="s">
        <v>655</v>
      </c>
      <c r="B40" t="s">
        <v>657</v>
      </c>
      <c r="C40" s="118">
        <f t="shared" ref="C40:P40" si="7">C39/365</f>
        <v>4.9789225531436259</v>
      </c>
      <c r="D40" s="118">
        <f t="shared" si="7"/>
        <v>4.978844973601479</v>
      </c>
      <c r="E40" s="118">
        <f t="shared" si="7"/>
        <v>5.6318340628611896</v>
      </c>
      <c r="F40" s="118">
        <f t="shared" si="7"/>
        <v>4.4585667619987053</v>
      </c>
      <c r="G40" s="118">
        <f t="shared" si="7"/>
        <v>4.4585535546870174</v>
      </c>
      <c r="H40" s="118">
        <f t="shared" si="7"/>
        <v>5.049991429652577</v>
      </c>
      <c r="I40" s="118">
        <f t="shared" si="7"/>
        <v>4.595501297327468</v>
      </c>
      <c r="J40" s="118">
        <f t="shared" si="7"/>
        <v>4.5954924894788194</v>
      </c>
      <c r="K40" s="118">
        <f t="shared" si="7"/>
        <v>5.2857747910924946</v>
      </c>
      <c r="L40" s="118">
        <f t="shared" si="7"/>
        <v>4.5955037796382046</v>
      </c>
      <c r="M40" s="118">
        <f t="shared" si="7"/>
        <v>4.5955030339877734</v>
      </c>
      <c r="N40" s="118">
        <f t="shared" si="7"/>
        <v>5.2857849437637103</v>
      </c>
      <c r="O40" s="118">
        <f t="shared" si="7"/>
        <v>4.5955076416240734</v>
      </c>
      <c r="P40" s="118">
        <f t="shared" si="7"/>
        <v>4.5955035389467147</v>
      </c>
      <c r="Q40" s="118">
        <f>Q39/365</f>
        <v>5.7608820690167297</v>
      </c>
    </row>
    <row r="41" spans="1:17" s="161" customFormat="1">
      <c r="A41" s="161" t="s">
        <v>658</v>
      </c>
      <c r="N41" s="227">
        <f>N40/N14</f>
        <v>1.5321115779025247E-2</v>
      </c>
      <c r="Q41" s="227">
        <f>Q40/Q14</f>
        <v>1.5002297054731066E-2</v>
      </c>
    </row>
    <row r="42" spans="1:17" s="267" customFormat="1">
      <c r="A42" s="267" t="s">
        <v>659</v>
      </c>
      <c r="B42" s="281" t="s">
        <v>650</v>
      </c>
      <c r="N42" s="268">
        <f>N40*0.05</f>
        <v>0.26428924718818553</v>
      </c>
      <c r="Q42" s="268">
        <f>Q40*0.05</f>
        <v>0.28804410345083648</v>
      </c>
    </row>
    <row r="43" spans="1:17">
      <c r="A43" s="196" t="s">
        <v>660</v>
      </c>
      <c r="B43" s="279" t="s">
        <v>640</v>
      </c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280">
        <f>N42*N19</f>
        <v>36575.332909136807</v>
      </c>
      <c r="O43" s="280"/>
      <c r="P43" s="280"/>
      <c r="Q43" s="280">
        <f>Q42*Q19</f>
        <v>4840.9254063048493</v>
      </c>
    </row>
    <row r="45" spans="1:17">
      <c r="B45" s="154"/>
      <c r="N45" s="118"/>
      <c r="Q45" s="118"/>
    </row>
    <row r="46" spans="1:17">
      <c r="A46" s="269" t="s">
        <v>278</v>
      </c>
      <c r="B46" s="200"/>
      <c r="L46" s="200"/>
      <c r="M46" s="200"/>
      <c r="N46" s="200"/>
      <c r="O46" s="200"/>
      <c r="P46" s="200"/>
      <c r="Q46" s="200"/>
    </row>
    <row r="48" spans="1:17">
      <c r="A48" t="s">
        <v>661</v>
      </c>
      <c r="B48" t="s">
        <v>646</v>
      </c>
      <c r="L48" s="118">
        <f>(L9*0.05)/365</f>
        <v>5524.741642465754</v>
      </c>
      <c r="M48" s="118">
        <f t="shared" ref="M48" si="8">(M9*0.05)/365</f>
        <v>7448.9156643835622</v>
      </c>
      <c r="N48" s="118">
        <f>(N9*0.07)/365</f>
        <v>13237.874158082193</v>
      </c>
      <c r="O48" s="118">
        <f t="shared" ref="O48:P48" si="9">(O9*0.05)/365</f>
        <v>650.44263698630141</v>
      </c>
      <c r="P48" s="118">
        <f t="shared" si="9"/>
        <v>859.87948767123282</v>
      </c>
      <c r="Q48" s="118">
        <f>(Q9*0.08)/365</f>
        <v>2022.5219506849314</v>
      </c>
    </row>
    <row r="49" spans="1:17">
      <c r="A49" t="s">
        <v>662</v>
      </c>
      <c r="B49" t="s">
        <v>646</v>
      </c>
      <c r="L49" s="118">
        <f>(L10*0.05)/365</f>
        <v>10791.22319589041</v>
      </c>
      <c r="M49" s="118">
        <f t="shared" ref="M49" si="10">(M10*0.05)/365</f>
        <v>14550.23834520548</v>
      </c>
      <c r="N49" s="118">
        <f>(N10*0.07)/365</f>
        <v>21497.778927397259</v>
      </c>
      <c r="O49" s="118">
        <f t="shared" ref="O49:P49" si="11">(O10*0.05)/365</f>
        <v>1286.3555082191783</v>
      </c>
      <c r="P49" s="118">
        <f t="shared" si="11"/>
        <v>1700.5449616438359</v>
      </c>
      <c r="Q49" s="118">
        <f>(Q10*0.08)/365</f>
        <v>3293.4725041095894</v>
      </c>
    </row>
    <row r="50" spans="1:17">
      <c r="A50" t="s">
        <v>663</v>
      </c>
      <c r="B50" t="s">
        <v>646</v>
      </c>
      <c r="L50" s="118">
        <f>L48+L49</f>
        <v>16315.964838356165</v>
      </c>
      <c r="M50" s="118">
        <f t="shared" ref="M50:Q50" si="12">M48+M49</f>
        <v>21999.154009589041</v>
      </c>
      <c r="N50" s="118">
        <f t="shared" si="12"/>
        <v>34735.653085479455</v>
      </c>
      <c r="O50" s="118">
        <f t="shared" si="12"/>
        <v>1936.7981452054796</v>
      </c>
      <c r="P50" s="118">
        <f t="shared" si="12"/>
        <v>2560.4244493150686</v>
      </c>
      <c r="Q50" s="118">
        <f t="shared" si="12"/>
        <v>5315.9944547945206</v>
      </c>
    </row>
    <row r="51" spans="1:17" s="267" customFormat="1">
      <c r="A51" s="267" t="s">
        <v>664</v>
      </c>
      <c r="B51" s="267" t="s">
        <v>651</v>
      </c>
      <c r="L51" s="268">
        <f>L50/(L2+L3)</f>
        <v>0.16345745151447588</v>
      </c>
      <c r="M51" s="268">
        <f t="shared" ref="M51:Q51" si="13">M50/(M2+M3)</f>
        <v>0.16345766383704904</v>
      </c>
      <c r="N51" s="268">
        <f t="shared" si="13"/>
        <v>0.26028334485032284</v>
      </c>
      <c r="O51" s="268">
        <f t="shared" si="13"/>
        <v>0.16352236574110957</v>
      </c>
      <c r="P51" s="268">
        <f t="shared" si="13"/>
        <v>0.16352222443505213</v>
      </c>
      <c r="Q51" s="268">
        <f t="shared" si="13"/>
        <v>0.32323051204329933</v>
      </c>
    </row>
    <row r="52" spans="1:17">
      <c r="A52" t="s">
        <v>661</v>
      </c>
      <c r="B52" t="s">
        <v>651</v>
      </c>
      <c r="L52" s="118">
        <f>L48/L2</f>
        <v>0.14935387283824164</v>
      </c>
      <c r="M52" s="118">
        <f t="shared" ref="M52:N52" si="14">M48/M2</f>
        <v>0.14935384860460266</v>
      </c>
      <c r="N52" s="118">
        <f t="shared" si="14"/>
        <v>0.24050321494124879</v>
      </c>
      <c r="O52" s="118">
        <f t="shared" ref="O52:Q52" si="15">O48/O2</f>
        <v>0.1493539983527824</v>
      </c>
      <c r="P52" s="118">
        <f t="shared" si="15"/>
        <v>0.14935386501576822</v>
      </c>
      <c r="Q52" s="118">
        <f t="shared" si="15"/>
        <v>0.29956586758886994</v>
      </c>
    </row>
    <row r="53" spans="1:17">
      <c r="A53" t="s">
        <v>662</v>
      </c>
      <c r="B53" t="s">
        <v>651</v>
      </c>
      <c r="L53" s="118">
        <f>L49/L3</f>
        <v>0.17176130075401524</v>
      </c>
      <c r="M53" s="118">
        <f t="shared" ref="M53:N53" si="16">M49/M3</f>
        <v>0.17176130298003317</v>
      </c>
      <c r="N53" s="118">
        <f t="shared" si="16"/>
        <v>0.27416849085001727</v>
      </c>
      <c r="O53" s="118">
        <f t="shared" ref="O53:Q53" si="17">O49/O3</f>
        <v>0.17176140418458291</v>
      </c>
      <c r="P53" s="118">
        <f t="shared" si="17"/>
        <v>0.17176128808407506</v>
      </c>
      <c r="Q53" s="118">
        <f t="shared" si="17"/>
        <v>0.3397104576314644</v>
      </c>
    </row>
    <row r="54" spans="1:17">
      <c r="A54" t="s">
        <v>652</v>
      </c>
      <c r="B54" t="s">
        <v>653</v>
      </c>
      <c r="L54" s="118">
        <f>L9/L2</f>
        <v>1090.2832717191638</v>
      </c>
      <c r="M54" s="118">
        <f t="shared" ref="M54:N54" si="18">M9/M2</f>
        <v>1090.2830948135993</v>
      </c>
      <c r="N54" s="118">
        <f t="shared" si="18"/>
        <v>1254.0524779079401</v>
      </c>
      <c r="O54" s="118">
        <f t="shared" ref="O54:Q54" si="19">O9/O2</f>
        <v>1090.2841879753114</v>
      </c>
      <c r="P54" s="118">
        <f t="shared" si="19"/>
        <v>1090.2832146151079</v>
      </c>
      <c r="Q54" s="118">
        <f t="shared" si="19"/>
        <v>1366.7692708742193</v>
      </c>
    </row>
    <row r="55" spans="1:17">
      <c r="A55" t="s">
        <v>654</v>
      </c>
      <c r="B55" t="s">
        <v>653</v>
      </c>
      <c r="L55" s="118">
        <f>L10/L3</f>
        <v>1253.8574955043114</v>
      </c>
      <c r="M55" s="118">
        <f t="shared" ref="M55:N55" si="20">M10/M3</f>
        <v>1253.8575117542421</v>
      </c>
      <c r="N55" s="118">
        <f t="shared" si="20"/>
        <v>1429.5928451465186</v>
      </c>
      <c r="O55" s="118">
        <f t="shared" ref="O55:Q55" si="21">O10/O3</f>
        <v>1253.8582505474551</v>
      </c>
      <c r="P55" s="118">
        <f t="shared" si="21"/>
        <v>1253.8574030137477</v>
      </c>
      <c r="Q55" s="118">
        <f t="shared" si="21"/>
        <v>1549.9289629435561</v>
      </c>
    </row>
    <row r="56" spans="1:17">
      <c r="A56" t="s">
        <v>655</v>
      </c>
      <c r="B56" t="s">
        <v>656</v>
      </c>
      <c r="L56" s="118">
        <f>L54*L21</f>
        <v>1677.3588795679445</v>
      </c>
      <c r="M56" s="118">
        <f t="shared" ref="M56:N56" si="22">M54*M21</f>
        <v>1677.3586074055374</v>
      </c>
      <c r="N56" s="118">
        <f t="shared" si="22"/>
        <v>1929.3115044737542</v>
      </c>
      <c r="O56" s="118">
        <f t="shared" ref="O56:Q56" si="23">O54*O21</f>
        <v>1677.3602891927869</v>
      </c>
      <c r="P56" s="118">
        <f t="shared" si="23"/>
        <v>1677.3587917155508</v>
      </c>
      <c r="Q56" s="118">
        <f t="shared" si="23"/>
        <v>2102.7219551911062</v>
      </c>
    </row>
    <row r="57" spans="1:17">
      <c r="A57" t="s">
        <v>655</v>
      </c>
      <c r="B57" t="s">
        <v>657</v>
      </c>
      <c r="L57" s="118">
        <f>L56/365</f>
        <v>4.5955037796382046</v>
      </c>
      <c r="M57" s="118">
        <f t="shared" ref="M57:N57" si="24">M56/365</f>
        <v>4.5955030339877734</v>
      </c>
      <c r="N57" s="118">
        <f t="shared" si="24"/>
        <v>5.2857849437637103</v>
      </c>
      <c r="O57" s="118">
        <f t="shared" ref="O57" si="25">O56/365</f>
        <v>4.5955076416240734</v>
      </c>
      <c r="P57" s="118">
        <f t="shared" ref="P57" si="26">P56/365</f>
        <v>4.5955035389467147</v>
      </c>
      <c r="Q57" s="118">
        <f t="shared" ref="Q57" si="27">Q56/365</f>
        <v>5.7608820690167297</v>
      </c>
    </row>
    <row r="60" spans="1:17" s="267" customFormat="1">
      <c r="A60" s="267" t="s">
        <v>665</v>
      </c>
      <c r="B60" s="281" t="s">
        <v>650</v>
      </c>
      <c r="L60" s="268">
        <f>L57*0.05</f>
        <v>0.22977518898191024</v>
      </c>
      <c r="M60" s="268">
        <f t="shared" ref="M60" si="28">M57*0.05</f>
        <v>0.22977515169938867</v>
      </c>
      <c r="N60" s="268">
        <f>N57*0.07</f>
        <v>0.37000494606345974</v>
      </c>
      <c r="O60" s="268">
        <f>O57*0.05</f>
        <v>0.22977538208120368</v>
      </c>
      <c r="P60" s="268">
        <f>P57*0.05</f>
        <v>0.22977517694733574</v>
      </c>
      <c r="Q60" s="268">
        <f>Q57*0.08</f>
        <v>0.46087056552133837</v>
      </c>
    </row>
    <row r="61" spans="1:17">
      <c r="A61" s="196" t="s">
        <v>666</v>
      </c>
      <c r="B61" s="279" t="s">
        <v>640</v>
      </c>
      <c r="L61" s="282">
        <f>L60*L19</f>
        <v>26694.3457421038</v>
      </c>
      <c r="M61" s="282">
        <f t="shared" ref="M61:N61" si="29">M60*M19</f>
        <v>35991.522771249525</v>
      </c>
      <c r="N61" s="282">
        <f t="shared" si="29"/>
        <v>51205.466072791525</v>
      </c>
      <c r="O61" s="282">
        <f t="shared" ref="O61" si="30">O60*O19</f>
        <v>3142.803036264308</v>
      </c>
      <c r="P61" s="282">
        <f t="shared" ref="P61" si="31">P60*P19</f>
        <v>4154.7556660582522</v>
      </c>
      <c r="Q61" s="282">
        <f t="shared" ref="Q61" si="32">Q60*Q19</f>
        <v>7745.4806500877594</v>
      </c>
    </row>
    <row r="64" spans="1:17" s="200" customFormat="1">
      <c r="A64" s="250" t="s">
        <v>667</v>
      </c>
      <c r="B64" s="249" t="s">
        <v>556</v>
      </c>
      <c r="C64" s="249">
        <f t="shared" ref="C64:K64" si="33">(C14*C19)+(C15*C20)+(C16*C2)+(C3*C17)</f>
        <v>626890.35528315534</v>
      </c>
      <c r="D64" s="249">
        <f t="shared" si="33"/>
        <v>780476.88110170153</v>
      </c>
      <c r="E64" s="249">
        <f t="shared" si="33"/>
        <v>834805.88311250217</v>
      </c>
      <c r="F64" s="249">
        <f t="shared" si="33"/>
        <v>1248705.2247474545</v>
      </c>
      <c r="G64" s="249">
        <f t="shared" si="33"/>
        <v>1611082.0329577154</v>
      </c>
      <c r="H64" s="249">
        <f t="shared" si="33"/>
        <v>1718669.5335915671</v>
      </c>
      <c r="I64" s="249">
        <f t="shared" si="33"/>
        <v>2246348.0855085352</v>
      </c>
      <c r="J64" s="249">
        <f t="shared" si="33"/>
        <v>2898193.1409859946</v>
      </c>
      <c r="K64" s="249">
        <f t="shared" si="33"/>
        <v>3273274.3777147681</v>
      </c>
      <c r="L64" s="249">
        <f t="shared" ref="L64:Q64" si="34">(L14*L19)+(L15*L20)+(L16*L2)+(L3*L17)</f>
        <v>57942698.9376214</v>
      </c>
      <c r="M64" s="249">
        <f t="shared" si="34"/>
        <v>78122181.731077373</v>
      </c>
      <c r="N64" s="249">
        <f t="shared" si="34"/>
        <v>82784379.960120589</v>
      </c>
      <c r="O64" s="249">
        <f t="shared" si="34"/>
        <v>6797191.6903730771</v>
      </c>
      <c r="P64" s="249">
        <f t="shared" si="34"/>
        <v>8985824.4437496811</v>
      </c>
      <c r="Q64" s="249">
        <f t="shared" si="34"/>
        <v>11185655.226302635</v>
      </c>
    </row>
    <row r="65" spans="1:17" s="284" customFormat="1">
      <c r="A65" s="283" t="s">
        <v>668</v>
      </c>
      <c r="B65" s="284" t="s">
        <v>136</v>
      </c>
      <c r="C65" s="285">
        <f t="shared" ref="C65" si="35">(C11/C64)/365</f>
        <v>2.463143736447089E-2</v>
      </c>
      <c r="D65" s="285">
        <f t="shared" ref="D65" si="36">(D11/D64)/365</f>
        <v>2.4630448909735897E-2</v>
      </c>
      <c r="E65" s="285">
        <f t="shared" ref="E65" si="37">(E11/E64)/365</f>
        <v>2.2615117320342507E-2</v>
      </c>
      <c r="F65" s="285">
        <f t="shared" ref="F65" si="38">(F11/F64)/365</f>
        <v>2.2922200417994112E-2</v>
      </c>
      <c r="G65" s="285">
        <f t="shared" ref="G65" si="39">(G11/G64)/365</f>
        <v>2.292247768253446E-2</v>
      </c>
      <c r="H65" s="285">
        <f t="shared" ref="H65" si="40">(H11/H64)/365</f>
        <v>2.1563761658317828E-2</v>
      </c>
      <c r="I65" s="285">
        <f t="shared" ref="I65" si="41">(I11/I64)/365</f>
        <v>2.3842048974510831E-2</v>
      </c>
      <c r="J65" s="285">
        <f t="shared" ref="J65" si="42">(J11/J64)/365</f>
        <v>2.384231606220831E-2</v>
      </c>
      <c r="K65" s="285">
        <f t="shared" ref="K65" si="43">(K11/K64)/365</f>
        <v>2.2061472513264943E-2</v>
      </c>
      <c r="L65" s="285">
        <f t="shared" ref="L65:Q65" si="44">(L11/L64)/365</f>
        <v>2.5373170054511729E-2</v>
      </c>
      <c r="M65" s="285">
        <f t="shared" si="44"/>
        <v>2.5372814503498594E-2</v>
      </c>
      <c r="N65" s="285">
        <f t="shared" si="44"/>
        <v>2.0330630749818883E-2</v>
      </c>
      <c r="O65" s="285">
        <f t="shared" si="44"/>
        <v>2.5264949116412964E-2</v>
      </c>
      <c r="P65" s="285">
        <f t="shared" si="44"/>
        <v>2.5265014489019719E-2</v>
      </c>
      <c r="Q65" s="285">
        <f t="shared" si="44"/>
        <v>2.1188206377034991E-2</v>
      </c>
    </row>
    <row r="67" spans="1:17">
      <c r="A67" s="29" t="s">
        <v>669</v>
      </c>
    </row>
    <row r="68" spans="1:17">
      <c r="A68" t="s">
        <v>285</v>
      </c>
      <c r="B68" s="286" t="s">
        <v>670</v>
      </c>
      <c r="C68">
        <v>0</v>
      </c>
      <c r="D68">
        <v>0</v>
      </c>
      <c r="E68">
        <v>30</v>
      </c>
      <c r="F68">
        <v>15</v>
      </c>
      <c r="G68">
        <v>15</v>
      </c>
      <c r="H68">
        <v>30</v>
      </c>
      <c r="I68">
        <v>0</v>
      </c>
      <c r="J68">
        <v>0</v>
      </c>
      <c r="K68">
        <v>30</v>
      </c>
      <c r="L68">
        <v>15</v>
      </c>
      <c r="M68">
        <v>15</v>
      </c>
      <c r="N68">
        <v>35</v>
      </c>
      <c r="O68">
        <v>15</v>
      </c>
      <c r="P68">
        <v>15</v>
      </c>
      <c r="Q68">
        <v>35</v>
      </c>
    </row>
    <row r="69" spans="1:17">
      <c r="A69" t="s">
        <v>288</v>
      </c>
      <c r="B69" s="286" t="s">
        <v>670</v>
      </c>
      <c r="C69">
        <v>0</v>
      </c>
      <c r="D69">
        <v>0</v>
      </c>
      <c r="E69">
        <v>0</v>
      </c>
      <c r="F69">
        <v>0</v>
      </c>
      <c r="G69">
        <v>0</v>
      </c>
      <c r="H69">
        <v>10</v>
      </c>
      <c r="I69">
        <v>0</v>
      </c>
      <c r="J69">
        <v>0</v>
      </c>
      <c r="K69">
        <v>15</v>
      </c>
      <c r="L69">
        <v>0</v>
      </c>
      <c r="M69">
        <v>0</v>
      </c>
      <c r="N69">
        <v>15</v>
      </c>
      <c r="O69">
        <v>0</v>
      </c>
      <c r="P69">
        <v>0</v>
      </c>
      <c r="Q69">
        <v>15</v>
      </c>
    </row>
    <row r="70" spans="1:17">
      <c r="A70" t="s">
        <v>671</v>
      </c>
      <c r="B70" s="286" t="s">
        <v>670</v>
      </c>
      <c r="C70">
        <f>C68+C69</f>
        <v>0</v>
      </c>
      <c r="D70">
        <f t="shared" ref="D70:Q70" si="45">D68+D69</f>
        <v>0</v>
      </c>
      <c r="E70">
        <f t="shared" si="45"/>
        <v>30</v>
      </c>
      <c r="F70">
        <f t="shared" si="45"/>
        <v>15</v>
      </c>
      <c r="G70">
        <f t="shared" si="45"/>
        <v>15</v>
      </c>
      <c r="H70">
        <f t="shared" si="45"/>
        <v>40</v>
      </c>
      <c r="I70">
        <f t="shared" si="45"/>
        <v>0</v>
      </c>
      <c r="J70">
        <f t="shared" si="45"/>
        <v>0</v>
      </c>
      <c r="K70">
        <f t="shared" si="45"/>
        <v>45</v>
      </c>
      <c r="L70">
        <f t="shared" si="45"/>
        <v>15</v>
      </c>
      <c r="M70">
        <f t="shared" si="45"/>
        <v>15</v>
      </c>
      <c r="N70">
        <f t="shared" si="45"/>
        <v>50</v>
      </c>
      <c r="O70">
        <f t="shared" si="45"/>
        <v>15</v>
      </c>
      <c r="P70">
        <f t="shared" si="45"/>
        <v>15</v>
      </c>
      <c r="Q70">
        <f t="shared" si="45"/>
        <v>50</v>
      </c>
    </row>
    <row r="71" spans="1:17">
      <c r="A71" t="s">
        <v>672</v>
      </c>
      <c r="B71" t="s">
        <v>656</v>
      </c>
      <c r="C71" s="118">
        <f t="shared" ref="C71:P71" si="46">(C56*C70)/100</f>
        <v>0</v>
      </c>
      <c r="D71" s="118">
        <f t="shared" si="46"/>
        <v>0</v>
      </c>
      <c r="E71" s="118">
        <f t="shared" si="46"/>
        <v>0</v>
      </c>
      <c r="F71" s="118">
        <f t="shared" si="46"/>
        <v>0</v>
      </c>
      <c r="G71" s="118">
        <f t="shared" si="46"/>
        <v>0</v>
      </c>
      <c r="H71" s="118">
        <f t="shared" si="46"/>
        <v>0</v>
      </c>
      <c r="I71" s="118">
        <f t="shared" si="46"/>
        <v>0</v>
      </c>
      <c r="J71" s="118">
        <f t="shared" si="46"/>
        <v>0</v>
      </c>
      <c r="K71" s="118">
        <f t="shared" si="46"/>
        <v>0</v>
      </c>
      <c r="L71" s="118">
        <f t="shared" si="46"/>
        <v>251.60383193519166</v>
      </c>
      <c r="M71" s="118">
        <f t="shared" si="46"/>
        <v>251.6037911108306</v>
      </c>
      <c r="N71" s="118">
        <f t="shared" si="46"/>
        <v>964.65575223687711</v>
      </c>
      <c r="O71" s="118">
        <f t="shared" si="46"/>
        <v>251.60404337891802</v>
      </c>
      <c r="P71" s="118">
        <f t="shared" si="46"/>
        <v>251.60381875733262</v>
      </c>
      <c r="Q71" s="118">
        <f>(Q56*Q70)/100</f>
        <v>1051.3609775955531</v>
      </c>
    </row>
    <row r="72" spans="1:17">
      <c r="A72" t="s">
        <v>672</v>
      </c>
      <c r="B72" t="s">
        <v>657</v>
      </c>
      <c r="C72" s="118">
        <f t="shared" ref="C72" si="47">C71/365</f>
        <v>0</v>
      </c>
      <c r="D72" s="118">
        <f t="shared" ref="D72" si="48">D71/365</f>
        <v>0</v>
      </c>
      <c r="E72" s="118">
        <f t="shared" ref="E72" si="49">E71/365</f>
        <v>0</v>
      </c>
      <c r="F72" s="118">
        <f t="shared" ref="F72" si="50">F71/365</f>
        <v>0</v>
      </c>
      <c r="G72" s="118">
        <f t="shared" ref="G72" si="51">G71/365</f>
        <v>0</v>
      </c>
      <c r="H72" s="118">
        <f t="shared" ref="H72" si="52">H71/365</f>
        <v>0</v>
      </c>
      <c r="I72" s="118">
        <f t="shared" ref="I72" si="53">I71/365</f>
        <v>0</v>
      </c>
      <c r="J72" s="118">
        <f t="shared" ref="J72" si="54">J71/365</f>
        <v>0</v>
      </c>
      <c r="K72" s="118">
        <f t="shared" ref="K72" si="55">K71/365</f>
        <v>0</v>
      </c>
      <c r="L72" s="118">
        <f t="shared" ref="L72" si="56">L71/365</f>
        <v>0.68932556694573055</v>
      </c>
      <c r="M72" s="118">
        <f t="shared" ref="M72" si="57">M71/365</f>
        <v>0.68932545509816601</v>
      </c>
      <c r="N72" s="118">
        <f t="shared" ref="N72" si="58">N71/365</f>
        <v>2.6428924718818552</v>
      </c>
      <c r="O72" s="118">
        <f t="shared" ref="O72" si="59">O71/365</f>
        <v>0.68932614624361099</v>
      </c>
      <c r="P72" s="118">
        <f t="shared" ref="P72" si="60">P71/365</f>
        <v>0.68932553084200721</v>
      </c>
      <c r="Q72" s="118">
        <f t="shared" ref="Q72" si="61">Q71/365</f>
        <v>2.8804410345083649</v>
      </c>
    </row>
    <row r="73" spans="1:17">
      <c r="A73" t="s">
        <v>672</v>
      </c>
      <c r="B73" t="s">
        <v>673</v>
      </c>
      <c r="C73" s="148">
        <f t="shared" ref="C73:P73" si="62">(C71*C19)/1000</f>
        <v>0</v>
      </c>
      <c r="D73" s="148">
        <f t="shared" si="62"/>
        <v>0</v>
      </c>
      <c r="E73" s="148">
        <f t="shared" si="62"/>
        <v>0</v>
      </c>
      <c r="F73" s="148">
        <f t="shared" si="62"/>
        <v>0</v>
      </c>
      <c r="G73" s="148">
        <f t="shared" si="62"/>
        <v>0</v>
      </c>
      <c r="H73" s="148">
        <f t="shared" si="62"/>
        <v>0</v>
      </c>
      <c r="I73" s="148">
        <f t="shared" si="62"/>
        <v>0</v>
      </c>
      <c r="J73" s="148">
        <f t="shared" si="62"/>
        <v>0</v>
      </c>
      <c r="K73" s="148">
        <f t="shared" si="62"/>
        <v>0</v>
      </c>
      <c r="L73" s="148">
        <f t="shared" si="62"/>
        <v>29230.308587603657</v>
      </c>
      <c r="M73" s="148">
        <f t="shared" si="62"/>
        <v>39410.717434518228</v>
      </c>
      <c r="N73" s="148">
        <f t="shared" si="62"/>
        <v>133499.96511834933</v>
      </c>
      <c r="O73" s="148">
        <f t="shared" si="62"/>
        <v>3441.3693247094175</v>
      </c>
      <c r="P73" s="148">
        <f t="shared" si="62"/>
        <v>4549.4574543337858</v>
      </c>
      <c r="Q73" s="148">
        <f>(Q71*Q19)/1000</f>
        <v>17669.377733012698</v>
      </c>
    </row>
    <row r="74" spans="1:17">
      <c r="A74" t="s">
        <v>674</v>
      </c>
      <c r="B74" t="s">
        <v>673</v>
      </c>
      <c r="C74" s="148">
        <f t="shared" ref="C74:P74" si="63">(((C9+C10)*C70)/100)/1000</f>
        <v>0</v>
      </c>
      <c r="D74" s="148">
        <f t="shared" si="63"/>
        <v>0</v>
      </c>
      <c r="E74" s="148">
        <f t="shared" si="63"/>
        <v>543.95765700000004</v>
      </c>
      <c r="F74" s="148">
        <f t="shared" si="63"/>
        <v>365.88311549999997</v>
      </c>
      <c r="G74" s="148">
        <f t="shared" si="63"/>
        <v>472.07429100000002</v>
      </c>
      <c r="H74" s="148">
        <f t="shared" si="63"/>
        <v>1432.7630359999998</v>
      </c>
      <c r="I74" s="148">
        <f t="shared" si="63"/>
        <v>0</v>
      </c>
      <c r="J74" s="148">
        <f t="shared" si="63"/>
        <v>0</v>
      </c>
      <c r="K74" s="148">
        <f t="shared" si="63"/>
        <v>3030.7817475000002</v>
      </c>
      <c r="L74" s="148">
        <f t="shared" si="63"/>
        <v>17865.981498000001</v>
      </c>
      <c r="M74" s="148">
        <f t="shared" si="63"/>
        <v>24089.073640500003</v>
      </c>
      <c r="N74" s="148">
        <f t="shared" si="63"/>
        <v>90560.809829999998</v>
      </c>
      <c r="O74" s="148">
        <f t="shared" si="63"/>
        <v>2120.7939689999998</v>
      </c>
      <c r="P74" s="148">
        <f t="shared" si="63"/>
        <v>2803.6647720000001</v>
      </c>
      <c r="Q74" s="148">
        <f>(((Q9+Q10)*Q70)/100)/1000</f>
        <v>12127.112350000001</v>
      </c>
    </row>
    <row r="75" spans="1:17">
      <c r="A75" s="287" t="s">
        <v>675</v>
      </c>
      <c r="B75" s="287" t="s">
        <v>676</v>
      </c>
      <c r="C75" s="148">
        <f t="shared" ref="C75:P75" si="64">C73+C74</f>
        <v>0</v>
      </c>
      <c r="D75" s="148">
        <f t="shared" si="64"/>
        <v>0</v>
      </c>
      <c r="E75" s="148">
        <f t="shared" si="64"/>
        <v>543.95765700000004</v>
      </c>
      <c r="F75" s="148">
        <f t="shared" si="64"/>
        <v>365.88311549999997</v>
      </c>
      <c r="G75" s="148">
        <f t="shared" si="64"/>
        <v>472.07429100000002</v>
      </c>
      <c r="H75" s="148">
        <f t="shared" si="64"/>
        <v>1432.7630359999998</v>
      </c>
      <c r="I75" s="148">
        <f t="shared" si="64"/>
        <v>0</v>
      </c>
      <c r="J75" s="148">
        <f t="shared" si="64"/>
        <v>0</v>
      </c>
      <c r="K75" s="148">
        <f t="shared" si="64"/>
        <v>3030.7817475000002</v>
      </c>
      <c r="L75" s="148">
        <f t="shared" si="64"/>
        <v>47096.290085603658</v>
      </c>
      <c r="M75" s="148">
        <f t="shared" si="64"/>
        <v>63499.791075018235</v>
      </c>
      <c r="N75" s="148">
        <f t="shared" si="64"/>
        <v>224060.77494834934</v>
      </c>
      <c r="O75" s="148">
        <f t="shared" si="64"/>
        <v>5562.1632937094173</v>
      </c>
      <c r="P75" s="148">
        <f t="shared" si="64"/>
        <v>7353.1222263337859</v>
      </c>
      <c r="Q75" s="148">
        <f>Q73+Q74</f>
        <v>29796.490083012701</v>
      </c>
    </row>
    <row r="76" spans="1:17">
      <c r="A76" s="161"/>
      <c r="B76" s="161"/>
    </row>
    <row r="77" spans="1:17">
      <c r="A77" t="s">
        <v>677</v>
      </c>
      <c r="B77" t="s">
        <v>678</v>
      </c>
      <c r="C77" s="148">
        <v>2.1469999999999998</v>
      </c>
      <c r="D77" s="148">
        <v>2.1469999999999998</v>
      </c>
      <c r="E77" s="148">
        <v>2.1469999999999998</v>
      </c>
      <c r="F77" s="148">
        <v>2.1469999999999998</v>
      </c>
      <c r="G77" s="148">
        <v>2.1469999999999998</v>
      </c>
      <c r="H77" s="148">
        <v>2.1469999999999998</v>
      </c>
      <c r="I77" s="148">
        <v>2.1469999999999998</v>
      </c>
      <c r="J77" s="148">
        <v>2.1469999999999998</v>
      </c>
      <c r="K77" s="148">
        <v>2.1469999999999998</v>
      </c>
      <c r="L77" s="148">
        <v>2.1469999999999998</v>
      </c>
      <c r="M77" s="148">
        <v>2.1469999999999998</v>
      </c>
      <c r="N77" s="148">
        <v>2.1469999999999998</v>
      </c>
      <c r="O77" s="148">
        <v>2.1469999999999998</v>
      </c>
      <c r="P77" s="148">
        <v>2.1469999999999998</v>
      </c>
      <c r="Q77" s="148">
        <v>2.1469999999999998</v>
      </c>
    </row>
    <row r="78" spans="1:17" ht="28.9">
      <c r="A78" s="154" t="s">
        <v>679</v>
      </c>
      <c r="B78" t="s">
        <v>678</v>
      </c>
      <c r="C78">
        <v>5</v>
      </c>
      <c r="D78">
        <v>5</v>
      </c>
      <c r="E78">
        <v>5</v>
      </c>
      <c r="F78">
        <v>5</v>
      </c>
      <c r="G78">
        <v>5</v>
      </c>
      <c r="H78">
        <v>5</v>
      </c>
      <c r="I78">
        <v>5</v>
      </c>
      <c r="J78">
        <v>5</v>
      </c>
      <c r="K78">
        <v>5</v>
      </c>
      <c r="L78">
        <v>5</v>
      </c>
      <c r="M78">
        <v>5</v>
      </c>
      <c r="N78">
        <v>5</v>
      </c>
      <c r="O78">
        <v>5</v>
      </c>
      <c r="P78">
        <v>5</v>
      </c>
      <c r="Q78">
        <v>5</v>
      </c>
    </row>
    <row r="79" spans="1:17">
      <c r="A79" s="188" t="s">
        <v>680</v>
      </c>
      <c r="B79" s="188" t="s">
        <v>681</v>
      </c>
      <c r="C79" s="148">
        <f t="shared" ref="C79" si="65">C75/C78</f>
        <v>0</v>
      </c>
      <c r="D79" s="148">
        <f t="shared" ref="D79" si="66">D75/D78</f>
        <v>0</v>
      </c>
      <c r="E79" s="148">
        <f t="shared" ref="E79" si="67">E75/E78</f>
        <v>108.79153140000001</v>
      </c>
      <c r="F79" s="148">
        <f t="shared" ref="F79" si="68">F75/F78</f>
        <v>73.1766231</v>
      </c>
      <c r="G79" s="148">
        <f t="shared" ref="G79" si="69">G75/G78</f>
        <v>94.414858199999998</v>
      </c>
      <c r="H79" s="148">
        <f t="shared" ref="H79" si="70">H75/H78</f>
        <v>286.55260719999995</v>
      </c>
      <c r="I79" s="148">
        <f t="shared" ref="I79" si="71">I75/I78</f>
        <v>0</v>
      </c>
      <c r="J79" s="148">
        <f t="shared" ref="J79" si="72">J75/J78</f>
        <v>0</v>
      </c>
      <c r="K79" s="148">
        <f t="shared" ref="K79" si="73">K75/K78</f>
        <v>606.15634950000003</v>
      </c>
      <c r="L79" s="148">
        <f t="shared" ref="L79" si="74">L75/L78</f>
        <v>9419.2580171207319</v>
      </c>
      <c r="M79" s="148">
        <f t="shared" ref="M79" si="75">M75/M78</f>
        <v>12699.958215003648</v>
      </c>
      <c r="N79" s="148">
        <f t="shared" ref="N79" si="76">N75/N78</f>
        <v>44812.154989669871</v>
      </c>
      <c r="O79" s="148">
        <f t="shared" ref="O79" si="77">O75/O78</f>
        <v>1112.4326587418834</v>
      </c>
      <c r="P79" s="148">
        <f t="shared" ref="P79" si="78">P75/P78</f>
        <v>1470.6244452667572</v>
      </c>
      <c r="Q79" s="148">
        <f t="shared" ref="Q79" si="79">Q75/Q78</f>
        <v>5959.29801660254</v>
      </c>
    </row>
    <row r="81" spans="1:3">
      <c r="A81" s="188" t="s">
        <v>682</v>
      </c>
      <c r="B81" s="188" t="s">
        <v>683</v>
      </c>
      <c r="C81" s="288">
        <f>E79+H79+K79+N79+Q79</f>
        <v>51772.953494372407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CC826-970F-4247-9BC7-AD123D9BEB25}">
  <dimension ref="A1:CI128"/>
  <sheetViews>
    <sheetView topLeftCell="W1" workbookViewId="0">
      <selection activeCell="AD82" sqref="AD82"/>
    </sheetView>
  </sheetViews>
  <sheetFormatPr defaultColWidth="8.85546875" defaultRowHeight="14.45"/>
  <cols>
    <col min="1" max="1" width="42.140625" bestFit="1" customWidth="1"/>
    <col min="2" max="2" width="12.5703125" bestFit="1" customWidth="1"/>
    <col min="3" max="3" width="9.28515625" style="139" bestFit="1" customWidth="1"/>
    <col min="4" max="4" width="9.28515625" style="139" customWidth="1"/>
    <col min="5" max="5" width="11.28515625" style="139" bestFit="1" customWidth="1"/>
    <col min="6" max="6" width="11.28515625" style="139" customWidth="1"/>
    <col min="7" max="7" width="11.28515625" bestFit="1" customWidth="1"/>
    <col min="8" max="8" width="11.28515625" customWidth="1"/>
    <col min="9" max="9" width="9.28515625" bestFit="1" customWidth="1"/>
    <col min="10" max="10" width="9.28515625" customWidth="1"/>
    <col min="11" max="11" width="9.140625" style="139" bestFit="1" customWidth="1"/>
    <col min="12" max="12" width="9.140625" style="139" customWidth="1"/>
    <col min="13" max="13" width="11.140625" style="139" bestFit="1" customWidth="1"/>
    <col min="14" max="14" width="11.140625" style="139" customWidth="1"/>
    <col min="15" max="16" width="8.28515625" customWidth="1"/>
    <col min="19" max="19" width="11.28515625" style="139" customWidth="1"/>
    <col min="20" max="20" width="10.140625" style="139" customWidth="1"/>
    <col min="21" max="21" width="12" bestFit="1" customWidth="1"/>
    <col min="22" max="22" width="9.5703125" bestFit="1" customWidth="1"/>
    <col min="23" max="23" width="43.85546875" bestFit="1" customWidth="1"/>
    <col min="24" max="24" width="9.28515625" bestFit="1" customWidth="1"/>
    <col min="25" max="25" width="13.7109375" bestFit="1" customWidth="1"/>
    <col min="26" max="27" width="11.5703125" bestFit="1" customWidth="1"/>
    <col min="28" max="29" width="12.85546875" bestFit="1" customWidth="1"/>
    <col min="30" max="30" width="11.140625" bestFit="1" customWidth="1"/>
    <col min="31" max="31" width="12.7109375" bestFit="1" customWidth="1"/>
    <col min="32" max="32" width="11" bestFit="1" customWidth="1"/>
    <col min="33" max="33" width="11.28515625" bestFit="1" customWidth="1"/>
    <col min="34" max="34" width="10.140625" bestFit="1" customWidth="1"/>
    <col min="35" max="36" width="9.28515625" bestFit="1" customWidth="1"/>
    <col min="37" max="37" width="10.140625" bestFit="1" customWidth="1"/>
    <col min="38" max="38" width="4.28515625" customWidth="1"/>
    <col min="40" max="41" width="10.28515625" bestFit="1" customWidth="1"/>
    <col min="42" max="43" width="9.28515625" bestFit="1" customWidth="1"/>
    <col min="44" max="44" width="13" bestFit="1" customWidth="1"/>
    <col min="45" max="45" width="9.28515625" bestFit="1" customWidth="1"/>
    <col min="46" max="47" width="10.28515625" bestFit="1" customWidth="1"/>
    <col min="48" max="48" width="9.28515625" bestFit="1" customWidth="1"/>
    <col min="49" max="49" width="10.28515625" bestFit="1" customWidth="1"/>
    <col min="50" max="50" width="9.28515625" bestFit="1" customWidth="1"/>
    <col min="51" max="51" width="10.28515625" bestFit="1" customWidth="1"/>
    <col min="53" max="54" width="9.28515625" bestFit="1" customWidth="1"/>
    <col min="55" max="56" width="9" bestFit="1" customWidth="1"/>
    <col min="57" max="62" width="9.28515625" bestFit="1" customWidth="1"/>
    <col min="63" max="63" width="9" bestFit="1" customWidth="1"/>
    <col min="64" max="64" width="9.28515625" bestFit="1" customWidth="1"/>
    <col min="67" max="67" width="45" bestFit="1" customWidth="1"/>
    <col min="68" max="68" width="7.28515625" customWidth="1"/>
    <col min="69" max="69" width="9.42578125" style="170" bestFit="1" customWidth="1"/>
    <col min="70" max="72" width="9" style="170" bestFit="1" customWidth="1"/>
    <col min="73" max="74" width="9.28515625" bestFit="1" customWidth="1"/>
    <col min="75" max="76" width="9" bestFit="1" customWidth="1"/>
    <col min="77" max="78" width="9" style="170" bestFit="1" customWidth="1"/>
    <col min="79" max="80" width="10.28515625" style="170" bestFit="1" customWidth="1"/>
    <col min="81" max="84" width="9" bestFit="1" customWidth="1"/>
    <col min="85" max="86" width="9.28515625" style="170" bestFit="1" customWidth="1"/>
  </cols>
  <sheetData>
    <row r="1" spans="1:86">
      <c r="BP1" s="336" t="s">
        <v>525</v>
      </c>
      <c r="BQ1" s="336"/>
      <c r="BR1" s="336"/>
      <c r="BS1" s="336"/>
      <c r="BT1" s="336"/>
      <c r="BU1" s="336"/>
      <c r="BV1" s="336"/>
      <c r="BW1" s="336"/>
      <c r="BX1" s="336"/>
      <c r="BY1" s="336"/>
      <c r="BZ1" s="336"/>
      <c r="CA1" s="336"/>
      <c r="CB1" s="336"/>
      <c r="CC1" s="336"/>
      <c r="CD1" s="336"/>
      <c r="CE1" s="336"/>
      <c r="CF1" s="336"/>
      <c r="CG1" s="336"/>
      <c r="CH1" s="336"/>
    </row>
    <row r="2" spans="1:86">
      <c r="E2" s="139">
        <v>0.41422233993246449</v>
      </c>
      <c r="F2" s="210">
        <f>E2*0.33</f>
        <v>0.1366933721777133</v>
      </c>
      <c r="G2" s="147">
        <f>E2*0.6</f>
        <v>0.24853340395947868</v>
      </c>
      <c r="H2" s="147">
        <f>E2*0.07</f>
        <v>2.8995563795272516E-2</v>
      </c>
      <c r="J2" s="103">
        <v>2.6002451270238907</v>
      </c>
      <c r="M2" s="209"/>
      <c r="N2" s="208"/>
      <c r="Y2" s="144" t="s">
        <v>11</v>
      </c>
      <c r="Z2" s="144" t="s">
        <v>155</v>
      </c>
      <c r="AA2" s="144"/>
      <c r="AB2" s="144" t="s">
        <v>157</v>
      </c>
      <c r="AC2" s="144"/>
      <c r="AD2" s="144" t="s">
        <v>158</v>
      </c>
      <c r="AE2" s="144"/>
      <c r="AF2" s="144" t="s">
        <v>159</v>
      </c>
      <c r="AG2" s="144"/>
      <c r="AH2" s="144" t="s">
        <v>160</v>
      </c>
      <c r="AI2" s="144"/>
      <c r="AJ2" s="144" t="s">
        <v>161</v>
      </c>
      <c r="AK2" s="144"/>
      <c r="AL2" s="144"/>
      <c r="AM2" t="s">
        <v>684</v>
      </c>
      <c r="AN2" s="144" t="s">
        <v>155</v>
      </c>
      <c r="AO2" s="144"/>
      <c r="AP2" s="144" t="s">
        <v>157</v>
      </c>
      <c r="AQ2" s="144"/>
      <c r="AR2" s="144" t="s">
        <v>158</v>
      </c>
      <c r="AS2" s="144"/>
      <c r="AT2" s="144" t="s">
        <v>159</v>
      </c>
      <c r="AU2" s="144"/>
      <c r="AV2" s="144" t="s">
        <v>160</v>
      </c>
      <c r="AW2" s="144"/>
      <c r="AX2" s="144" t="s">
        <v>161</v>
      </c>
      <c r="AY2" s="144"/>
      <c r="AZ2" t="s">
        <v>15</v>
      </c>
      <c r="BA2" s="144" t="s">
        <v>155</v>
      </c>
      <c r="BB2" s="144"/>
      <c r="BC2" s="144" t="s">
        <v>157</v>
      </c>
      <c r="BD2" s="144"/>
      <c r="BE2" s="144" t="s">
        <v>158</v>
      </c>
      <c r="BF2" s="144"/>
      <c r="BG2" s="144" t="s">
        <v>159</v>
      </c>
      <c r="BH2" s="144"/>
      <c r="BI2" s="144" t="s">
        <v>160</v>
      </c>
      <c r="BJ2" s="144"/>
      <c r="BK2" s="144" t="s">
        <v>161</v>
      </c>
      <c r="BL2" s="144"/>
      <c r="BS2" s="170">
        <v>0.41422233993246449</v>
      </c>
      <c r="BT2" s="170">
        <f>BS2*0.33</f>
        <v>0.1366933721777133</v>
      </c>
      <c r="BU2">
        <f>BS2*0.6</f>
        <v>0.24853340395947868</v>
      </c>
      <c r="BV2">
        <f>BS2*0.07</f>
        <v>2.8995563795272516E-2</v>
      </c>
      <c r="BX2">
        <v>2.6002451270238907</v>
      </c>
      <c r="BZ2" s="170">
        <f>(2.14441096333333*230)</f>
        <v>493.21452156666595</v>
      </c>
      <c r="CA2" s="170">
        <f>(3.44832676666667*250)</f>
        <v>862.08169166666744</v>
      </c>
      <c r="CB2" s="170">
        <f>(5.6280519*280)</f>
        <v>1575.8545320000001</v>
      </c>
    </row>
    <row r="3" spans="1:86">
      <c r="A3" s="29" t="s">
        <v>526</v>
      </c>
      <c r="B3" s="29"/>
      <c r="C3" s="323" t="s">
        <v>36</v>
      </c>
      <c r="D3" s="323"/>
      <c r="E3" s="323"/>
      <c r="F3" s="323"/>
      <c r="G3" s="323"/>
      <c r="H3" s="323"/>
      <c r="I3" s="323" t="s">
        <v>37</v>
      </c>
      <c r="J3" s="323"/>
      <c r="K3" s="323"/>
      <c r="L3" s="323"/>
      <c r="M3" s="323"/>
      <c r="N3" s="323"/>
      <c r="O3" s="323" t="s">
        <v>38</v>
      </c>
      <c r="P3" s="323"/>
      <c r="Q3" s="323"/>
      <c r="R3" s="323"/>
      <c r="S3" s="323"/>
      <c r="T3" s="323"/>
      <c r="Y3" s="144" t="s">
        <v>373</v>
      </c>
      <c r="Z3" s="144" t="s">
        <v>86</v>
      </c>
      <c r="AA3" s="144" t="s">
        <v>87</v>
      </c>
      <c r="AB3" s="144" t="s">
        <v>86</v>
      </c>
      <c r="AC3" s="144" t="s">
        <v>87</v>
      </c>
      <c r="AD3" s="144" t="s">
        <v>86</v>
      </c>
      <c r="AE3" s="144" t="s">
        <v>87</v>
      </c>
      <c r="AF3" s="144" t="s">
        <v>86</v>
      </c>
      <c r="AG3" s="144" t="s">
        <v>87</v>
      </c>
      <c r="AH3" s="144" t="s">
        <v>86</v>
      </c>
      <c r="AI3" s="144" t="s">
        <v>87</v>
      </c>
      <c r="AJ3" s="144" t="s">
        <v>86</v>
      </c>
      <c r="AK3" s="144" t="s">
        <v>87</v>
      </c>
      <c r="AL3" s="144"/>
      <c r="AN3" s="144" t="s">
        <v>86</v>
      </c>
      <c r="AO3" s="144" t="s">
        <v>87</v>
      </c>
      <c r="AP3" s="144" t="s">
        <v>86</v>
      </c>
      <c r="AQ3" s="144" t="s">
        <v>87</v>
      </c>
      <c r="AR3" s="144" t="s">
        <v>86</v>
      </c>
      <c r="AS3" s="144" t="s">
        <v>87</v>
      </c>
      <c r="AT3" s="144" t="s">
        <v>86</v>
      </c>
      <c r="AU3" s="144" t="s">
        <v>87</v>
      </c>
      <c r="AV3" s="144" t="s">
        <v>86</v>
      </c>
      <c r="AW3" s="144" t="s">
        <v>87</v>
      </c>
      <c r="AX3" s="144" t="s">
        <v>86</v>
      </c>
      <c r="AY3" s="144" t="s">
        <v>87</v>
      </c>
      <c r="BA3" s="144" t="s">
        <v>86</v>
      </c>
      <c r="BB3" s="144" t="s">
        <v>87</v>
      </c>
      <c r="BC3" s="144" t="s">
        <v>86</v>
      </c>
      <c r="BD3" s="144" t="s">
        <v>87</v>
      </c>
      <c r="BE3" s="144" t="s">
        <v>86</v>
      </c>
      <c r="BF3" s="144" t="s">
        <v>87</v>
      </c>
      <c r="BG3" s="144" t="s">
        <v>86</v>
      </c>
      <c r="BH3" s="144" t="s">
        <v>87</v>
      </c>
      <c r="BI3" s="144" t="s">
        <v>86</v>
      </c>
      <c r="BJ3" s="144" t="s">
        <v>87</v>
      </c>
      <c r="BK3" s="144" t="s">
        <v>86</v>
      </c>
      <c r="BL3" s="144" t="s">
        <v>87</v>
      </c>
      <c r="BO3" t="s">
        <v>526</v>
      </c>
      <c r="BQ3" s="335" t="s">
        <v>36</v>
      </c>
      <c r="BR3" s="335"/>
      <c r="BS3" s="335"/>
      <c r="BT3" s="335"/>
      <c r="BU3" s="335"/>
      <c r="BV3" s="335"/>
      <c r="BW3" s="335" t="s">
        <v>37</v>
      </c>
      <c r="BX3" s="335"/>
      <c r="BY3" s="335"/>
      <c r="BZ3" s="335"/>
      <c r="CA3" s="335"/>
      <c r="CB3" s="335"/>
      <c r="CC3" s="335" t="s">
        <v>38</v>
      </c>
      <c r="CD3" s="335"/>
      <c r="CE3" s="335"/>
      <c r="CF3" s="335"/>
      <c r="CG3" s="335"/>
      <c r="CH3" s="335"/>
    </row>
    <row r="4" spans="1:86" s="154" customFormat="1" ht="28.9">
      <c r="A4" s="167" t="s">
        <v>532</v>
      </c>
      <c r="B4" s="167" t="s">
        <v>533</v>
      </c>
      <c r="C4" s="205" t="s">
        <v>28</v>
      </c>
      <c r="D4" s="205" t="s">
        <v>606</v>
      </c>
      <c r="E4" s="205" t="s">
        <v>29</v>
      </c>
      <c r="F4" s="205" t="s">
        <v>606</v>
      </c>
      <c r="G4" s="203" t="s">
        <v>30</v>
      </c>
      <c r="H4" s="203" t="s">
        <v>606</v>
      </c>
      <c r="I4" s="203" t="s">
        <v>28</v>
      </c>
      <c r="J4" s="203" t="s">
        <v>606</v>
      </c>
      <c r="K4" s="211" t="s">
        <v>29</v>
      </c>
      <c r="L4" s="205" t="s">
        <v>606</v>
      </c>
      <c r="M4" s="205" t="s">
        <v>30</v>
      </c>
      <c r="N4" s="205" t="s">
        <v>606</v>
      </c>
      <c r="O4" s="203" t="s">
        <v>28</v>
      </c>
      <c r="P4" s="203" t="s">
        <v>606</v>
      </c>
      <c r="Q4" s="204" t="s">
        <v>29</v>
      </c>
      <c r="R4" s="203" t="s">
        <v>606</v>
      </c>
      <c r="S4" s="205" t="s">
        <v>30</v>
      </c>
      <c r="T4" s="205" t="s">
        <v>606</v>
      </c>
      <c r="X4" s="154" t="s">
        <v>376</v>
      </c>
      <c r="Y4" s="154" t="s">
        <v>40</v>
      </c>
      <c r="Z4" s="168">
        <v>2119.8290000000002</v>
      </c>
      <c r="AA4" s="168">
        <v>11221.66</v>
      </c>
      <c r="AB4" s="168">
        <v>5</v>
      </c>
      <c r="AC4" s="168">
        <v>614.86270000000002</v>
      </c>
      <c r="AD4" s="168">
        <v>1166.9780000000001</v>
      </c>
      <c r="AE4" s="168">
        <v>1450.5229999999999</v>
      </c>
      <c r="AF4" s="168">
        <v>1533.1590000000001</v>
      </c>
      <c r="AG4" s="168">
        <v>3419.9360000000001</v>
      </c>
      <c r="AH4" s="168">
        <v>568.67049999999995</v>
      </c>
      <c r="AI4" s="168">
        <v>2930.498</v>
      </c>
      <c r="AJ4" s="168">
        <v>18</v>
      </c>
      <c r="AK4" s="168">
        <v>4871.2269999999999</v>
      </c>
      <c r="AL4" s="168"/>
      <c r="AM4" s="168"/>
      <c r="AN4" s="168">
        <v>6969.4880000000003</v>
      </c>
      <c r="AO4" s="168">
        <v>19997.669999999998</v>
      </c>
      <c r="AP4" s="168">
        <v>555.47460000000001</v>
      </c>
      <c r="AQ4" s="168">
        <v>551.26689999999996</v>
      </c>
      <c r="AR4" s="168">
        <v>4915.28</v>
      </c>
      <c r="AS4" s="168">
        <v>4637.1030000000001</v>
      </c>
      <c r="AT4" s="168">
        <v>4934.0290000000005</v>
      </c>
      <c r="AU4" s="168">
        <v>5987.8760000000002</v>
      </c>
      <c r="AV4" s="168">
        <v>1527.559</v>
      </c>
      <c r="AW4" s="168">
        <v>4521.259</v>
      </c>
      <c r="AX4" s="168">
        <v>86</v>
      </c>
      <c r="AY4" s="168">
        <v>9910.43</v>
      </c>
      <c r="BA4" s="168">
        <v>463.44049999999999</v>
      </c>
      <c r="BB4" s="168">
        <v>2916.0639999999999</v>
      </c>
      <c r="BC4" s="168">
        <v>0</v>
      </c>
      <c r="BD4" s="168">
        <v>321.53379999999999</v>
      </c>
      <c r="BE4" s="168">
        <v>468.44049999999999</v>
      </c>
      <c r="BF4" s="168">
        <v>217.63740000000001</v>
      </c>
      <c r="BG4" s="168">
        <v>462.44049999999999</v>
      </c>
      <c r="BH4" s="168">
        <v>693.03369999999995</v>
      </c>
      <c r="BI4" s="168">
        <v>0</v>
      </c>
      <c r="BJ4" s="168">
        <v>491.21519999999998</v>
      </c>
      <c r="BK4" s="168">
        <v>1</v>
      </c>
      <c r="BL4" s="168">
        <v>1731.8150000000001</v>
      </c>
      <c r="BO4" s="154" t="s">
        <v>532</v>
      </c>
      <c r="BP4" s="154" t="s">
        <v>533</v>
      </c>
      <c r="BQ4" s="171" t="s">
        <v>28</v>
      </c>
      <c r="BR4" s="171" t="s">
        <v>606</v>
      </c>
      <c r="BS4" s="171" t="s">
        <v>29</v>
      </c>
      <c r="BT4" s="171" t="s">
        <v>606</v>
      </c>
      <c r="BU4" s="154" t="s">
        <v>30</v>
      </c>
      <c r="BV4" s="154" t="s">
        <v>606</v>
      </c>
      <c r="BW4" s="169" t="s">
        <v>28</v>
      </c>
      <c r="BX4" s="169" t="s">
        <v>606</v>
      </c>
      <c r="BY4" s="171" t="s">
        <v>29</v>
      </c>
      <c r="BZ4" s="171" t="s">
        <v>606</v>
      </c>
      <c r="CA4" s="171" t="s">
        <v>30</v>
      </c>
      <c r="CB4" s="171" t="s">
        <v>606</v>
      </c>
      <c r="CC4" s="154" t="s">
        <v>28</v>
      </c>
      <c r="CD4" s="154" t="s">
        <v>606</v>
      </c>
      <c r="CE4" s="154" t="s">
        <v>29</v>
      </c>
      <c r="CF4" s="154" t="s">
        <v>606</v>
      </c>
      <c r="CG4" s="171" t="s">
        <v>30</v>
      </c>
      <c r="CH4" s="171" t="s">
        <v>606</v>
      </c>
    </row>
    <row r="5" spans="1:86">
      <c r="A5" t="s">
        <v>549</v>
      </c>
      <c r="B5" t="s">
        <v>550</v>
      </c>
      <c r="C5" s="139">
        <f>2.82*12</f>
        <v>33.839999999999996</v>
      </c>
      <c r="D5" s="206">
        <f>C5*0.9</f>
        <v>30.455999999999996</v>
      </c>
      <c r="E5" s="139">
        <f>2.82*12</f>
        <v>33.839999999999996</v>
      </c>
      <c r="F5" s="139">
        <f>E5*0.9</f>
        <v>30.455999999999996</v>
      </c>
      <c r="G5">
        <f>2.82*12</f>
        <v>33.839999999999996</v>
      </c>
      <c r="H5">
        <f>G5*0.9</f>
        <v>30.455999999999996</v>
      </c>
      <c r="I5">
        <f>2.6*12</f>
        <v>31.200000000000003</v>
      </c>
      <c r="J5">
        <f>I5</f>
        <v>31.200000000000003</v>
      </c>
      <c r="K5" s="139">
        <f>2.6*12</f>
        <v>31.200000000000003</v>
      </c>
      <c r="L5" s="139">
        <f>K5</f>
        <v>31.200000000000003</v>
      </c>
      <c r="M5" s="139">
        <f>2.6*12</f>
        <v>31.200000000000003</v>
      </c>
      <c r="N5" s="139">
        <f>M5</f>
        <v>31.200000000000003</v>
      </c>
      <c r="O5">
        <f>2.5*12</f>
        <v>30</v>
      </c>
      <c r="P5">
        <f>O5</f>
        <v>30</v>
      </c>
      <c r="Q5">
        <f>2.5*12</f>
        <v>30</v>
      </c>
      <c r="R5">
        <f>Q5</f>
        <v>30</v>
      </c>
      <c r="S5" s="139">
        <f>2.5*12</f>
        <v>30</v>
      </c>
      <c r="T5" s="139">
        <f>S5</f>
        <v>30</v>
      </c>
      <c r="X5" t="s">
        <v>376</v>
      </c>
      <c r="Y5" t="s">
        <v>46</v>
      </c>
      <c r="Z5" s="143">
        <v>6377.19</v>
      </c>
      <c r="AA5" s="143">
        <v>27668.959999999999</v>
      </c>
      <c r="AB5" s="143">
        <v>433.76519999999999</v>
      </c>
      <c r="AC5" s="143">
        <v>593.39880000000005</v>
      </c>
      <c r="AD5" s="143">
        <v>3063.2919999999999</v>
      </c>
      <c r="AE5" s="143">
        <v>4502.7280000000001</v>
      </c>
      <c r="AF5" s="143">
        <v>5062.8230000000003</v>
      </c>
      <c r="AG5" s="143">
        <v>8456.8610000000008</v>
      </c>
      <c r="AH5" s="143">
        <v>963.79989999999998</v>
      </c>
      <c r="AI5" s="143">
        <v>5614.4939999999997</v>
      </c>
      <c r="AJ5" s="143">
        <v>350.56740000000002</v>
      </c>
      <c r="AK5" s="143">
        <v>13597.61</v>
      </c>
      <c r="AL5" s="143"/>
      <c r="AM5" s="143"/>
      <c r="AN5" s="143">
        <v>7609.9520000000002</v>
      </c>
      <c r="AO5" s="143">
        <v>25909.79</v>
      </c>
      <c r="AP5" s="143">
        <v>1401.8219999999999</v>
      </c>
      <c r="AQ5" s="143">
        <v>552.2654</v>
      </c>
      <c r="AR5" s="143">
        <v>6190.7290000000003</v>
      </c>
      <c r="AS5" s="143">
        <v>4299.982</v>
      </c>
      <c r="AT5" s="143">
        <v>4999.8770000000004</v>
      </c>
      <c r="AU5" s="143">
        <v>5478.1490000000003</v>
      </c>
      <c r="AV5" s="143">
        <v>2140.261</v>
      </c>
      <c r="AW5" s="143">
        <v>4367.8320000000003</v>
      </c>
      <c r="AX5" s="143">
        <v>469.8141</v>
      </c>
      <c r="AY5" s="143">
        <v>16063.81</v>
      </c>
      <c r="BA5" s="143">
        <v>331.00130000000001</v>
      </c>
      <c r="BB5" s="143">
        <v>4116.34</v>
      </c>
      <c r="BC5" s="143">
        <v>1</v>
      </c>
      <c r="BD5" s="143">
        <v>613.37660000000005</v>
      </c>
      <c r="BE5" s="143">
        <v>630.07230000000004</v>
      </c>
      <c r="BF5" s="143">
        <v>687.64949999999999</v>
      </c>
      <c r="BG5" s="143">
        <v>35</v>
      </c>
      <c r="BH5" s="143">
        <v>928.41279999999995</v>
      </c>
      <c r="BI5" s="143">
        <v>290.00130000000001</v>
      </c>
      <c r="BJ5" s="143">
        <v>956.11630000000002</v>
      </c>
      <c r="BK5" s="143">
        <v>6</v>
      </c>
      <c r="BL5" s="143">
        <v>2231.8110000000001</v>
      </c>
      <c r="BO5" t="s">
        <v>549</v>
      </c>
      <c r="BP5" t="s">
        <v>550</v>
      </c>
      <c r="BQ5" s="170">
        <f>2.82*12</f>
        <v>33.839999999999996</v>
      </c>
      <c r="BR5" s="170">
        <f>BQ5*0.9</f>
        <v>30.455999999999996</v>
      </c>
      <c r="BS5" s="170">
        <f>2.82*12</f>
        <v>33.839999999999996</v>
      </c>
      <c r="BT5" s="170">
        <f>BS5*0.9</f>
        <v>30.455999999999996</v>
      </c>
      <c r="BU5">
        <f>2.82*12</f>
        <v>33.839999999999996</v>
      </c>
      <c r="BV5">
        <f>BU5*0.9</f>
        <v>30.455999999999996</v>
      </c>
      <c r="BW5">
        <f>2.6*12</f>
        <v>31.200000000000003</v>
      </c>
      <c r="BX5">
        <f>BW5</f>
        <v>31.200000000000003</v>
      </c>
      <c r="BY5" s="170">
        <f>2.6*12</f>
        <v>31.200000000000003</v>
      </c>
      <c r="BZ5" s="170">
        <f>BY5</f>
        <v>31.200000000000003</v>
      </c>
      <c r="CA5" s="170">
        <f>2.6*12</f>
        <v>31.200000000000003</v>
      </c>
      <c r="CB5" s="170">
        <f>CA5</f>
        <v>31.200000000000003</v>
      </c>
      <c r="CC5">
        <f>2.5*12</f>
        <v>30</v>
      </c>
      <c r="CD5">
        <f>CC5</f>
        <v>30</v>
      </c>
      <c r="CE5">
        <f>2.5*12</f>
        <v>30</v>
      </c>
      <c r="CF5">
        <f>CE5</f>
        <v>30</v>
      </c>
      <c r="CG5" s="170">
        <f>2.5*12</f>
        <v>30</v>
      </c>
      <c r="CH5" s="170">
        <f>CG5</f>
        <v>30</v>
      </c>
    </row>
    <row r="6" spans="1:86">
      <c r="A6" t="s">
        <v>551</v>
      </c>
      <c r="B6" t="s">
        <v>136</v>
      </c>
      <c r="C6" s="139">
        <v>4.7699999999999996</v>
      </c>
      <c r="D6" s="139">
        <f>C6</f>
        <v>4.7699999999999996</v>
      </c>
      <c r="E6" s="139">
        <v>4.7699999999999996</v>
      </c>
      <c r="F6" s="139">
        <f t="shared" ref="F6:F14" si="0">E6</f>
        <v>4.7699999999999996</v>
      </c>
      <c r="G6">
        <v>4.7699999999999996</v>
      </c>
      <c r="H6">
        <f t="shared" ref="H6:H14" si="1">G6</f>
        <v>4.7699999999999996</v>
      </c>
      <c r="I6">
        <v>3.47</v>
      </c>
      <c r="J6">
        <f t="shared" ref="J6:J89" si="2">I6</f>
        <v>3.47</v>
      </c>
      <c r="K6" s="139">
        <v>3.47</v>
      </c>
      <c r="L6" s="139">
        <f t="shared" ref="L6:L20" si="3">K6</f>
        <v>3.47</v>
      </c>
      <c r="M6" s="139">
        <v>3.47</v>
      </c>
      <c r="N6" s="139">
        <f t="shared" ref="N6:N20" si="4">M6</f>
        <v>3.47</v>
      </c>
      <c r="O6">
        <v>4.7699999999999996</v>
      </c>
      <c r="P6">
        <f t="shared" ref="P6:P20" si="5">O6</f>
        <v>4.7699999999999996</v>
      </c>
      <c r="Q6">
        <v>4.7699999999999996</v>
      </c>
      <c r="R6">
        <f t="shared" ref="R6:R20" si="6">Q6</f>
        <v>4.7699999999999996</v>
      </c>
      <c r="S6" s="139">
        <v>5.99</v>
      </c>
      <c r="T6" s="213">
        <f>S6*0.9</f>
        <v>5.391</v>
      </c>
      <c r="V6">
        <v>14</v>
      </c>
      <c r="W6">
        <v>14000000</v>
      </c>
      <c r="X6" t="s">
        <v>376</v>
      </c>
      <c r="Y6" t="s">
        <v>54</v>
      </c>
      <c r="Z6" s="143">
        <v>3945.259</v>
      </c>
      <c r="AA6" s="143">
        <v>12558.83</v>
      </c>
      <c r="AB6" s="143">
        <v>550.77819999999997</v>
      </c>
      <c r="AC6" s="143">
        <v>1554.7070000000001</v>
      </c>
      <c r="AD6" s="143">
        <v>1600.788</v>
      </c>
      <c r="AE6" s="143">
        <v>3799.125</v>
      </c>
      <c r="AF6" s="143">
        <v>2020.9960000000001</v>
      </c>
      <c r="AG6" s="143">
        <v>3365.3829999999998</v>
      </c>
      <c r="AH6" s="143">
        <v>1808.2629999999999</v>
      </c>
      <c r="AI6" s="143">
        <v>2011.26</v>
      </c>
      <c r="AJ6" s="143">
        <v>116</v>
      </c>
      <c r="AK6" s="143">
        <v>7182.1840000000002</v>
      </c>
      <c r="AL6" s="143"/>
      <c r="AM6" s="143"/>
      <c r="AN6" s="143">
        <v>6469.7250000000004</v>
      </c>
      <c r="AO6" s="143">
        <v>22784.16</v>
      </c>
      <c r="AP6" s="143">
        <v>1002.389</v>
      </c>
      <c r="AQ6" s="143">
        <v>618</v>
      </c>
      <c r="AR6" s="143">
        <v>5272.9480000000003</v>
      </c>
      <c r="AS6" s="143">
        <v>3541.04</v>
      </c>
      <c r="AT6" s="143">
        <v>4654.125</v>
      </c>
      <c r="AU6" s="143">
        <v>5482.31</v>
      </c>
      <c r="AV6" s="143">
        <v>1283.8050000000001</v>
      </c>
      <c r="AW6" s="143">
        <v>4348.2209999999995</v>
      </c>
      <c r="AX6" s="143">
        <v>524.79610000000002</v>
      </c>
      <c r="AY6" s="143">
        <v>12960.63</v>
      </c>
      <c r="BA6" s="143">
        <v>982.25840000000005</v>
      </c>
      <c r="BB6" s="143">
        <v>2999.1889999999999</v>
      </c>
      <c r="BC6" s="143">
        <v>21</v>
      </c>
      <c r="BD6" s="143">
        <v>11</v>
      </c>
      <c r="BE6" s="143">
        <v>32</v>
      </c>
      <c r="BF6" s="143">
        <v>1051.9159999999999</v>
      </c>
      <c r="BG6" s="143">
        <v>512.85709999999995</v>
      </c>
      <c r="BH6" s="143">
        <v>804.7056</v>
      </c>
      <c r="BI6" s="143">
        <v>462.40129999999999</v>
      </c>
      <c r="BJ6" s="143">
        <v>340.6284</v>
      </c>
      <c r="BK6" s="143">
        <v>7</v>
      </c>
      <c r="BL6" s="143">
        <v>1853.855</v>
      </c>
      <c r="BO6" t="s">
        <v>551</v>
      </c>
      <c r="BP6" t="s">
        <v>136</v>
      </c>
      <c r="BQ6" s="170">
        <v>4.7699999999999996</v>
      </c>
      <c r="BR6" s="170">
        <f>BQ6</f>
        <v>4.7699999999999996</v>
      </c>
      <c r="BS6" s="170">
        <v>4.7699999999999996</v>
      </c>
      <c r="BT6" s="170">
        <f t="shared" ref="BT6:BT14" si="7">BS6</f>
        <v>4.7699999999999996</v>
      </c>
      <c r="BU6">
        <v>4.7699999999999996</v>
      </c>
      <c r="BV6">
        <f t="shared" ref="BV6:BV14" si="8">BU6</f>
        <v>4.7699999999999996</v>
      </c>
      <c r="BW6">
        <v>3.47</v>
      </c>
      <c r="BX6">
        <f t="shared" ref="BX6:BX15" si="9">BW6</f>
        <v>3.47</v>
      </c>
      <c r="BY6" s="170">
        <v>3.47</v>
      </c>
      <c r="BZ6" s="170">
        <f t="shared" ref="BZ6:BZ15" si="10">BY6</f>
        <v>3.47</v>
      </c>
      <c r="CA6" s="170">
        <v>3.47</v>
      </c>
      <c r="CB6" s="170">
        <f t="shared" ref="CB6:CB15" si="11">CA6</f>
        <v>3.47</v>
      </c>
      <c r="CC6">
        <v>4.7699999999999996</v>
      </c>
      <c r="CD6">
        <f t="shared" ref="CD6:CD15" si="12">CC6</f>
        <v>4.7699999999999996</v>
      </c>
      <c r="CE6">
        <v>4.7699999999999996</v>
      </c>
      <c r="CF6">
        <f t="shared" ref="CF6:CF15" si="13">CE6</f>
        <v>4.7699999999999996</v>
      </c>
      <c r="CG6" s="170">
        <v>5.99</v>
      </c>
      <c r="CH6" s="170">
        <f>CG6*0.95</f>
        <v>5.6905000000000001</v>
      </c>
    </row>
    <row r="7" spans="1:86">
      <c r="A7" t="s">
        <v>552</v>
      </c>
      <c r="B7" t="s">
        <v>136</v>
      </c>
      <c r="C7" s="139">
        <v>5</v>
      </c>
      <c r="D7" s="139">
        <f t="shared" ref="D7:D15" si="14">C7</f>
        <v>5</v>
      </c>
      <c r="E7" s="139">
        <v>5</v>
      </c>
      <c r="F7" s="139">
        <f t="shared" si="0"/>
        <v>5</v>
      </c>
      <c r="G7">
        <v>5</v>
      </c>
      <c r="H7">
        <f t="shared" si="1"/>
        <v>5</v>
      </c>
      <c r="I7">
        <v>5</v>
      </c>
      <c r="J7">
        <f t="shared" si="2"/>
        <v>5</v>
      </c>
      <c r="K7" s="139">
        <v>5</v>
      </c>
      <c r="L7" s="139">
        <f t="shared" si="3"/>
        <v>5</v>
      </c>
      <c r="M7" s="139">
        <v>5</v>
      </c>
      <c r="N7" s="139">
        <f t="shared" si="4"/>
        <v>5</v>
      </c>
      <c r="O7">
        <v>5</v>
      </c>
      <c r="P7">
        <f t="shared" si="5"/>
        <v>5</v>
      </c>
      <c r="Q7">
        <v>5</v>
      </c>
      <c r="R7">
        <f t="shared" si="6"/>
        <v>5</v>
      </c>
      <c r="S7" s="139">
        <v>5</v>
      </c>
      <c r="T7" s="139">
        <f t="shared" ref="T7:T20" si="15">S7</f>
        <v>5</v>
      </c>
      <c r="V7">
        <v>270</v>
      </c>
      <c r="W7">
        <v>270000</v>
      </c>
      <c r="X7" t="s">
        <v>376</v>
      </c>
      <c r="Y7" t="s">
        <v>56</v>
      </c>
      <c r="Z7" s="143">
        <v>2340.1999999999998</v>
      </c>
      <c r="AA7" s="143">
        <v>11299.66</v>
      </c>
      <c r="AB7" s="143">
        <v>4</v>
      </c>
      <c r="AC7" s="143">
        <v>299.8723</v>
      </c>
      <c r="AD7" s="143">
        <v>1103.5309999999999</v>
      </c>
      <c r="AE7" s="143">
        <v>1777.982</v>
      </c>
      <c r="AF7" s="143">
        <v>1784.5239999999999</v>
      </c>
      <c r="AG7" s="143">
        <v>1993.192</v>
      </c>
      <c r="AH7" s="143">
        <v>548.67600000000004</v>
      </c>
      <c r="AI7" s="143">
        <v>2940.18</v>
      </c>
      <c r="AJ7" s="143">
        <v>7</v>
      </c>
      <c r="AK7" s="143">
        <v>6366.2879999999996</v>
      </c>
      <c r="AL7" s="143"/>
      <c r="AM7" s="143"/>
      <c r="AN7" s="143">
        <v>4614.4350000000004</v>
      </c>
      <c r="AO7" s="143">
        <v>20686.759999999998</v>
      </c>
      <c r="AP7" s="143">
        <v>32</v>
      </c>
      <c r="AQ7" s="143">
        <v>50</v>
      </c>
      <c r="AR7" s="143">
        <v>2338.5230000000001</v>
      </c>
      <c r="AS7" s="143">
        <v>2592.6729999999998</v>
      </c>
      <c r="AT7" s="143">
        <v>2734.712</v>
      </c>
      <c r="AU7" s="143">
        <v>3513.7280000000001</v>
      </c>
      <c r="AV7" s="143">
        <v>1424.604</v>
      </c>
      <c r="AW7" s="143">
        <v>7010.0349999999999</v>
      </c>
      <c r="AX7" s="143">
        <v>455.11939999999998</v>
      </c>
      <c r="AY7" s="143">
        <v>10162.99</v>
      </c>
      <c r="BA7" s="143">
        <v>637.58010000000002</v>
      </c>
      <c r="BB7" s="143">
        <v>1371.0229999999999</v>
      </c>
      <c r="BC7" s="143">
        <v>0</v>
      </c>
      <c r="BD7" s="143">
        <v>7</v>
      </c>
      <c r="BE7" s="143">
        <v>240.703</v>
      </c>
      <c r="BF7" s="143">
        <v>247.703</v>
      </c>
      <c r="BG7" s="143">
        <v>437.64159999999998</v>
      </c>
      <c r="BH7" s="143">
        <v>444.64159999999998</v>
      </c>
      <c r="BI7" s="143">
        <v>198.9385</v>
      </c>
      <c r="BJ7" s="143">
        <v>201.9385</v>
      </c>
      <c r="BK7" s="143">
        <v>1</v>
      </c>
      <c r="BL7" s="143">
        <v>724.44320000000005</v>
      </c>
      <c r="BO7" t="s">
        <v>552</v>
      </c>
      <c r="BP7" t="s">
        <v>136</v>
      </c>
      <c r="BQ7" s="170">
        <v>5</v>
      </c>
      <c r="BR7" s="170">
        <f t="shared" ref="BR7:BR15" si="16">BQ7</f>
        <v>5</v>
      </c>
      <c r="BS7" s="170">
        <v>5</v>
      </c>
      <c r="BT7" s="170">
        <f t="shared" si="7"/>
        <v>5</v>
      </c>
      <c r="BU7">
        <v>5</v>
      </c>
      <c r="BV7">
        <f t="shared" si="8"/>
        <v>5</v>
      </c>
      <c r="BW7">
        <v>5</v>
      </c>
      <c r="BX7">
        <f t="shared" si="9"/>
        <v>5</v>
      </c>
      <c r="BY7" s="170">
        <v>5</v>
      </c>
      <c r="BZ7" s="170">
        <f t="shared" si="10"/>
        <v>5</v>
      </c>
      <c r="CA7" s="170">
        <v>5</v>
      </c>
      <c r="CB7" s="170">
        <f t="shared" si="11"/>
        <v>5</v>
      </c>
      <c r="CC7">
        <v>5</v>
      </c>
      <c r="CD7">
        <f t="shared" si="12"/>
        <v>5</v>
      </c>
      <c r="CE7">
        <v>5</v>
      </c>
      <c r="CF7">
        <f t="shared" si="13"/>
        <v>5</v>
      </c>
      <c r="CG7" s="170">
        <v>5</v>
      </c>
      <c r="CH7" s="170">
        <f t="shared" ref="CH7:CH15" si="17">CG7</f>
        <v>5</v>
      </c>
    </row>
    <row r="8" spans="1:86">
      <c r="A8" t="s">
        <v>553</v>
      </c>
      <c r="B8" t="s">
        <v>136</v>
      </c>
      <c r="C8" s="139">
        <v>5</v>
      </c>
      <c r="D8" s="139">
        <f t="shared" si="14"/>
        <v>5</v>
      </c>
      <c r="E8" s="139">
        <v>5</v>
      </c>
      <c r="F8" s="139">
        <f t="shared" si="0"/>
        <v>5</v>
      </c>
      <c r="G8">
        <v>5</v>
      </c>
      <c r="H8">
        <f t="shared" si="1"/>
        <v>5</v>
      </c>
      <c r="I8">
        <v>5</v>
      </c>
      <c r="J8">
        <f t="shared" si="2"/>
        <v>5</v>
      </c>
      <c r="K8" s="139">
        <v>5</v>
      </c>
      <c r="L8" s="139">
        <f t="shared" si="3"/>
        <v>5</v>
      </c>
      <c r="M8" s="139">
        <v>5</v>
      </c>
      <c r="N8" s="139">
        <f t="shared" si="4"/>
        <v>5</v>
      </c>
      <c r="O8">
        <v>5</v>
      </c>
      <c r="P8">
        <f t="shared" si="5"/>
        <v>5</v>
      </c>
      <c r="Q8">
        <v>5</v>
      </c>
      <c r="R8">
        <f t="shared" si="6"/>
        <v>5</v>
      </c>
      <c r="S8" s="139">
        <v>5</v>
      </c>
      <c r="T8" s="139">
        <f t="shared" si="15"/>
        <v>5</v>
      </c>
      <c r="V8">
        <v>80</v>
      </c>
      <c r="W8">
        <v>80000</v>
      </c>
      <c r="X8" t="s">
        <v>376</v>
      </c>
      <c r="Y8" t="s">
        <v>59</v>
      </c>
      <c r="Z8" s="143">
        <v>1846.596</v>
      </c>
      <c r="AA8" s="143">
        <v>7331.826</v>
      </c>
      <c r="AB8" s="143">
        <v>234.1645</v>
      </c>
      <c r="AC8" s="143">
        <v>214.90299999999999</v>
      </c>
      <c r="AD8" s="143">
        <v>1089.5540000000001</v>
      </c>
      <c r="AE8" s="143">
        <v>1693.4079999999999</v>
      </c>
      <c r="AF8" s="143">
        <v>1526.356</v>
      </c>
      <c r="AG8" s="143">
        <v>917.54420000000005</v>
      </c>
      <c r="AH8" s="143">
        <v>319.23989999999998</v>
      </c>
      <c r="AI8" s="143">
        <v>1889.393</v>
      </c>
      <c r="AJ8" s="143">
        <v>1</v>
      </c>
      <c r="AK8" s="143">
        <v>4524.8890000000001</v>
      </c>
      <c r="AL8" s="143"/>
      <c r="AM8" s="143"/>
      <c r="AN8" s="143">
        <v>8474.7710000000006</v>
      </c>
      <c r="AO8" s="143">
        <v>22740.77</v>
      </c>
      <c r="AP8" s="143">
        <v>254.1645</v>
      </c>
      <c r="AQ8" s="143">
        <v>332.4796</v>
      </c>
      <c r="AR8" s="143">
        <v>3332.2959999999998</v>
      </c>
      <c r="AS8" s="143">
        <v>3961.2840000000001</v>
      </c>
      <c r="AT8" s="143">
        <v>5615.6360000000004</v>
      </c>
      <c r="AU8" s="143">
        <v>4736.817</v>
      </c>
      <c r="AV8" s="143">
        <v>2346.9090000000001</v>
      </c>
      <c r="AW8" s="143">
        <v>4614.973</v>
      </c>
      <c r="AX8" s="143">
        <v>512.22580000000005</v>
      </c>
      <c r="AY8" s="143">
        <v>13388.98</v>
      </c>
      <c r="BA8" s="143">
        <v>1475.058</v>
      </c>
      <c r="BB8" s="143">
        <v>1784.597</v>
      </c>
      <c r="BC8" s="143">
        <v>4</v>
      </c>
      <c r="BD8" s="143">
        <v>239.06020000000001</v>
      </c>
      <c r="BE8" s="143">
        <v>508.14010000000002</v>
      </c>
      <c r="BF8" s="143">
        <v>266.06020000000001</v>
      </c>
      <c r="BG8" s="143">
        <v>1207.33</v>
      </c>
      <c r="BH8" s="143">
        <v>25</v>
      </c>
      <c r="BI8" s="143">
        <v>265.72739999999999</v>
      </c>
      <c r="BJ8" s="143">
        <v>495.31150000000002</v>
      </c>
      <c r="BK8" s="143">
        <v>2</v>
      </c>
      <c r="BL8" s="143">
        <v>1264.2850000000001</v>
      </c>
      <c r="BO8" t="s">
        <v>553</v>
      </c>
      <c r="BP8" t="s">
        <v>136</v>
      </c>
      <c r="BQ8" s="170">
        <v>5</v>
      </c>
      <c r="BR8" s="170">
        <f t="shared" si="16"/>
        <v>5</v>
      </c>
      <c r="BS8" s="170">
        <v>5</v>
      </c>
      <c r="BT8" s="170">
        <f t="shared" si="7"/>
        <v>5</v>
      </c>
      <c r="BU8">
        <v>5</v>
      </c>
      <c r="BV8">
        <f t="shared" si="8"/>
        <v>5</v>
      </c>
      <c r="BW8">
        <v>5</v>
      </c>
      <c r="BX8">
        <f t="shared" si="9"/>
        <v>5</v>
      </c>
      <c r="BY8" s="170">
        <v>5</v>
      </c>
      <c r="BZ8" s="170">
        <f t="shared" si="10"/>
        <v>5</v>
      </c>
      <c r="CA8" s="170">
        <v>5</v>
      </c>
      <c r="CB8" s="170">
        <f t="shared" si="11"/>
        <v>5</v>
      </c>
      <c r="CC8">
        <v>5</v>
      </c>
      <c r="CD8">
        <f t="shared" si="12"/>
        <v>5</v>
      </c>
      <c r="CE8">
        <v>5</v>
      </c>
      <c r="CF8">
        <f t="shared" si="13"/>
        <v>5</v>
      </c>
      <c r="CG8" s="170">
        <v>5</v>
      </c>
      <c r="CH8" s="170">
        <f t="shared" si="17"/>
        <v>5</v>
      </c>
    </row>
    <row r="9" spans="1:86">
      <c r="A9" t="s">
        <v>554</v>
      </c>
      <c r="B9" t="s">
        <v>136</v>
      </c>
      <c r="C9" s="139">
        <v>70</v>
      </c>
      <c r="D9" s="139">
        <f t="shared" si="14"/>
        <v>70</v>
      </c>
      <c r="E9" s="139">
        <v>70</v>
      </c>
      <c r="F9" s="139">
        <f t="shared" si="0"/>
        <v>70</v>
      </c>
      <c r="G9">
        <v>70</v>
      </c>
      <c r="H9">
        <f t="shared" si="1"/>
        <v>70</v>
      </c>
      <c r="I9">
        <v>83</v>
      </c>
      <c r="J9">
        <f t="shared" si="2"/>
        <v>83</v>
      </c>
      <c r="K9" s="139">
        <v>83</v>
      </c>
      <c r="L9" s="139">
        <f t="shared" si="3"/>
        <v>83</v>
      </c>
      <c r="M9" s="139">
        <v>83</v>
      </c>
      <c r="N9" s="139">
        <f t="shared" si="4"/>
        <v>83</v>
      </c>
      <c r="O9">
        <v>83</v>
      </c>
      <c r="P9">
        <f t="shared" si="5"/>
        <v>83</v>
      </c>
      <c r="Q9">
        <v>83</v>
      </c>
      <c r="R9">
        <f t="shared" si="6"/>
        <v>83</v>
      </c>
      <c r="S9" s="139">
        <v>83</v>
      </c>
      <c r="T9" s="139">
        <f t="shared" si="15"/>
        <v>83</v>
      </c>
      <c r="V9">
        <v>46</v>
      </c>
      <c r="W9">
        <v>46000</v>
      </c>
      <c r="X9" t="s">
        <v>376</v>
      </c>
      <c r="Y9" t="s">
        <v>62</v>
      </c>
      <c r="Z9" s="143">
        <v>7598.8959999999997</v>
      </c>
      <c r="AA9" s="143">
        <v>41398.660000000003</v>
      </c>
      <c r="AB9" s="143">
        <v>558.21550000000002</v>
      </c>
      <c r="AC9" s="143">
        <v>278.6078</v>
      </c>
      <c r="AD9" s="143">
        <v>1989.933</v>
      </c>
      <c r="AE9" s="143">
        <v>4524.9639999999999</v>
      </c>
      <c r="AF9" s="143">
        <v>4291.9290000000001</v>
      </c>
      <c r="AG9" s="143">
        <v>3882.4839999999999</v>
      </c>
      <c r="AH9" s="143">
        <v>2291.7649999999999</v>
      </c>
      <c r="AI9" s="143">
        <v>8940.3119999999999</v>
      </c>
      <c r="AJ9" s="143">
        <v>1015.202</v>
      </c>
      <c r="AK9" s="143">
        <v>28575.86</v>
      </c>
      <c r="AL9" s="143"/>
      <c r="AM9" s="143"/>
      <c r="AN9" s="143">
        <v>11034.52</v>
      </c>
      <c r="AO9" s="143">
        <v>45506.93</v>
      </c>
      <c r="AP9" s="143">
        <v>980.34180000000003</v>
      </c>
      <c r="AQ9" s="143">
        <v>3245.9690000000001</v>
      </c>
      <c r="AR9" s="143">
        <v>6940.415</v>
      </c>
      <c r="AS9" s="143">
        <v>8347.4599999999991</v>
      </c>
      <c r="AT9" s="143">
        <v>8770.9680000000008</v>
      </c>
      <c r="AU9" s="143">
        <v>9871.3169999999991</v>
      </c>
      <c r="AV9" s="143">
        <v>1304.1569999999999</v>
      </c>
      <c r="AW9" s="143">
        <v>12183.07</v>
      </c>
      <c r="AX9" s="143">
        <v>959.39580000000001</v>
      </c>
      <c r="AY9" s="143">
        <v>23452.55</v>
      </c>
      <c r="BA9" s="143">
        <v>813.19110000000001</v>
      </c>
      <c r="BB9" s="143">
        <v>2236.1390000000001</v>
      </c>
      <c r="BC9" s="143">
        <v>5</v>
      </c>
      <c r="BD9" s="143">
        <v>14</v>
      </c>
      <c r="BE9" s="143">
        <v>30</v>
      </c>
      <c r="BF9" s="143">
        <v>60</v>
      </c>
      <c r="BG9" s="143">
        <v>798.19110000000001</v>
      </c>
      <c r="BH9" s="143">
        <v>84</v>
      </c>
      <c r="BI9" s="143">
        <v>5</v>
      </c>
      <c r="BJ9" s="143">
        <v>319.1884</v>
      </c>
      <c r="BK9" s="143">
        <v>10</v>
      </c>
      <c r="BL9" s="143">
        <v>1832.95</v>
      </c>
      <c r="BO9" t="s">
        <v>554</v>
      </c>
      <c r="BP9" t="s">
        <v>136</v>
      </c>
      <c r="BQ9" s="170">
        <v>70</v>
      </c>
      <c r="BR9" s="170">
        <f t="shared" si="16"/>
        <v>70</v>
      </c>
      <c r="BS9" s="170">
        <v>70</v>
      </c>
      <c r="BT9" s="170">
        <f t="shared" si="7"/>
        <v>70</v>
      </c>
      <c r="BU9">
        <v>70</v>
      </c>
      <c r="BV9">
        <f t="shared" si="8"/>
        <v>70</v>
      </c>
      <c r="BW9">
        <v>83</v>
      </c>
      <c r="BX9">
        <f t="shared" si="9"/>
        <v>83</v>
      </c>
      <c r="BY9" s="170">
        <v>83</v>
      </c>
      <c r="BZ9" s="170">
        <f t="shared" si="10"/>
        <v>83</v>
      </c>
      <c r="CA9" s="170">
        <v>83</v>
      </c>
      <c r="CB9" s="170">
        <f t="shared" si="11"/>
        <v>83</v>
      </c>
      <c r="CC9">
        <v>83</v>
      </c>
      <c r="CD9">
        <f t="shared" si="12"/>
        <v>83</v>
      </c>
      <c r="CE9">
        <v>83</v>
      </c>
      <c r="CF9">
        <f t="shared" si="13"/>
        <v>83</v>
      </c>
      <c r="CG9" s="170">
        <v>83</v>
      </c>
      <c r="CH9" s="170">
        <f t="shared" si="17"/>
        <v>83</v>
      </c>
    </row>
    <row r="10" spans="1:86">
      <c r="A10" t="s">
        <v>555</v>
      </c>
      <c r="B10" t="s">
        <v>556</v>
      </c>
      <c r="C10" s="139">
        <v>300</v>
      </c>
      <c r="D10" s="139">
        <f t="shared" si="14"/>
        <v>300</v>
      </c>
      <c r="E10" s="139">
        <v>300</v>
      </c>
      <c r="F10" s="139">
        <f t="shared" si="0"/>
        <v>300</v>
      </c>
      <c r="G10">
        <v>300</v>
      </c>
      <c r="H10">
        <f t="shared" si="1"/>
        <v>300</v>
      </c>
      <c r="I10">
        <v>350</v>
      </c>
      <c r="J10">
        <f t="shared" si="2"/>
        <v>350</v>
      </c>
      <c r="K10" s="139">
        <v>350</v>
      </c>
      <c r="L10" s="139">
        <f t="shared" si="3"/>
        <v>350</v>
      </c>
      <c r="M10" s="139">
        <v>350</v>
      </c>
      <c r="N10" s="139">
        <f t="shared" si="4"/>
        <v>350</v>
      </c>
      <c r="O10">
        <v>400</v>
      </c>
      <c r="P10">
        <f t="shared" si="5"/>
        <v>400</v>
      </c>
      <c r="Q10">
        <v>450</v>
      </c>
      <c r="R10">
        <f t="shared" si="6"/>
        <v>450</v>
      </c>
      <c r="S10" s="139">
        <v>400</v>
      </c>
      <c r="T10" s="139">
        <f t="shared" si="15"/>
        <v>400</v>
      </c>
      <c r="X10" t="s">
        <v>376</v>
      </c>
      <c r="Y10" t="s">
        <v>73</v>
      </c>
      <c r="Z10" s="143">
        <v>1165.3810000000001</v>
      </c>
      <c r="AA10" s="143">
        <v>5962.8450000000003</v>
      </c>
      <c r="AB10" s="143">
        <v>235.7456</v>
      </c>
      <c r="AC10" s="143">
        <v>188.9521</v>
      </c>
      <c r="AD10" s="143">
        <v>1122.711</v>
      </c>
      <c r="AE10" s="143">
        <v>523.62559999999996</v>
      </c>
      <c r="AF10" s="143">
        <v>708.41750000000002</v>
      </c>
      <c r="AG10" s="143">
        <v>1962.5170000000001</v>
      </c>
      <c r="AH10" s="143">
        <v>456.96359999999999</v>
      </c>
      <c r="AI10" s="143">
        <v>451.66399999999999</v>
      </c>
      <c r="AJ10" s="143">
        <v>0</v>
      </c>
      <c r="AK10" s="143">
        <v>3548.6640000000002</v>
      </c>
      <c r="AL10" s="143"/>
      <c r="AM10" s="143"/>
      <c r="AN10" s="143">
        <v>3991.4479999999999</v>
      </c>
      <c r="AO10" s="143">
        <v>24167.69</v>
      </c>
      <c r="AP10" s="143">
        <v>576.17629999999997</v>
      </c>
      <c r="AQ10" s="143">
        <v>1450.5070000000001</v>
      </c>
      <c r="AR10" s="143">
        <v>4351.7950000000001</v>
      </c>
      <c r="AS10" s="143">
        <v>4505.8389999999999</v>
      </c>
      <c r="AT10" s="143">
        <v>2926.3180000000002</v>
      </c>
      <c r="AU10" s="143">
        <v>5700.924</v>
      </c>
      <c r="AV10" s="143">
        <v>1052.1300000000001</v>
      </c>
      <c r="AW10" s="143">
        <v>5285.3689999999997</v>
      </c>
      <c r="AX10" s="143">
        <v>13</v>
      </c>
      <c r="AY10" s="143">
        <v>13181.39</v>
      </c>
      <c r="BA10" s="143">
        <v>328.7713</v>
      </c>
      <c r="BB10" s="143">
        <v>4476.2659999999996</v>
      </c>
      <c r="BC10" s="143">
        <v>251.40369999999999</v>
      </c>
      <c r="BD10" s="143">
        <v>451.84500000000003</v>
      </c>
      <c r="BE10" s="143">
        <v>308.7713</v>
      </c>
      <c r="BF10" s="143">
        <v>1395.5740000000001</v>
      </c>
      <c r="BG10" s="143">
        <v>287.7713</v>
      </c>
      <c r="BH10" s="143">
        <v>1601.5260000000001</v>
      </c>
      <c r="BI10" s="143">
        <v>22</v>
      </c>
      <c r="BJ10" s="143">
        <v>515.99659999999994</v>
      </c>
      <c r="BK10" s="143">
        <v>19</v>
      </c>
      <c r="BL10" s="143">
        <v>2358.7429999999999</v>
      </c>
      <c r="BO10" t="s">
        <v>555</v>
      </c>
      <c r="BP10" t="s">
        <v>556</v>
      </c>
      <c r="BQ10" s="170">
        <v>300</v>
      </c>
      <c r="BR10" s="170">
        <f t="shared" si="16"/>
        <v>300</v>
      </c>
      <c r="BS10" s="170">
        <v>300</v>
      </c>
      <c r="BT10" s="170">
        <f t="shared" si="7"/>
        <v>300</v>
      </c>
      <c r="BU10">
        <v>300</v>
      </c>
      <c r="BV10">
        <f t="shared" si="8"/>
        <v>300</v>
      </c>
      <c r="BW10">
        <v>350</v>
      </c>
      <c r="BX10">
        <f t="shared" si="9"/>
        <v>350</v>
      </c>
      <c r="BY10" s="170">
        <v>350</v>
      </c>
      <c r="BZ10" s="170">
        <f t="shared" si="10"/>
        <v>350</v>
      </c>
      <c r="CA10" s="170">
        <v>350</v>
      </c>
      <c r="CB10" s="170">
        <f t="shared" si="11"/>
        <v>350</v>
      </c>
      <c r="CC10">
        <v>400</v>
      </c>
      <c r="CD10">
        <f t="shared" si="12"/>
        <v>400</v>
      </c>
      <c r="CE10">
        <v>450</v>
      </c>
      <c r="CF10">
        <f t="shared" si="13"/>
        <v>450</v>
      </c>
      <c r="CG10" s="170">
        <v>400</v>
      </c>
      <c r="CH10" s="170">
        <f t="shared" si="17"/>
        <v>400</v>
      </c>
    </row>
    <row r="11" spans="1:86">
      <c r="A11" t="s">
        <v>557</v>
      </c>
      <c r="B11" t="s">
        <v>556</v>
      </c>
      <c r="C11" s="139">
        <v>350</v>
      </c>
      <c r="D11" s="139">
        <f t="shared" si="14"/>
        <v>350</v>
      </c>
      <c r="E11" s="139">
        <v>350</v>
      </c>
      <c r="F11" s="139">
        <f t="shared" si="0"/>
        <v>350</v>
      </c>
      <c r="G11">
        <v>350</v>
      </c>
      <c r="H11">
        <f t="shared" si="1"/>
        <v>350</v>
      </c>
      <c r="I11">
        <v>400</v>
      </c>
      <c r="J11">
        <f t="shared" si="2"/>
        <v>400</v>
      </c>
      <c r="K11" s="139">
        <v>400</v>
      </c>
      <c r="L11" s="139">
        <f t="shared" si="3"/>
        <v>400</v>
      </c>
      <c r="M11" s="139">
        <v>400</v>
      </c>
      <c r="N11" s="139">
        <f t="shared" si="4"/>
        <v>400</v>
      </c>
      <c r="O11">
        <v>400</v>
      </c>
      <c r="P11">
        <f t="shared" si="5"/>
        <v>400</v>
      </c>
      <c r="Q11">
        <v>450</v>
      </c>
      <c r="R11">
        <f t="shared" si="6"/>
        <v>450</v>
      </c>
      <c r="S11" s="139">
        <v>450</v>
      </c>
      <c r="T11" s="139">
        <f t="shared" si="15"/>
        <v>450</v>
      </c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O11" t="s">
        <v>557</v>
      </c>
      <c r="BP11" t="s">
        <v>556</v>
      </c>
      <c r="BQ11" s="170">
        <v>350</v>
      </c>
      <c r="BR11" s="170">
        <f t="shared" si="16"/>
        <v>350</v>
      </c>
      <c r="BS11" s="170">
        <v>350</v>
      </c>
      <c r="BT11" s="170">
        <f t="shared" si="7"/>
        <v>350</v>
      </c>
      <c r="BU11">
        <v>350</v>
      </c>
      <c r="BV11">
        <f t="shared" si="8"/>
        <v>350</v>
      </c>
      <c r="BW11">
        <v>400</v>
      </c>
      <c r="BX11">
        <f t="shared" si="9"/>
        <v>400</v>
      </c>
      <c r="BY11" s="170">
        <v>400</v>
      </c>
      <c r="BZ11" s="170">
        <f t="shared" si="10"/>
        <v>400</v>
      </c>
      <c r="CA11" s="170">
        <v>400</v>
      </c>
      <c r="CB11" s="170">
        <f t="shared" si="11"/>
        <v>400</v>
      </c>
      <c r="CC11">
        <v>400</v>
      </c>
      <c r="CD11">
        <f t="shared" si="12"/>
        <v>400</v>
      </c>
      <c r="CE11">
        <v>450</v>
      </c>
      <c r="CF11">
        <f t="shared" si="13"/>
        <v>450</v>
      </c>
      <c r="CG11" s="170">
        <v>450</v>
      </c>
      <c r="CH11" s="170">
        <f t="shared" si="17"/>
        <v>450</v>
      </c>
    </row>
    <row r="12" spans="1:86">
      <c r="A12" t="s">
        <v>558</v>
      </c>
      <c r="B12" t="s">
        <v>556</v>
      </c>
      <c r="C12" s="139">
        <v>163</v>
      </c>
      <c r="D12" s="139">
        <f t="shared" si="14"/>
        <v>163</v>
      </c>
      <c r="E12" s="139">
        <v>163</v>
      </c>
      <c r="F12" s="139">
        <f t="shared" si="0"/>
        <v>163</v>
      </c>
      <c r="G12">
        <v>163</v>
      </c>
      <c r="H12">
        <f t="shared" si="1"/>
        <v>163</v>
      </c>
      <c r="I12">
        <v>190</v>
      </c>
      <c r="J12">
        <f t="shared" si="2"/>
        <v>190</v>
      </c>
      <c r="K12" s="139">
        <v>190</v>
      </c>
      <c r="L12" s="139">
        <f t="shared" si="3"/>
        <v>190</v>
      </c>
      <c r="M12" s="139">
        <v>190</v>
      </c>
      <c r="N12" s="139">
        <f t="shared" si="4"/>
        <v>190</v>
      </c>
      <c r="O12">
        <v>218</v>
      </c>
      <c r="P12">
        <f t="shared" si="5"/>
        <v>218</v>
      </c>
      <c r="Q12">
        <v>218</v>
      </c>
      <c r="R12">
        <f t="shared" si="6"/>
        <v>218</v>
      </c>
      <c r="S12" s="139">
        <v>218</v>
      </c>
      <c r="T12" s="139">
        <f t="shared" si="15"/>
        <v>218</v>
      </c>
      <c r="X12" t="s">
        <v>378</v>
      </c>
      <c r="Y12" t="s">
        <v>42</v>
      </c>
      <c r="Z12" s="143">
        <v>4960.0060000000003</v>
      </c>
      <c r="AA12" s="143">
        <v>11699.89</v>
      </c>
      <c r="AB12" s="143">
        <v>0</v>
      </c>
      <c r="AC12" s="143">
        <v>288.93459999999999</v>
      </c>
      <c r="AD12" s="143">
        <v>2474.029</v>
      </c>
      <c r="AE12" s="143">
        <v>1020.98</v>
      </c>
      <c r="AF12" s="143">
        <v>3761.88</v>
      </c>
      <c r="AG12" s="143">
        <v>2763.7979999999998</v>
      </c>
      <c r="AH12" s="143">
        <v>909.19129999999996</v>
      </c>
      <c r="AI12" s="143">
        <v>3264.212</v>
      </c>
      <c r="AJ12" s="143">
        <v>288.93459999999999</v>
      </c>
      <c r="AK12" s="143">
        <v>5671.884</v>
      </c>
      <c r="AL12" s="143"/>
      <c r="AM12" s="143"/>
      <c r="AN12" s="143">
        <v>12893.69</v>
      </c>
      <c r="AO12" s="143">
        <v>29756.58</v>
      </c>
      <c r="AP12" s="143">
        <v>485.69959999999998</v>
      </c>
      <c r="AQ12" s="143">
        <v>0</v>
      </c>
      <c r="AR12" s="143">
        <v>5380.09</v>
      </c>
      <c r="AS12" s="143">
        <v>3921.7539999999999</v>
      </c>
      <c r="AT12" s="143">
        <v>9211.7559999999994</v>
      </c>
      <c r="AU12" s="143">
        <v>5726.74</v>
      </c>
      <c r="AV12" s="143">
        <v>3204.4180000000001</v>
      </c>
      <c r="AW12" s="143">
        <v>4923.3360000000002</v>
      </c>
      <c r="AX12" s="143">
        <v>477.51909999999998</v>
      </c>
      <c r="AY12" s="143">
        <v>19106.5</v>
      </c>
      <c r="BA12" s="143">
        <v>1</v>
      </c>
      <c r="BB12" s="143">
        <v>1676.471</v>
      </c>
      <c r="BC12" s="143">
        <v>0</v>
      </c>
      <c r="BD12" s="143">
        <v>0</v>
      </c>
      <c r="BE12" s="143">
        <v>1</v>
      </c>
      <c r="BF12" s="143">
        <v>218.18709999999999</v>
      </c>
      <c r="BG12" s="143">
        <v>1</v>
      </c>
      <c r="BH12" s="143">
        <v>670.26689999999996</v>
      </c>
      <c r="BI12" s="143">
        <v>0</v>
      </c>
      <c r="BJ12" s="143">
        <v>108.0372</v>
      </c>
      <c r="BK12" s="143">
        <v>0</v>
      </c>
      <c r="BL12" s="143">
        <v>898.16719999999998</v>
      </c>
      <c r="BO12" t="s">
        <v>558</v>
      </c>
      <c r="BP12" t="s">
        <v>556</v>
      </c>
      <c r="BQ12" s="170">
        <v>163</v>
      </c>
      <c r="BR12" s="170">
        <f t="shared" si="16"/>
        <v>163</v>
      </c>
      <c r="BS12" s="170">
        <v>163</v>
      </c>
      <c r="BT12" s="170">
        <f t="shared" si="7"/>
        <v>163</v>
      </c>
      <c r="BU12">
        <v>163</v>
      </c>
      <c r="BV12">
        <f t="shared" si="8"/>
        <v>163</v>
      </c>
      <c r="BW12">
        <v>190</v>
      </c>
      <c r="BX12">
        <f t="shared" si="9"/>
        <v>190</v>
      </c>
      <c r="BY12" s="170">
        <v>190</v>
      </c>
      <c r="BZ12" s="170">
        <f t="shared" si="10"/>
        <v>190</v>
      </c>
      <c r="CA12" s="170">
        <v>190</v>
      </c>
      <c r="CB12" s="170">
        <f t="shared" si="11"/>
        <v>190</v>
      </c>
      <c r="CC12">
        <v>218</v>
      </c>
      <c r="CD12">
        <f t="shared" si="12"/>
        <v>218</v>
      </c>
      <c r="CE12">
        <v>218</v>
      </c>
      <c r="CF12">
        <f t="shared" si="13"/>
        <v>218</v>
      </c>
      <c r="CG12" s="170">
        <v>218</v>
      </c>
      <c r="CH12" s="170">
        <f t="shared" si="17"/>
        <v>218</v>
      </c>
    </row>
    <row r="13" spans="1:86">
      <c r="A13" t="s">
        <v>559</v>
      </c>
      <c r="B13" t="s">
        <v>556</v>
      </c>
      <c r="C13" s="139">
        <v>188</v>
      </c>
      <c r="D13" s="139">
        <f t="shared" si="14"/>
        <v>188</v>
      </c>
      <c r="E13" s="139">
        <v>188</v>
      </c>
      <c r="F13" s="139">
        <f t="shared" si="0"/>
        <v>188</v>
      </c>
      <c r="G13">
        <v>188</v>
      </c>
      <c r="H13">
        <f t="shared" si="1"/>
        <v>188</v>
      </c>
      <c r="I13">
        <v>215</v>
      </c>
      <c r="J13">
        <f t="shared" si="2"/>
        <v>215</v>
      </c>
      <c r="K13" s="139">
        <v>215</v>
      </c>
      <c r="L13" s="139">
        <f t="shared" si="3"/>
        <v>215</v>
      </c>
      <c r="M13" s="139">
        <v>215</v>
      </c>
      <c r="N13" s="139">
        <f t="shared" si="4"/>
        <v>215</v>
      </c>
      <c r="O13">
        <v>243</v>
      </c>
      <c r="P13">
        <f t="shared" si="5"/>
        <v>243</v>
      </c>
      <c r="Q13">
        <v>243</v>
      </c>
      <c r="R13">
        <f t="shared" si="6"/>
        <v>243</v>
      </c>
      <c r="S13" s="139">
        <v>243</v>
      </c>
      <c r="T13" s="139">
        <f t="shared" si="15"/>
        <v>243</v>
      </c>
      <c r="X13" t="s">
        <v>378</v>
      </c>
      <c r="Y13" t="s">
        <v>43</v>
      </c>
      <c r="Z13" s="143">
        <v>5058.7539999999999</v>
      </c>
      <c r="AA13" s="143">
        <v>8731.1020000000008</v>
      </c>
      <c r="AB13" s="143">
        <v>0</v>
      </c>
      <c r="AC13" s="143">
        <v>0</v>
      </c>
      <c r="AD13" s="143">
        <v>1248.6769999999999</v>
      </c>
      <c r="AE13" s="143">
        <v>983.45960000000002</v>
      </c>
      <c r="AF13" s="143">
        <v>3475.3380000000002</v>
      </c>
      <c r="AG13" s="143">
        <v>1239.0050000000001</v>
      </c>
      <c r="AH13" s="143">
        <v>1118.9490000000001</v>
      </c>
      <c r="AI13" s="143">
        <v>2422.0439999999999</v>
      </c>
      <c r="AJ13" s="143">
        <v>464.46600000000001</v>
      </c>
      <c r="AK13" s="143">
        <v>5070.0519999999997</v>
      </c>
      <c r="AL13" s="143"/>
      <c r="AM13" s="143"/>
      <c r="AN13" s="143">
        <v>20243.2</v>
      </c>
      <c r="AO13" s="143">
        <v>44409.32</v>
      </c>
      <c r="AP13" s="143">
        <v>1267.779</v>
      </c>
      <c r="AQ13" s="143">
        <v>975.30269999999996</v>
      </c>
      <c r="AR13" s="143">
        <v>6691.3050000000003</v>
      </c>
      <c r="AS13" s="143">
        <v>6783.6229999999996</v>
      </c>
      <c r="AT13" s="143">
        <v>14104.64</v>
      </c>
      <c r="AU13" s="143">
        <v>15247.99</v>
      </c>
      <c r="AV13" s="143">
        <v>5391.2039999999997</v>
      </c>
      <c r="AW13" s="143">
        <v>11014.9</v>
      </c>
      <c r="AX13" s="143">
        <v>747.34839999999997</v>
      </c>
      <c r="AY13" s="143">
        <v>18146.43</v>
      </c>
      <c r="BA13" s="143">
        <v>221.0831</v>
      </c>
      <c r="BB13" s="143">
        <v>930.96939999999995</v>
      </c>
      <c r="BC13" s="143">
        <v>0</v>
      </c>
      <c r="BD13" s="143">
        <v>0</v>
      </c>
      <c r="BE13" s="143">
        <v>7</v>
      </c>
      <c r="BF13" s="143">
        <v>230.93870000000001</v>
      </c>
      <c r="BG13" s="143">
        <v>2</v>
      </c>
      <c r="BH13" s="143">
        <v>453.62119999999999</v>
      </c>
      <c r="BI13" s="143">
        <v>3</v>
      </c>
      <c r="BJ13" s="143">
        <v>237.40950000000001</v>
      </c>
      <c r="BK13" s="143">
        <v>216.0831</v>
      </c>
      <c r="BL13" s="143">
        <v>239.93870000000001</v>
      </c>
      <c r="BO13" t="s">
        <v>559</v>
      </c>
      <c r="BP13" t="s">
        <v>556</v>
      </c>
      <c r="BQ13" s="170">
        <v>188</v>
      </c>
      <c r="BR13" s="170">
        <f t="shared" si="16"/>
        <v>188</v>
      </c>
      <c r="BS13" s="170">
        <v>188</v>
      </c>
      <c r="BT13" s="170">
        <f t="shared" si="7"/>
        <v>188</v>
      </c>
      <c r="BU13">
        <v>188</v>
      </c>
      <c r="BV13">
        <f t="shared" si="8"/>
        <v>188</v>
      </c>
      <c r="BW13">
        <v>215</v>
      </c>
      <c r="BX13">
        <f t="shared" si="9"/>
        <v>215</v>
      </c>
      <c r="BY13" s="170">
        <v>215</v>
      </c>
      <c r="BZ13" s="170">
        <f t="shared" si="10"/>
        <v>215</v>
      </c>
      <c r="CA13" s="170">
        <v>215</v>
      </c>
      <c r="CB13" s="170">
        <f t="shared" si="11"/>
        <v>215</v>
      </c>
      <c r="CC13">
        <v>243</v>
      </c>
      <c r="CD13">
        <f t="shared" si="12"/>
        <v>243</v>
      </c>
      <c r="CE13">
        <v>243</v>
      </c>
      <c r="CF13">
        <f t="shared" si="13"/>
        <v>243</v>
      </c>
      <c r="CG13" s="170">
        <v>243</v>
      </c>
      <c r="CH13" s="170">
        <f t="shared" si="17"/>
        <v>243</v>
      </c>
    </row>
    <row r="14" spans="1:86">
      <c r="A14" t="s">
        <v>111</v>
      </c>
      <c r="B14" t="s">
        <v>136</v>
      </c>
      <c r="C14" s="139">
        <v>3.24</v>
      </c>
      <c r="D14" s="139">
        <f t="shared" si="14"/>
        <v>3.24</v>
      </c>
      <c r="E14" s="139">
        <v>3.24</v>
      </c>
      <c r="F14" s="139">
        <f t="shared" si="0"/>
        <v>3.24</v>
      </c>
      <c r="G14">
        <v>3.24</v>
      </c>
      <c r="H14">
        <f t="shared" si="1"/>
        <v>3.24</v>
      </c>
      <c r="I14">
        <v>3.24</v>
      </c>
      <c r="J14">
        <f t="shared" si="2"/>
        <v>3.24</v>
      </c>
      <c r="K14" s="139">
        <v>3.24</v>
      </c>
      <c r="L14" s="139">
        <f t="shared" si="3"/>
        <v>3.24</v>
      </c>
      <c r="M14" s="139">
        <v>3.8</v>
      </c>
      <c r="N14" s="139">
        <f t="shared" si="4"/>
        <v>3.8</v>
      </c>
      <c r="O14">
        <v>3.24</v>
      </c>
      <c r="P14">
        <f t="shared" si="5"/>
        <v>3.24</v>
      </c>
      <c r="Q14">
        <v>3.24</v>
      </c>
      <c r="R14">
        <f t="shared" si="6"/>
        <v>3.24</v>
      </c>
      <c r="S14" s="139">
        <v>3.8</v>
      </c>
      <c r="T14" s="139">
        <f t="shared" si="15"/>
        <v>3.8</v>
      </c>
      <c r="X14" t="s">
        <v>378</v>
      </c>
      <c r="Y14" t="s">
        <v>47</v>
      </c>
      <c r="Z14" s="143">
        <v>5125.1589999999997</v>
      </c>
      <c r="AA14" s="143">
        <v>12455.25</v>
      </c>
      <c r="AB14" s="143">
        <v>254.11179999999999</v>
      </c>
      <c r="AC14" s="143">
        <v>507.2937</v>
      </c>
      <c r="AD14" s="143">
        <v>2204.7930000000001</v>
      </c>
      <c r="AE14" s="143">
        <v>4389.5209999999997</v>
      </c>
      <c r="AF14" s="143">
        <v>3731.6370000000002</v>
      </c>
      <c r="AG14" s="143">
        <v>3476.56</v>
      </c>
      <c r="AH14" s="143">
        <v>1126.222</v>
      </c>
      <c r="AI14" s="143">
        <v>2063.547</v>
      </c>
      <c r="AJ14" s="143">
        <v>267.29919999999998</v>
      </c>
      <c r="AK14" s="143">
        <v>6915.1390000000001</v>
      </c>
      <c r="AL14" s="143"/>
      <c r="AM14" s="143"/>
      <c r="AN14" s="143">
        <v>21082.06</v>
      </c>
      <c r="AO14" s="143">
        <v>51690.47</v>
      </c>
      <c r="AP14" s="143">
        <v>973.43820000000005</v>
      </c>
      <c r="AQ14" s="143">
        <v>1403.7550000000001</v>
      </c>
      <c r="AR14" s="143">
        <v>14046.27</v>
      </c>
      <c r="AS14" s="143">
        <v>8289.2440000000006</v>
      </c>
      <c r="AT14" s="143">
        <v>16429.22</v>
      </c>
      <c r="AU14" s="143">
        <v>9930.1319999999996</v>
      </c>
      <c r="AV14" s="143">
        <v>3764.9540000000002</v>
      </c>
      <c r="AW14" s="143">
        <v>11297.31</v>
      </c>
      <c r="AX14" s="143">
        <v>887.88670000000002</v>
      </c>
      <c r="AY14" s="143">
        <v>30463.03</v>
      </c>
      <c r="BA14" s="143">
        <v>1112.7829999999999</v>
      </c>
      <c r="BB14" s="143">
        <v>6589.3090000000002</v>
      </c>
      <c r="BC14" s="143">
        <v>8</v>
      </c>
      <c r="BD14" s="143">
        <v>273.81049999999999</v>
      </c>
      <c r="BE14" s="143">
        <v>1104.3800000000001</v>
      </c>
      <c r="BF14" s="143">
        <v>1723.4059999999999</v>
      </c>
      <c r="BG14" s="143">
        <v>1106.7829999999999</v>
      </c>
      <c r="BH14" s="143">
        <v>2532.6120000000001</v>
      </c>
      <c r="BI14" s="143">
        <v>1</v>
      </c>
      <c r="BJ14" s="143">
        <v>1149.345</v>
      </c>
      <c r="BK14" s="143">
        <v>5</v>
      </c>
      <c r="BL14" s="143">
        <v>2907.3519999999999</v>
      </c>
      <c r="BO14" t="s">
        <v>111</v>
      </c>
      <c r="BP14" t="s">
        <v>136</v>
      </c>
      <c r="BQ14" s="170">
        <v>3.24</v>
      </c>
      <c r="BR14" s="170">
        <f t="shared" si="16"/>
        <v>3.24</v>
      </c>
      <c r="BS14" s="170">
        <v>3.24</v>
      </c>
      <c r="BT14" s="170">
        <f t="shared" si="7"/>
        <v>3.24</v>
      </c>
      <c r="BU14">
        <v>3.24</v>
      </c>
      <c r="BV14">
        <f t="shared" si="8"/>
        <v>3.24</v>
      </c>
      <c r="BW14">
        <v>3.24</v>
      </c>
      <c r="BX14">
        <f t="shared" si="9"/>
        <v>3.24</v>
      </c>
      <c r="BY14" s="170">
        <v>3.24</v>
      </c>
      <c r="BZ14" s="170">
        <f t="shared" si="10"/>
        <v>3.24</v>
      </c>
      <c r="CA14" s="170">
        <v>3.8</v>
      </c>
      <c r="CB14" s="170">
        <f t="shared" si="11"/>
        <v>3.8</v>
      </c>
      <c r="CC14">
        <v>3.24</v>
      </c>
      <c r="CD14">
        <f t="shared" si="12"/>
        <v>3.24</v>
      </c>
      <c r="CE14">
        <v>3.24</v>
      </c>
      <c r="CF14">
        <f t="shared" si="13"/>
        <v>3.24</v>
      </c>
      <c r="CG14" s="170">
        <v>3.8</v>
      </c>
      <c r="CH14" s="170">
        <f t="shared" si="17"/>
        <v>3.8</v>
      </c>
    </row>
    <row r="15" spans="1:86">
      <c r="A15" t="s">
        <v>109</v>
      </c>
      <c r="B15" t="s">
        <v>136</v>
      </c>
      <c r="C15" s="139">
        <v>3.56</v>
      </c>
      <c r="D15" s="139">
        <f t="shared" si="14"/>
        <v>3.56</v>
      </c>
      <c r="E15" s="139">
        <v>3.56</v>
      </c>
      <c r="F15" s="139">
        <f>E15</f>
        <v>3.56</v>
      </c>
      <c r="G15">
        <v>3.56</v>
      </c>
      <c r="H15">
        <f>G15</f>
        <v>3.56</v>
      </c>
      <c r="I15">
        <v>3.56</v>
      </c>
      <c r="J15">
        <f t="shared" si="2"/>
        <v>3.56</v>
      </c>
      <c r="K15" s="139">
        <v>3.56</v>
      </c>
      <c r="L15" s="139">
        <f t="shared" si="3"/>
        <v>3.56</v>
      </c>
      <c r="M15" s="139">
        <v>3.56</v>
      </c>
      <c r="N15" s="139">
        <f t="shared" si="4"/>
        <v>3.56</v>
      </c>
      <c r="O15">
        <v>3.56</v>
      </c>
      <c r="P15">
        <f t="shared" si="5"/>
        <v>3.56</v>
      </c>
      <c r="Q15">
        <v>3.56</v>
      </c>
      <c r="R15">
        <f t="shared" si="6"/>
        <v>3.56</v>
      </c>
      <c r="S15" s="139">
        <v>3.56</v>
      </c>
      <c r="T15" s="139">
        <f t="shared" si="15"/>
        <v>3.56</v>
      </c>
      <c r="X15" t="s">
        <v>378</v>
      </c>
      <c r="Y15" t="s">
        <v>58</v>
      </c>
      <c r="Z15" s="143">
        <v>3491.5279999999998</v>
      </c>
      <c r="AA15" s="143">
        <v>7259.7389999999996</v>
      </c>
      <c r="AB15" s="143">
        <v>0</v>
      </c>
      <c r="AC15" s="143">
        <v>521.73400000000004</v>
      </c>
      <c r="AD15" s="143">
        <v>1038.4590000000001</v>
      </c>
      <c r="AE15" s="143">
        <v>1758.6559999999999</v>
      </c>
      <c r="AF15" s="143">
        <v>2126.098</v>
      </c>
      <c r="AG15" s="143">
        <v>2295.8049999999998</v>
      </c>
      <c r="AH15" s="143">
        <v>1085.066</v>
      </c>
      <c r="AI15" s="143">
        <v>763.90740000000005</v>
      </c>
      <c r="AJ15" s="143">
        <v>280.36380000000003</v>
      </c>
      <c r="AK15" s="143">
        <v>4200.0259999999998</v>
      </c>
      <c r="AL15" s="143"/>
      <c r="AM15" s="143"/>
      <c r="AN15" s="143">
        <v>4779.951</v>
      </c>
      <c r="AO15" s="143">
        <v>17521.55</v>
      </c>
      <c r="AP15" s="143">
        <v>2</v>
      </c>
      <c r="AQ15" s="143">
        <v>1</v>
      </c>
      <c r="AR15" s="143">
        <v>3112.89</v>
      </c>
      <c r="AS15" s="143">
        <v>2816.962</v>
      </c>
      <c r="AT15" s="143">
        <v>3685.16</v>
      </c>
      <c r="AU15" s="143">
        <v>4436.616</v>
      </c>
      <c r="AV15" s="143">
        <v>1075.7909999999999</v>
      </c>
      <c r="AW15" s="143">
        <v>2928.498</v>
      </c>
      <c r="AX15" s="143">
        <v>19</v>
      </c>
      <c r="AY15" s="143">
        <v>10156.44</v>
      </c>
      <c r="BA15" s="143">
        <v>1090.71</v>
      </c>
      <c r="BB15" s="143">
        <v>6962.1379999999999</v>
      </c>
      <c r="BC15" s="143">
        <v>1</v>
      </c>
      <c r="BD15" s="143">
        <v>510.18680000000001</v>
      </c>
      <c r="BE15" s="143">
        <v>799.08399999999995</v>
      </c>
      <c r="BF15" s="143">
        <v>2302.9470000000001</v>
      </c>
      <c r="BG15" s="143">
        <v>831.39829999999995</v>
      </c>
      <c r="BH15" s="143">
        <v>2253.9740000000002</v>
      </c>
      <c r="BI15" s="143">
        <v>259.3116</v>
      </c>
      <c r="BJ15" s="143">
        <v>1591.04</v>
      </c>
      <c r="BK15" s="143">
        <v>0</v>
      </c>
      <c r="BL15" s="143">
        <v>3117.1239999999998</v>
      </c>
      <c r="BO15" t="s">
        <v>109</v>
      </c>
      <c r="BP15" t="s">
        <v>136</v>
      </c>
      <c r="BQ15" s="170">
        <v>3.56</v>
      </c>
      <c r="BR15" s="170">
        <f t="shared" si="16"/>
        <v>3.56</v>
      </c>
      <c r="BS15" s="170">
        <v>3.56</v>
      </c>
      <c r="BT15" s="170">
        <f>BS15</f>
        <v>3.56</v>
      </c>
      <c r="BU15">
        <v>3.56</v>
      </c>
      <c r="BV15">
        <f>BU15</f>
        <v>3.56</v>
      </c>
      <c r="BW15">
        <v>3.56</v>
      </c>
      <c r="BX15">
        <f t="shared" si="9"/>
        <v>3.56</v>
      </c>
      <c r="BY15" s="170">
        <v>3.56</v>
      </c>
      <c r="BZ15" s="170">
        <f t="shared" si="10"/>
        <v>3.56</v>
      </c>
      <c r="CA15" s="170">
        <v>3.56</v>
      </c>
      <c r="CB15" s="170">
        <f t="shared" si="11"/>
        <v>3.56</v>
      </c>
      <c r="CC15">
        <v>3.56</v>
      </c>
      <c r="CD15">
        <f t="shared" si="12"/>
        <v>3.56</v>
      </c>
      <c r="CE15">
        <v>3.56</v>
      </c>
      <c r="CF15">
        <f t="shared" si="13"/>
        <v>3.56</v>
      </c>
      <c r="CG15" s="170">
        <v>3.56</v>
      </c>
      <c r="CH15" s="170">
        <f t="shared" si="17"/>
        <v>3.56</v>
      </c>
    </row>
    <row r="16" spans="1:86">
      <c r="A16" t="s">
        <v>560</v>
      </c>
      <c r="B16" t="s">
        <v>556</v>
      </c>
      <c r="C16" s="206">
        <f>(2.14441096333333*230)*(1+J2)</f>
        <v>1775.6931778478088</v>
      </c>
      <c r="D16" s="206">
        <f>((2.14441096333333*1.35)*230)*(1+J2)</f>
        <v>2397.1857900945415</v>
      </c>
      <c r="E16" s="206">
        <f>C16</f>
        <v>1775.6931778478088</v>
      </c>
      <c r="F16" s="206">
        <f>D16</f>
        <v>2397.1857900945415</v>
      </c>
      <c r="G16" s="148">
        <f>C16</f>
        <v>1775.6931778478088</v>
      </c>
      <c r="H16" s="148">
        <f>D16</f>
        <v>2397.1857900945415</v>
      </c>
      <c r="I16" s="148">
        <f>(3.44832676666667*250)*(1+J2)</f>
        <v>3103.7054095194317</v>
      </c>
      <c r="J16">
        <f>((3.44832676666667*1.35)*250)*(1+J2)</f>
        <v>4190.0023028512333</v>
      </c>
      <c r="K16" s="206">
        <f>I16</f>
        <v>3103.7054095194317</v>
      </c>
      <c r="L16" s="139">
        <f>J16</f>
        <v>4190.0023028512333</v>
      </c>
      <c r="M16" s="206">
        <f>I16</f>
        <v>3103.7054095194317</v>
      </c>
      <c r="N16" s="139">
        <f>J16</f>
        <v>4190.0023028512333</v>
      </c>
      <c r="O16" s="148">
        <f>(5.6280519*280)*(1+J2)</f>
        <v>5673.4625997315143</v>
      </c>
      <c r="P16">
        <f>((5.6280519*1.35)*280)*(1+J2)</f>
        <v>7659.1745096375435</v>
      </c>
      <c r="Q16" s="148">
        <f>O16</f>
        <v>5673.4625997315143</v>
      </c>
      <c r="R16">
        <f>P16</f>
        <v>7659.1745096375435</v>
      </c>
      <c r="S16" s="206">
        <f>O16</f>
        <v>5673.4625997315143</v>
      </c>
      <c r="T16" s="139">
        <f>P16</f>
        <v>7659.1745096375435</v>
      </c>
      <c r="U16" s="116"/>
      <c r="V16" s="116"/>
      <c r="W16" s="116"/>
      <c r="X16" t="s">
        <v>378</v>
      </c>
      <c r="Y16" t="s">
        <v>70</v>
      </c>
      <c r="Z16" s="143">
        <v>5261.5469999999996</v>
      </c>
      <c r="AA16" s="143">
        <v>13804.88</v>
      </c>
      <c r="AB16" s="143">
        <v>0</v>
      </c>
      <c r="AC16" s="143">
        <v>421.01389999999998</v>
      </c>
      <c r="AD16" s="143">
        <v>1612.373</v>
      </c>
      <c r="AE16" s="143">
        <v>2676.2689999999998</v>
      </c>
      <c r="AF16" s="143">
        <v>3133.4290000000001</v>
      </c>
      <c r="AG16" s="143">
        <v>2991.8449999999998</v>
      </c>
      <c r="AH16" s="143">
        <v>1876.681</v>
      </c>
      <c r="AI16" s="143">
        <v>2212.0549999999998</v>
      </c>
      <c r="AJ16" s="143">
        <v>251.43690000000001</v>
      </c>
      <c r="AK16" s="143">
        <v>8600.9809999999998</v>
      </c>
      <c r="AL16" s="143"/>
      <c r="AM16" s="143"/>
      <c r="AN16" s="143">
        <v>10726.93</v>
      </c>
      <c r="AO16" s="143">
        <v>32030.06</v>
      </c>
      <c r="AP16" s="143">
        <v>244.18350000000001</v>
      </c>
      <c r="AQ16" s="143">
        <v>2230.069</v>
      </c>
      <c r="AR16" s="143">
        <v>3739.8989999999999</v>
      </c>
      <c r="AS16" s="143">
        <v>5840.1509999999998</v>
      </c>
      <c r="AT16" s="143">
        <v>6521.9759999999997</v>
      </c>
      <c r="AU16" s="143">
        <v>7189.5439999999999</v>
      </c>
      <c r="AV16" s="143">
        <v>3510.2339999999999</v>
      </c>
      <c r="AW16" s="143">
        <v>7983.1369999999997</v>
      </c>
      <c r="AX16" s="143">
        <v>694.71789999999999</v>
      </c>
      <c r="AY16" s="143">
        <v>16857.38</v>
      </c>
      <c r="BA16" s="143">
        <v>46</v>
      </c>
      <c r="BB16" s="143">
        <v>1753.62</v>
      </c>
      <c r="BC16" s="143">
        <v>2</v>
      </c>
      <c r="BD16" s="143">
        <v>12</v>
      </c>
      <c r="BE16" s="143">
        <v>261.42290000000003</v>
      </c>
      <c r="BF16" s="143">
        <v>580.28710000000001</v>
      </c>
      <c r="BG16" s="143">
        <v>40</v>
      </c>
      <c r="BH16" s="143">
        <v>328.04899999999998</v>
      </c>
      <c r="BI16" s="143">
        <v>1</v>
      </c>
      <c r="BJ16" s="143">
        <v>550.86130000000003</v>
      </c>
      <c r="BK16" s="143">
        <v>5</v>
      </c>
      <c r="BL16" s="143">
        <v>874.71</v>
      </c>
      <c r="BO16" t="s">
        <v>560</v>
      </c>
      <c r="BP16" t="s">
        <v>556</v>
      </c>
      <c r="BQ16" s="170">
        <f>(2.14441096333333*230)*(1+BX2)</f>
        <v>1775.6931778478088</v>
      </c>
      <c r="BR16" s="170">
        <f>((2.14441096333333*1.1)*230)*(1+BX2)</f>
        <v>1953.2624956325894</v>
      </c>
      <c r="BS16" s="170">
        <f>BQ16</f>
        <v>1775.6931778478088</v>
      </c>
      <c r="BT16" s="170">
        <f>BR16</f>
        <v>1953.2624956325894</v>
      </c>
      <c r="BU16">
        <f>BQ16</f>
        <v>1775.6931778478088</v>
      </c>
      <c r="BV16">
        <f>BR16</f>
        <v>1953.2624956325894</v>
      </c>
      <c r="BW16">
        <f>(3.44832676666667*250)*(1+BX2)</f>
        <v>3103.7054095194317</v>
      </c>
      <c r="BX16">
        <f>((3.44832676666667*1.1)*250)*(1+BX2)</f>
        <v>3414.0759504713756</v>
      </c>
      <c r="BY16" s="170">
        <f>BW16</f>
        <v>3103.7054095194317</v>
      </c>
      <c r="BZ16" s="170">
        <f>BX16</f>
        <v>3414.0759504713756</v>
      </c>
      <c r="CA16" s="170">
        <f>BW16</f>
        <v>3103.7054095194317</v>
      </c>
      <c r="CB16" s="170">
        <f>BX16</f>
        <v>3414.0759504713756</v>
      </c>
      <c r="CC16">
        <f>(5.6280519*280)*(1+BX2)</f>
        <v>5673.4625997315143</v>
      </c>
      <c r="CD16">
        <f>((5.6280519*1.1)*280)*(1+BX2)</f>
        <v>6240.8088597046653</v>
      </c>
      <c r="CE16">
        <f>CC16</f>
        <v>5673.4625997315143</v>
      </c>
      <c r="CF16">
        <f>CD16</f>
        <v>6240.8088597046653</v>
      </c>
      <c r="CG16" s="170">
        <f>CC16</f>
        <v>5673.4625997315143</v>
      </c>
      <c r="CH16" s="170">
        <f>CD16</f>
        <v>6240.8088597046653</v>
      </c>
    </row>
    <row r="17" spans="1:86">
      <c r="A17" t="s">
        <v>561</v>
      </c>
      <c r="B17" t="s">
        <v>430</v>
      </c>
      <c r="C17" s="207">
        <f>X90</f>
        <v>1252.0885999845095</v>
      </c>
      <c r="D17" s="207">
        <f>C17*(1+$F$2)</f>
        <v>1423.240812981664</v>
      </c>
      <c r="E17" s="207">
        <f>AA90</f>
        <v>2428.7142921180566</v>
      </c>
      <c r="F17" s="207">
        <f>E17*($F$2+1)</f>
        <v>2760.7034387638814</v>
      </c>
      <c r="G17" s="176">
        <f>AD90</f>
        <v>59543.694502439925</v>
      </c>
      <c r="H17" s="176">
        <f>G17*($F$2+1)</f>
        <v>67682.922895898009</v>
      </c>
      <c r="I17" s="173">
        <f>Y90</f>
        <v>2296.5328962487019</v>
      </c>
      <c r="J17" s="173">
        <f>I17*(1+$G$2)</f>
        <v>2867.2980342583119</v>
      </c>
      <c r="K17" s="212">
        <f>AB90</f>
        <v>4454.6546206933772</v>
      </c>
      <c r="L17" s="207">
        <f>K17*(1+$G$2)</f>
        <v>5561.7850970381223</v>
      </c>
      <c r="M17" s="212">
        <f>AE90</f>
        <v>109212.76113425841</v>
      </c>
      <c r="N17" s="207">
        <f>M17*($G$2+1)</f>
        <v>136355.78041476911</v>
      </c>
      <c r="O17" s="173">
        <f>Z90</f>
        <v>271.22648287039061</v>
      </c>
      <c r="P17" s="173">
        <f>O17*(1+$H$2)</f>
        <v>279.09084765742642</v>
      </c>
      <c r="Q17" s="176">
        <f>AC90</f>
        <v>526.10624787765062</v>
      </c>
      <c r="R17" s="173">
        <f>Q17*(1+$H$2)</f>
        <v>541.36099515107855</v>
      </c>
      <c r="S17" s="212">
        <f>AF90</f>
        <v>12898.309941649171</v>
      </c>
      <c r="T17" s="207">
        <f>S17*(1+$H$2)</f>
        <v>13272.303710413458</v>
      </c>
      <c r="U17" s="116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O17" t="s">
        <v>561</v>
      </c>
      <c r="BP17" t="s">
        <v>430</v>
      </c>
      <c r="BQ17" s="172">
        <f>C17</f>
        <v>1252.0885999845095</v>
      </c>
      <c r="BR17" s="172">
        <f t="shared" ref="BR17:CH18" si="18">D17</f>
        <v>1423.240812981664</v>
      </c>
      <c r="BS17" s="172">
        <f t="shared" si="18"/>
        <v>2428.7142921180566</v>
      </c>
      <c r="BT17" s="172">
        <f t="shared" si="18"/>
        <v>2760.7034387638814</v>
      </c>
      <c r="BU17" s="165">
        <f t="shared" si="18"/>
        <v>59543.694502439925</v>
      </c>
      <c r="BV17" s="165">
        <f t="shared" si="18"/>
        <v>67682.922895898009</v>
      </c>
      <c r="BW17" s="165">
        <f t="shared" si="18"/>
        <v>2296.5328962487019</v>
      </c>
      <c r="BX17" s="165">
        <f t="shared" si="18"/>
        <v>2867.2980342583119</v>
      </c>
      <c r="BY17" s="172">
        <f t="shared" si="18"/>
        <v>4454.6546206933772</v>
      </c>
      <c r="BZ17" s="172">
        <f t="shared" si="18"/>
        <v>5561.7850970381223</v>
      </c>
      <c r="CA17" s="172">
        <f t="shared" si="18"/>
        <v>109212.76113425841</v>
      </c>
      <c r="CB17" s="172">
        <f t="shared" si="18"/>
        <v>136355.78041476911</v>
      </c>
      <c r="CC17" s="165">
        <f t="shared" si="18"/>
        <v>271.22648287039061</v>
      </c>
      <c r="CD17" s="165">
        <f t="shared" si="18"/>
        <v>279.09084765742642</v>
      </c>
      <c r="CE17" s="165">
        <f t="shared" si="18"/>
        <v>526.10624787765062</v>
      </c>
      <c r="CF17" s="165">
        <f t="shared" si="18"/>
        <v>541.36099515107855</v>
      </c>
      <c r="CG17" s="172">
        <f t="shared" si="18"/>
        <v>12898.309941649171</v>
      </c>
      <c r="CH17" s="172">
        <f t="shared" si="18"/>
        <v>13272.303710413458</v>
      </c>
    </row>
    <row r="18" spans="1:86">
      <c r="A18" t="s">
        <v>562</v>
      </c>
      <c r="B18" t="s">
        <v>430</v>
      </c>
      <c r="C18" s="207">
        <f>X91</f>
        <v>31.85848563460608</v>
      </c>
      <c r="D18" s="207">
        <f>C18*(1+$F$2)</f>
        <v>36.213329468475621</v>
      </c>
      <c r="E18" s="207">
        <f>AA91</f>
        <v>61.796872351495608</v>
      </c>
      <c r="F18" s="207">
        <f>E18*($F$2+1)</f>
        <v>70.244095223257233</v>
      </c>
      <c r="G18" s="176">
        <f>AD91</f>
        <v>1515.0460885602058</v>
      </c>
      <c r="H18" s="176">
        <f>G18*($F$2+1)</f>
        <v>1722.1428474101547</v>
      </c>
      <c r="I18" s="173">
        <f>Y91</f>
        <v>76.863336028659759</v>
      </c>
      <c r="J18" s="173">
        <f>I18*(1+$G$2)</f>
        <v>95.966442571543809</v>
      </c>
      <c r="K18" s="212">
        <f>AB91</f>
        <v>149.09414777435737</v>
      </c>
      <c r="L18" s="207">
        <f>K18*(1+$G$2)</f>
        <v>186.14902383115594</v>
      </c>
      <c r="M18" s="212">
        <f>AE91</f>
        <v>3655.2740748422452</v>
      </c>
      <c r="N18" s="207">
        <f>M18*($G$2+1)</f>
        <v>4563.7317830676229</v>
      </c>
      <c r="O18" s="173">
        <f>Z91</f>
        <v>6.4779924861701481</v>
      </c>
      <c r="P18" s="173">
        <f>O18*(1+$H$2)</f>
        <v>6.665825530568191</v>
      </c>
      <c r="Q18" s="176">
        <f>AC91</f>
        <v>12.565558807571177</v>
      </c>
      <c r="R18" s="173">
        <f>Q18*(1+$H$2)</f>
        <v>12.929904269599357</v>
      </c>
      <c r="S18" s="212">
        <f>AF91</f>
        <v>308.06414625162193</v>
      </c>
      <c r="T18" s="207">
        <f>S18*(1+$H$2)</f>
        <v>316.996639857297</v>
      </c>
      <c r="U18" s="116"/>
      <c r="V18" s="116"/>
      <c r="X18" t="s">
        <v>379</v>
      </c>
      <c r="Y18" t="s">
        <v>53</v>
      </c>
      <c r="Z18" s="143">
        <v>7553.6210000000001</v>
      </c>
      <c r="AA18" s="143">
        <v>31804.44</v>
      </c>
      <c r="AB18" s="143">
        <v>0</v>
      </c>
      <c r="AC18" s="143">
        <v>0</v>
      </c>
      <c r="AD18" s="143">
        <v>6132.9229999999998</v>
      </c>
      <c r="AE18" s="143">
        <v>4179.8670000000002</v>
      </c>
      <c r="AF18" s="143">
        <v>5461.4859999999999</v>
      </c>
      <c r="AG18" s="143">
        <v>4594.9889999999996</v>
      </c>
      <c r="AH18" s="143">
        <v>1509.5</v>
      </c>
      <c r="AI18" s="143">
        <v>6028.8940000000002</v>
      </c>
      <c r="AJ18" s="143">
        <v>582.63499999999999</v>
      </c>
      <c r="AK18" s="143">
        <v>21180.55</v>
      </c>
      <c r="AL18" s="143"/>
      <c r="AM18" s="143"/>
      <c r="AN18" s="143">
        <v>3893.2469999999998</v>
      </c>
      <c r="AO18" s="143">
        <v>18824.150000000001</v>
      </c>
      <c r="AP18" s="143">
        <v>906.66980000000001</v>
      </c>
      <c r="AQ18" s="143">
        <v>707.50559999999996</v>
      </c>
      <c r="AR18" s="143">
        <v>3099.3429999999998</v>
      </c>
      <c r="AS18" s="143">
        <v>3329.2190000000001</v>
      </c>
      <c r="AT18" s="143">
        <v>2109.6080000000002</v>
      </c>
      <c r="AU18" s="143">
        <v>3444.5479999999998</v>
      </c>
      <c r="AV18" s="143">
        <v>1385.82</v>
      </c>
      <c r="AW18" s="143">
        <v>3153.5050000000001</v>
      </c>
      <c r="AX18" s="143">
        <v>397.81970000000001</v>
      </c>
      <c r="AY18" s="143">
        <v>12226.1</v>
      </c>
      <c r="BA18" s="143">
        <v>1858.9459999999999</v>
      </c>
      <c r="BB18" s="143">
        <v>6962.777</v>
      </c>
      <c r="BC18" s="143">
        <v>0</v>
      </c>
      <c r="BD18" s="143">
        <v>0</v>
      </c>
      <c r="BE18" s="143">
        <v>1146.835</v>
      </c>
      <c r="BF18" s="143">
        <v>1198.0229999999999</v>
      </c>
      <c r="BG18" s="143">
        <v>1601.6780000000001</v>
      </c>
      <c r="BH18" s="143">
        <v>1134.1420000000001</v>
      </c>
      <c r="BI18" s="143">
        <v>257.2688</v>
      </c>
      <c r="BJ18" s="143">
        <v>1313.146</v>
      </c>
      <c r="BK18" s="143">
        <v>0</v>
      </c>
      <c r="BL18" s="143">
        <v>4515.4889999999996</v>
      </c>
      <c r="BO18" t="s">
        <v>562</v>
      </c>
      <c r="BP18" t="s">
        <v>430</v>
      </c>
      <c r="BQ18" s="172">
        <f>C18</f>
        <v>31.85848563460608</v>
      </c>
      <c r="BR18" s="172">
        <f t="shared" si="18"/>
        <v>36.213329468475621</v>
      </c>
      <c r="BS18" s="172">
        <f t="shared" si="18"/>
        <v>61.796872351495608</v>
      </c>
      <c r="BT18" s="172">
        <f t="shared" si="18"/>
        <v>70.244095223257233</v>
      </c>
      <c r="BU18" s="165">
        <f t="shared" si="18"/>
        <v>1515.0460885602058</v>
      </c>
      <c r="BV18" s="165">
        <f t="shared" si="18"/>
        <v>1722.1428474101547</v>
      </c>
      <c r="BW18" s="165">
        <f t="shared" si="18"/>
        <v>76.863336028659759</v>
      </c>
      <c r="BX18" s="165">
        <f t="shared" si="18"/>
        <v>95.966442571543809</v>
      </c>
      <c r="BY18" s="172">
        <f t="shared" si="18"/>
        <v>149.09414777435737</v>
      </c>
      <c r="BZ18" s="172">
        <f t="shared" si="18"/>
        <v>186.14902383115594</v>
      </c>
      <c r="CA18" s="172">
        <f t="shared" si="18"/>
        <v>3655.2740748422452</v>
      </c>
      <c r="CB18" s="172">
        <f t="shared" si="18"/>
        <v>4563.7317830676229</v>
      </c>
      <c r="CC18" s="165">
        <f t="shared" si="18"/>
        <v>6.4779924861701481</v>
      </c>
      <c r="CD18" s="165">
        <f t="shared" si="18"/>
        <v>6.665825530568191</v>
      </c>
      <c r="CE18" s="165">
        <f t="shared" si="18"/>
        <v>12.565558807571177</v>
      </c>
      <c r="CF18" s="165">
        <f t="shared" si="18"/>
        <v>12.929904269599357</v>
      </c>
      <c r="CG18" s="172">
        <f t="shared" si="18"/>
        <v>308.06414625162193</v>
      </c>
      <c r="CH18" s="172">
        <f t="shared" si="18"/>
        <v>316.996639857297</v>
      </c>
    </row>
    <row r="19" spans="1:86">
      <c r="A19" t="s">
        <v>563</v>
      </c>
      <c r="B19" t="s">
        <v>136</v>
      </c>
      <c r="C19" s="139">
        <v>10</v>
      </c>
      <c r="D19" s="139">
        <f>C19</f>
        <v>10</v>
      </c>
      <c r="E19" s="139">
        <v>10</v>
      </c>
      <c r="F19" s="139">
        <f>E19</f>
        <v>10</v>
      </c>
      <c r="G19">
        <v>10</v>
      </c>
      <c r="H19">
        <f>G19</f>
        <v>10</v>
      </c>
      <c r="I19">
        <v>10</v>
      </c>
      <c r="J19">
        <f t="shared" si="2"/>
        <v>10</v>
      </c>
      <c r="K19" s="139">
        <v>10</v>
      </c>
      <c r="L19" s="139">
        <f t="shared" si="3"/>
        <v>10</v>
      </c>
      <c r="M19" s="139">
        <v>10</v>
      </c>
      <c r="N19" s="139">
        <f t="shared" si="4"/>
        <v>10</v>
      </c>
      <c r="O19">
        <v>10</v>
      </c>
      <c r="P19">
        <f t="shared" si="5"/>
        <v>10</v>
      </c>
      <c r="Q19">
        <v>10</v>
      </c>
      <c r="R19">
        <f t="shared" si="6"/>
        <v>10</v>
      </c>
      <c r="S19" s="139">
        <v>10</v>
      </c>
      <c r="T19" s="139">
        <f t="shared" si="15"/>
        <v>10</v>
      </c>
      <c r="U19" s="116"/>
      <c r="X19" t="s">
        <v>379</v>
      </c>
      <c r="Y19" t="s">
        <v>60</v>
      </c>
      <c r="Z19" s="143">
        <v>7184.03</v>
      </c>
      <c r="AA19" s="143">
        <v>13433.26</v>
      </c>
      <c r="AB19" s="143">
        <v>191.06139999999999</v>
      </c>
      <c r="AC19" s="143">
        <v>0</v>
      </c>
      <c r="AD19" s="143">
        <v>3564.7739999999999</v>
      </c>
      <c r="AE19" s="143">
        <v>1264.2049999999999</v>
      </c>
      <c r="AF19" s="143">
        <v>6251.2349999999997</v>
      </c>
      <c r="AG19" s="143">
        <v>2709.357</v>
      </c>
      <c r="AH19" s="143">
        <v>932.79560000000004</v>
      </c>
      <c r="AI19" s="143">
        <v>3789.7069999999999</v>
      </c>
      <c r="AJ19" s="143">
        <v>0</v>
      </c>
      <c r="AK19" s="143">
        <v>6934.1949999999997</v>
      </c>
      <c r="AL19" s="143"/>
      <c r="AM19" s="143"/>
      <c r="AN19" s="143">
        <v>12989.21</v>
      </c>
      <c r="AO19" s="143">
        <v>38583.949999999997</v>
      </c>
      <c r="AP19" s="143">
        <v>554.26499999999999</v>
      </c>
      <c r="AQ19" s="143">
        <v>732.423</v>
      </c>
      <c r="AR19" s="143">
        <v>5971.0379999999996</v>
      </c>
      <c r="AS19" s="143">
        <v>6313.37</v>
      </c>
      <c r="AT19" s="143">
        <v>10860.67</v>
      </c>
      <c r="AU19" s="143">
        <v>10824.35</v>
      </c>
      <c r="AV19" s="143">
        <v>1248.3599999999999</v>
      </c>
      <c r="AW19" s="143">
        <v>7429.1419999999998</v>
      </c>
      <c r="AX19" s="143">
        <v>880.17370000000005</v>
      </c>
      <c r="AY19" s="143">
        <v>20330.46</v>
      </c>
      <c r="BA19" s="143">
        <v>846.87260000000003</v>
      </c>
      <c r="BB19" s="143">
        <v>1964.1410000000001</v>
      </c>
      <c r="BC19" s="143">
        <v>2</v>
      </c>
      <c r="BD19" s="143">
        <v>236.08330000000001</v>
      </c>
      <c r="BE19" s="143">
        <v>348.2672</v>
      </c>
      <c r="BF19" s="143">
        <v>486.31319999999999</v>
      </c>
      <c r="BG19" s="143">
        <v>834.87260000000003</v>
      </c>
      <c r="BH19" s="143">
        <v>683.40930000000003</v>
      </c>
      <c r="BI19" s="143">
        <v>2</v>
      </c>
      <c r="BJ19" s="143">
        <v>85</v>
      </c>
      <c r="BK19" s="143">
        <v>10</v>
      </c>
      <c r="BL19" s="143">
        <v>1195.732</v>
      </c>
      <c r="BO19" t="s">
        <v>563</v>
      </c>
      <c r="BP19" t="s">
        <v>136</v>
      </c>
      <c r="BQ19" s="170">
        <v>10</v>
      </c>
      <c r="BR19" s="170">
        <f>BQ19</f>
        <v>10</v>
      </c>
      <c r="BS19" s="170">
        <v>10</v>
      </c>
      <c r="BT19" s="170">
        <f>BS19</f>
        <v>10</v>
      </c>
      <c r="BU19">
        <v>10</v>
      </c>
      <c r="BV19">
        <f>BU19</f>
        <v>10</v>
      </c>
      <c r="BW19">
        <v>10</v>
      </c>
      <c r="BX19">
        <f t="shared" ref="BX19:BX20" si="19">BW19</f>
        <v>10</v>
      </c>
      <c r="BY19" s="170">
        <v>10</v>
      </c>
      <c r="BZ19" s="170">
        <f t="shared" ref="BZ19:BZ20" si="20">BY19</f>
        <v>10</v>
      </c>
      <c r="CA19" s="170">
        <v>10</v>
      </c>
      <c r="CB19" s="170">
        <f t="shared" ref="CB19:CB20" si="21">CA19</f>
        <v>10</v>
      </c>
      <c r="CC19">
        <v>10</v>
      </c>
      <c r="CD19">
        <f t="shared" ref="CD19:CD20" si="22">CC19</f>
        <v>10</v>
      </c>
      <c r="CE19">
        <v>10</v>
      </c>
      <c r="CF19">
        <f t="shared" ref="CF19:CF20" si="23">CE19</f>
        <v>10</v>
      </c>
      <c r="CG19" s="170">
        <v>10</v>
      </c>
      <c r="CH19" s="170">
        <f t="shared" ref="CH19:CH20" si="24">CG19</f>
        <v>10</v>
      </c>
    </row>
    <row r="20" spans="1:86">
      <c r="A20" t="s">
        <v>564</v>
      </c>
      <c r="B20" t="s">
        <v>556</v>
      </c>
      <c r="C20" s="139">
        <v>25</v>
      </c>
      <c r="D20" s="139">
        <f>C20*1.2</f>
        <v>30</v>
      </c>
      <c r="E20" s="139">
        <v>25</v>
      </c>
      <c r="F20" s="139">
        <f>E20*1.2</f>
        <v>30</v>
      </c>
      <c r="G20">
        <v>25</v>
      </c>
      <c r="H20">
        <f>G20*1.2</f>
        <v>30</v>
      </c>
      <c r="I20">
        <v>30</v>
      </c>
      <c r="J20">
        <f t="shared" si="2"/>
        <v>30</v>
      </c>
      <c r="K20" s="139">
        <v>30</v>
      </c>
      <c r="L20" s="139">
        <f t="shared" si="3"/>
        <v>30</v>
      </c>
      <c r="M20" s="139">
        <v>30</v>
      </c>
      <c r="N20" s="139">
        <f t="shared" si="4"/>
        <v>30</v>
      </c>
      <c r="O20">
        <v>35</v>
      </c>
      <c r="P20">
        <f t="shared" si="5"/>
        <v>35</v>
      </c>
      <c r="Q20">
        <v>35</v>
      </c>
      <c r="R20">
        <f t="shared" si="6"/>
        <v>35</v>
      </c>
      <c r="S20" s="139">
        <v>35</v>
      </c>
      <c r="T20" s="139">
        <f t="shared" si="15"/>
        <v>35</v>
      </c>
      <c r="U20" s="116"/>
      <c r="V20" s="116"/>
      <c r="X20" t="s">
        <v>379</v>
      </c>
      <c r="Y20" t="s">
        <v>61</v>
      </c>
      <c r="Z20" s="143">
        <v>2142.0369999999998</v>
      </c>
      <c r="AA20" s="143">
        <v>4627.4340000000002</v>
      </c>
      <c r="AB20" s="143">
        <v>509.55020000000002</v>
      </c>
      <c r="AC20" s="143">
        <v>391.42129999999997</v>
      </c>
      <c r="AD20" s="143">
        <v>1817.1990000000001</v>
      </c>
      <c r="AE20" s="143">
        <v>179.08279999999999</v>
      </c>
      <c r="AF20" s="143">
        <v>1724.8789999999999</v>
      </c>
      <c r="AG20" s="143">
        <v>512.7115</v>
      </c>
      <c r="AH20" s="143">
        <v>417.1576</v>
      </c>
      <c r="AI20" s="143">
        <v>1563.9690000000001</v>
      </c>
      <c r="AJ20" s="143">
        <v>0</v>
      </c>
      <c r="AK20" s="143">
        <v>2550.7539999999999</v>
      </c>
      <c r="AL20" s="143"/>
      <c r="AM20" s="143"/>
      <c r="AN20" s="143">
        <v>5318.9579999999996</v>
      </c>
      <c r="AO20" s="143">
        <v>24119.85</v>
      </c>
      <c r="AP20" s="143">
        <v>382.89339999999999</v>
      </c>
      <c r="AQ20" s="143">
        <v>968.27919999999995</v>
      </c>
      <c r="AR20" s="143">
        <v>4206.7939999999999</v>
      </c>
      <c r="AS20" s="143">
        <v>5801.2489999999998</v>
      </c>
      <c r="AT20" s="143">
        <v>4198.4530000000004</v>
      </c>
      <c r="AU20" s="143">
        <v>7023.9520000000002</v>
      </c>
      <c r="AV20" s="143">
        <v>831.44709999999998</v>
      </c>
      <c r="AW20" s="143">
        <v>4223.0659999999998</v>
      </c>
      <c r="AX20" s="143">
        <v>289.05799999999999</v>
      </c>
      <c r="AY20" s="143">
        <v>12872.84</v>
      </c>
      <c r="BA20" s="143">
        <v>1280.55</v>
      </c>
      <c r="BB20" s="143">
        <v>6012.991</v>
      </c>
      <c r="BC20" s="143">
        <v>115.3805</v>
      </c>
      <c r="BD20" s="143">
        <v>3</v>
      </c>
      <c r="BE20" s="143">
        <v>1099.97</v>
      </c>
      <c r="BF20" s="143">
        <v>1389.7840000000001</v>
      </c>
      <c r="BG20" s="143">
        <v>1269.55</v>
      </c>
      <c r="BH20" s="143">
        <v>1910.415</v>
      </c>
      <c r="BI20" s="143">
        <v>3</v>
      </c>
      <c r="BJ20" s="143">
        <v>484.44670000000002</v>
      </c>
      <c r="BK20" s="143">
        <v>8</v>
      </c>
      <c r="BL20" s="143">
        <v>3618.13</v>
      </c>
      <c r="BO20" t="s">
        <v>564</v>
      </c>
      <c r="BP20" t="s">
        <v>556</v>
      </c>
      <c r="BQ20" s="170">
        <v>25</v>
      </c>
      <c r="BR20" s="170">
        <f>BQ20*1.2</f>
        <v>30</v>
      </c>
      <c r="BS20" s="170">
        <v>25</v>
      </c>
      <c r="BT20" s="170">
        <f>BS20*1.2</f>
        <v>30</v>
      </c>
      <c r="BU20">
        <v>25</v>
      </c>
      <c r="BV20">
        <f>BU20*1.2</f>
        <v>30</v>
      </c>
      <c r="BW20">
        <v>30</v>
      </c>
      <c r="BX20">
        <f t="shared" si="19"/>
        <v>30</v>
      </c>
      <c r="BY20" s="170">
        <v>30</v>
      </c>
      <c r="BZ20" s="170">
        <f t="shared" si="20"/>
        <v>30</v>
      </c>
      <c r="CA20" s="170">
        <v>30</v>
      </c>
      <c r="CB20" s="170">
        <f t="shared" si="21"/>
        <v>30</v>
      </c>
      <c r="CC20">
        <v>35</v>
      </c>
      <c r="CD20">
        <f t="shared" si="22"/>
        <v>35</v>
      </c>
      <c r="CE20">
        <v>35</v>
      </c>
      <c r="CF20">
        <f t="shared" si="23"/>
        <v>35</v>
      </c>
      <c r="CG20" s="170">
        <v>35</v>
      </c>
      <c r="CH20" s="170">
        <f t="shared" si="24"/>
        <v>35</v>
      </c>
    </row>
    <row r="21" spans="1:86">
      <c r="A21" s="29" t="s">
        <v>685</v>
      </c>
      <c r="U21" s="116"/>
      <c r="X21" t="s">
        <v>379</v>
      </c>
      <c r="Y21" t="s">
        <v>64</v>
      </c>
      <c r="Z21" s="143">
        <v>7756.8720000000003</v>
      </c>
      <c r="AA21" s="143">
        <v>10313.83</v>
      </c>
      <c r="AB21" s="143">
        <v>372.5727</v>
      </c>
      <c r="AC21" s="143">
        <v>2</v>
      </c>
      <c r="AD21" s="143">
        <v>1225.1379999999999</v>
      </c>
      <c r="AE21" s="143">
        <v>1692.8130000000001</v>
      </c>
      <c r="AF21" s="143">
        <v>3936.51</v>
      </c>
      <c r="AG21" s="143">
        <v>3959.9789999999998</v>
      </c>
      <c r="AH21" s="143">
        <v>3581.6559999999999</v>
      </c>
      <c r="AI21" s="143">
        <v>3000.4189999999999</v>
      </c>
      <c r="AJ21" s="143">
        <v>238.7056</v>
      </c>
      <c r="AK21" s="143">
        <v>3353.4349999999999</v>
      </c>
      <c r="AL21" s="143"/>
      <c r="AM21" s="143"/>
      <c r="AN21" s="143">
        <v>17220.61</v>
      </c>
      <c r="AO21" s="143">
        <v>14526.43</v>
      </c>
      <c r="AP21" s="143">
        <v>784.15440000000001</v>
      </c>
      <c r="AQ21" s="143">
        <v>390.65210000000002</v>
      </c>
      <c r="AR21" s="143">
        <v>3025.1179999999999</v>
      </c>
      <c r="AS21" s="143">
        <v>2048.6149999999998</v>
      </c>
      <c r="AT21" s="143">
        <v>11050.51</v>
      </c>
      <c r="AU21" s="143">
        <v>6455.9229999999998</v>
      </c>
      <c r="AV21" s="143">
        <v>5704.8370000000004</v>
      </c>
      <c r="AW21" s="143">
        <v>2055.0140000000001</v>
      </c>
      <c r="AX21" s="143">
        <v>465.26060000000001</v>
      </c>
      <c r="AY21" s="143">
        <v>6015.491</v>
      </c>
      <c r="BA21" s="143">
        <v>3015.212</v>
      </c>
      <c r="BB21" s="143">
        <v>4156.1260000000002</v>
      </c>
      <c r="BC21" s="143">
        <v>0</v>
      </c>
      <c r="BD21" s="143">
        <v>1</v>
      </c>
      <c r="BE21" s="143">
        <v>983.30359999999996</v>
      </c>
      <c r="BF21" s="143">
        <v>457.10430000000002</v>
      </c>
      <c r="BG21" s="143">
        <v>1428.5260000000001</v>
      </c>
      <c r="BH21" s="143">
        <v>1399.4349999999999</v>
      </c>
      <c r="BI21" s="143">
        <v>1338.8130000000001</v>
      </c>
      <c r="BJ21" s="143">
        <v>1349.2059999999999</v>
      </c>
      <c r="BK21" s="143">
        <v>247.8716</v>
      </c>
      <c r="BL21" s="143">
        <v>1407.4849999999999</v>
      </c>
      <c r="BO21" t="s">
        <v>685</v>
      </c>
    </row>
    <row r="22" spans="1:86">
      <c r="A22" t="s">
        <v>301</v>
      </c>
      <c r="B22" t="s">
        <v>136</v>
      </c>
      <c r="C22" s="139">
        <v>0</v>
      </c>
      <c r="D22" s="139">
        <f>C22</f>
        <v>0</v>
      </c>
      <c r="E22" s="139">
        <v>0</v>
      </c>
      <c r="F22" s="139">
        <f>E22</f>
        <v>0</v>
      </c>
      <c r="G22">
        <f>0.8+0.6+0.4</f>
        <v>1.7999999999999998</v>
      </c>
      <c r="H22">
        <f>G22</f>
        <v>1.7999999999999998</v>
      </c>
      <c r="I22">
        <v>0</v>
      </c>
      <c r="J22">
        <f t="shared" si="2"/>
        <v>0</v>
      </c>
      <c r="K22" s="139">
        <v>0</v>
      </c>
      <c r="L22" s="139">
        <f>K22</f>
        <v>0</v>
      </c>
      <c r="M22" s="139">
        <f>0.8+0.6+0.4</f>
        <v>1.7999999999999998</v>
      </c>
      <c r="N22" s="139">
        <f>M22</f>
        <v>1.7999999999999998</v>
      </c>
      <c r="O22">
        <v>0</v>
      </c>
      <c r="P22">
        <f>J22</f>
        <v>0</v>
      </c>
      <c r="Q22">
        <v>0</v>
      </c>
      <c r="R22">
        <f>L22</f>
        <v>0</v>
      </c>
      <c r="S22" s="139">
        <f>0.8+0.6+0.4</f>
        <v>1.7999999999999998</v>
      </c>
      <c r="T22" s="139">
        <f>N22</f>
        <v>1.7999999999999998</v>
      </c>
      <c r="U22" s="116"/>
      <c r="V22" s="116"/>
      <c r="X22" t="s">
        <v>379</v>
      </c>
      <c r="Y22" t="s">
        <v>68</v>
      </c>
      <c r="Z22" s="143">
        <v>2352.2339999999999</v>
      </c>
      <c r="AA22" s="143">
        <v>7044.0190000000002</v>
      </c>
      <c r="AB22" s="143">
        <v>141.21780000000001</v>
      </c>
      <c r="AC22" s="143">
        <v>0</v>
      </c>
      <c r="AD22" s="143">
        <v>990.30449999999996</v>
      </c>
      <c r="AE22" s="143">
        <v>1510.9639999999999</v>
      </c>
      <c r="AF22" s="143">
        <v>2173.7359999999999</v>
      </c>
      <c r="AG22" s="143">
        <v>2939.0520000000001</v>
      </c>
      <c r="AH22" s="143">
        <v>177.49809999999999</v>
      </c>
      <c r="AI22" s="143">
        <v>1037.3130000000001</v>
      </c>
      <c r="AJ22" s="143">
        <v>1</v>
      </c>
      <c r="AK22" s="143">
        <v>3067.6550000000002</v>
      </c>
      <c r="AL22" s="143"/>
      <c r="AM22" s="143"/>
      <c r="AN22" s="143">
        <v>5280.0739999999996</v>
      </c>
      <c r="AO22" s="143">
        <v>20862.86</v>
      </c>
      <c r="AP22" s="143">
        <v>7</v>
      </c>
      <c r="AQ22" s="143">
        <v>347.93329999999997</v>
      </c>
      <c r="AR22" s="143">
        <v>4957.0230000000001</v>
      </c>
      <c r="AS22" s="143">
        <v>4603.893</v>
      </c>
      <c r="AT22" s="143">
        <v>4572.5820000000003</v>
      </c>
      <c r="AU22" s="143">
        <v>5120.076</v>
      </c>
      <c r="AV22" s="143">
        <v>686.49270000000001</v>
      </c>
      <c r="AW22" s="143">
        <v>3311.43</v>
      </c>
      <c r="AX22" s="143">
        <v>21</v>
      </c>
      <c r="AY22" s="143">
        <v>12431.36</v>
      </c>
      <c r="BA22" s="143">
        <v>708.31129999999996</v>
      </c>
      <c r="BB22" s="143">
        <v>5859.8010000000004</v>
      </c>
      <c r="BC22" s="143">
        <v>12</v>
      </c>
      <c r="BD22" s="143">
        <v>12</v>
      </c>
      <c r="BE22" s="143">
        <v>915.71109999999999</v>
      </c>
      <c r="BF22" s="143">
        <v>1316.011</v>
      </c>
      <c r="BG22" s="143">
        <v>514.05650000000003</v>
      </c>
      <c r="BH22" s="143">
        <v>1062.241</v>
      </c>
      <c r="BI22" s="143">
        <v>4</v>
      </c>
      <c r="BJ22" s="143">
        <v>609.11739999999998</v>
      </c>
      <c r="BK22" s="143">
        <v>190.25479999999999</v>
      </c>
      <c r="BL22" s="143">
        <v>4188.442</v>
      </c>
      <c r="BO22" t="s">
        <v>301</v>
      </c>
      <c r="BP22" t="s">
        <v>136</v>
      </c>
      <c r="BQ22" s="170">
        <v>0</v>
      </c>
      <c r="BR22" s="170">
        <f>BQ22</f>
        <v>0</v>
      </c>
      <c r="BS22" s="170">
        <v>0</v>
      </c>
      <c r="BT22" s="170">
        <f>BS22</f>
        <v>0</v>
      </c>
      <c r="BU22">
        <f>0.8+0.6+0.4</f>
        <v>1.7999999999999998</v>
      </c>
      <c r="BV22">
        <f>BU22</f>
        <v>1.7999999999999998</v>
      </c>
      <c r="BW22">
        <v>0</v>
      </c>
      <c r="BX22">
        <f t="shared" ref="BX22:BX34" si="25">BW22</f>
        <v>0</v>
      </c>
      <c r="BY22" s="170">
        <v>0</v>
      </c>
      <c r="BZ22" s="170">
        <f>BY22</f>
        <v>0</v>
      </c>
      <c r="CA22" s="170">
        <f>0.8+0.6+0.4</f>
        <v>1.7999999999999998</v>
      </c>
      <c r="CB22" s="170">
        <f>CA22</f>
        <v>1.7999999999999998</v>
      </c>
      <c r="CC22">
        <v>0</v>
      </c>
      <c r="CD22">
        <f>BX22</f>
        <v>0</v>
      </c>
      <c r="CE22">
        <v>0</v>
      </c>
      <c r="CF22">
        <f>BZ22</f>
        <v>0</v>
      </c>
      <c r="CG22" s="170">
        <f>0.8+0.6+0.4</f>
        <v>1.7999999999999998</v>
      </c>
      <c r="CH22" s="170">
        <f>CB22</f>
        <v>1.7999999999999998</v>
      </c>
    </row>
    <row r="23" spans="1:86">
      <c r="A23" t="s">
        <v>566</v>
      </c>
      <c r="B23" t="s">
        <v>136</v>
      </c>
      <c r="C23" s="139">
        <v>0</v>
      </c>
      <c r="D23" s="139">
        <f t="shared" ref="D23:D89" si="26">C23</f>
        <v>0</v>
      </c>
      <c r="E23" s="139">
        <v>0</v>
      </c>
      <c r="F23" s="139">
        <f t="shared" ref="F23:F89" si="27">E23</f>
        <v>0</v>
      </c>
      <c r="G23">
        <v>0</v>
      </c>
      <c r="H23">
        <f t="shared" ref="H23:H89" si="28">G23</f>
        <v>0</v>
      </c>
      <c r="I23">
        <v>0</v>
      </c>
      <c r="J23">
        <f t="shared" si="2"/>
        <v>0</v>
      </c>
      <c r="K23" s="139">
        <v>0</v>
      </c>
      <c r="L23" s="139">
        <f t="shared" ref="L23:L89" si="29">K23</f>
        <v>0</v>
      </c>
      <c r="M23" s="139">
        <v>0</v>
      </c>
      <c r="N23" s="139">
        <f t="shared" ref="N23:N89" si="30">M23</f>
        <v>0</v>
      </c>
      <c r="O23">
        <v>0</v>
      </c>
      <c r="P23">
        <f t="shared" ref="P23:P89" si="31">J23</f>
        <v>0</v>
      </c>
      <c r="Q23">
        <v>0</v>
      </c>
      <c r="R23">
        <f t="shared" ref="R23:R89" si="32">L23</f>
        <v>0</v>
      </c>
      <c r="S23" s="139">
        <v>0</v>
      </c>
      <c r="T23" s="139">
        <f t="shared" ref="T23:T89" si="33">N23</f>
        <v>0</v>
      </c>
      <c r="U23" s="116"/>
      <c r="X23" t="s">
        <v>379</v>
      </c>
      <c r="Y23" t="s">
        <v>71</v>
      </c>
      <c r="Z23" s="143">
        <v>5860.0029999999997</v>
      </c>
      <c r="AA23" s="143">
        <v>6707.6660000000002</v>
      </c>
      <c r="AB23" s="143">
        <v>0</v>
      </c>
      <c r="AC23" s="143">
        <v>721.68780000000004</v>
      </c>
      <c r="AD23" s="143">
        <v>678.69169999999997</v>
      </c>
      <c r="AE23" s="143">
        <v>812.32</v>
      </c>
      <c r="AF23" s="143">
        <v>3429.069</v>
      </c>
      <c r="AG23" s="143">
        <v>1384.0630000000001</v>
      </c>
      <c r="AH23" s="143">
        <v>1677.0360000000001</v>
      </c>
      <c r="AI23" s="143">
        <v>1559.4359999999999</v>
      </c>
      <c r="AJ23" s="143">
        <v>752.89760000000001</v>
      </c>
      <c r="AK23" s="143">
        <v>3765.1660000000002</v>
      </c>
      <c r="AL23" s="143"/>
      <c r="AM23" s="143"/>
      <c r="AN23" s="143">
        <v>3197.085</v>
      </c>
      <c r="AO23" s="143">
        <v>7208.2579999999998</v>
      </c>
      <c r="AP23" s="143">
        <v>0</v>
      </c>
      <c r="AQ23" s="143">
        <v>0</v>
      </c>
      <c r="AR23" s="143">
        <v>644.86519999999996</v>
      </c>
      <c r="AS23" s="143">
        <v>640.24689999999998</v>
      </c>
      <c r="AT23" s="143">
        <v>2061.0320000000002</v>
      </c>
      <c r="AU23" s="143">
        <v>1873.3720000000001</v>
      </c>
      <c r="AV23" s="143">
        <v>536.6413</v>
      </c>
      <c r="AW23" s="143">
        <v>1623.2260000000001</v>
      </c>
      <c r="AX23" s="143">
        <v>599.41219999999998</v>
      </c>
      <c r="AY23" s="143">
        <v>3711.66</v>
      </c>
      <c r="BA23" s="143">
        <v>746.45360000000005</v>
      </c>
      <c r="BB23" s="143">
        <v>2503.4470000000001</v>
      </c>
      <c r="BC23" s="143">
        <v>0</v>
      </c>
      <c r="BD23" s="143">
        <v>183.6842</v>
      </c>
      <c r="BE23" s="143">
        <v>303.87580000000003</v>
      </c>
      <c r="BF23" s="143">
        <v>502.69139999999999</v>
      </c>
      <c r="BG23" s="143">
        <v>525.16470000000004</v>
      </c>
      <c r="BH23" s="143">
        <v>1276.0820000000001</v>
      </c>
      <c r="BI23" s="143">
        <v>221.28890000000001</v>
      </c>
      <c r="BJ23" s="143">
        <v>241.44649999999999</v>
      </c>
      <c r="BK23" s="143">
        <v>0</v>
      </c>
      <c r="BL23" s="143">
        <v>985.91819999999996</v>
      </c>
      <c r="BO23" t="s">
        <v>566</v>
      </c>
      <c r="BP23" t="s">
        <v>136</v>
      </c>
      <c r="BQ23" s="170">
        <v>0</v>
      </c>
      <c r="BR23" s="170">
        <f t="shared" ref="BR23:BR34" si="34">BQ23</f>
        <v>0</v>
      </c>
      <c r="BS23" s="170">
        <v>0</v>
      </c>
      <c r="BT23" s="170">
        <f t="shared" ref="BT23:BT34" si="35">BS23</f>
        <v>0</v>
      </c>
      <c r="BU23">
        <v>0</v>
      </c>
      <c r="BV23">
        <f t="shared" ref="BV23:BV34" si="36">BU23</f>
        <v>0</v>
      </c>
      <c r="BW23">
        <v>0</v>
      </c>
      <c r="BX23">
        <f t="shared" si="25"/>
        <v>0</v>
      </c>
      <c r="BY23" s="170">
        <v>0</v>
      </c>
      <c r="BZ23" s="170">
        <f t="shared" ref="BZ23:BZ34" si="37">BY23</f>
        <v>0</v>
      </c>
      <c r="CA23" s="170">
        <v>0</v>
      </c>
      <c r="CB23" s="170">
        <f t="shared" ref="CB23:CB34" si="38">CA23</f>
        <v>0</v>
      </c>
      <c r="CC23">
        <v>0</v>
      </c>
      <c r="CD23">
        <f t="shared" ref="CD23:CD50" si="39">BX23</f>
        <v>0</v>
      </c>
      <c r="CE23">
        <v>0</v>
      </c>
      <c r="CF23">
        <f t="shared" ref="CF23:CF50" si="40">BZ23</f>
        <v>0</v>
      </c>
      <c r="CG23" s="170">
        <v>0</v>
      </c>
      <c r="CH23" s="170">
        <f t="shared" ref="CH23:CH50" si="41">CB23</f>
        <v>0</v>
      </c>
    </row>
    <row r="24" spans="1:86">
      <c r="A24" t="s">
        <v>567</v>
      </c>
      <c r="B24" t="s">
        <v>136</v>
      </c>
      <c r="C24" s="139">
        <v>0</v>
      </c>
      <c r="D24" s="139">
        <f t="shared" si="26"/>
        <v>0</v>
      </c>
      <c r="E24" s="139">
        <v>0</v>
      </c>
      <c r="F24" s="139">
        <f t="shared" si="27"/>
        <v>0</v>
      </c>
      <c r="G24">
        <v>0</v>
      </c>
      <c r="H24">
        <f t="shared" si="28"/>
        <v>0</v>
      </c>
      <c r="I24">
        <v>0</v>
      </c>
      <c r="J24">
        <f t="shared" si="2"/>
        <v>0</v>
      </c>
      <c r="K24" s="139">
        <v>0</v>
      </c>
      <c r="L24" s="139">
        <f t="shared" si="29"/>
        <v>0</v>
      </c>
      <c r="M24" s="139">
        <v>0</v>
      </c>
      <c r="N24" s="139">
        <f t="shared" si="30"/>
        <v>0</v>
      </c>
      <c r="O24">
        <v>0</v>
      </c>
      <c r="P24">
        <f t="shared" si="31"/>
        <v>0</v>
      </c>
      <c r="Q24">
        <v>0</v>
      </c>
      <c r="R24">
        <f t="shared" si="32"/>
        <v>0</v>
      </c>
      <c r="S24" s="139">
        <v>0</v>
      </c>
      <c r="T24" s="139">
        <f t="shared" si="33"/>
        <v>0</v>
      </c>
      <c r="U24" s="116"/>
      <c r="V24" s="116"/>
      <c r="X24" t="s">
        <v>379</v>
      </c>
      <c r="Y24" t="s">
        <v>72</v>
      </c>
      <c r="Z24" s="143">
        <v>3091.1350000000002</v>
      </c>
      <c r="AA24" s="143">
        <v>12844.51</v>
      </c>
      <c r="AB24" s="143">
        <v>0</v>
      </c>
      <c r="AC24" s="143">
        <v>0</v>
      </c>
      <c r="AD24" s="143">
        <v>1591.6089999999999</v>
      </c>
      <c r="AE24" s="143">
        <v>1709.3320000000001</v>
      </c>
      <c r="AF24" s="143">
        <v>2637.3539999999998</v>
      </c>
      <c r="AG24" s="143">
        <v>3738.0659999999998</v>
      </c>
      <c r="AH24" s="143">
        <v>257.4973</v>
      </c>
      <c r="AI24" s="143">
        <v>1576.5219999999999</v>
      </c>
      <c r="AJ24" s="143">
        <v>196.28370000000001</v>
      </c>
      <c r="AK24" s="143">
        <v>7529.9189999999999</v>
      </c>
      <c r="AL24" s="143"/>
      <c r="AM24" s="143"/>
      <c r="AN24" s="143">
        <v>6885.5870000000004</v>
      </c>
      <c r="AO24" s="143">
        <v>21829.360000000001</v>
      </c>
      <c r="AP24" s="143">
        <v>5</v>
      </c>
      <c r="AQ24" s="143">
        <v>13</v>
      </c>
      <c r="AR24" s="143">
        <v>2947.0569999999998</v>
      </c>
      <c r="AS24" s="143">
        <v>3997.97</v>
      </c>
      <c r="AT24" s="143">
        <v>5068.3209999999999</v>
      </c>
      <c r="AU24" s="143">
        <v>6751.5829999999996</v>
      </c>
      <c r="AV24" s="143">
        <v>1335.075</v>
      </c>
      <c r="AW24" s="143">
        <v>3767.3310000000001</v>
      </c>
      <c r="AX24" s="143">
        <v>482.19040000000001</v>
      </c>
      <c r="AY24" s="143">
        <v>11310.44</v>
      </c>
      <c r="BA24" s="143">
        <v>1571.6890000000001</v>
      </c>
      <c r="BB24" s="143">
        <v>5524.2839999999997</v>
      </c>
      <c r="BC24" s="143">
        <v>408.66750000000002</v>
      </c>
      <c r="BD24" s="143">
        <v>194.1087</v>
      </c>
      <c r="BE24" s="143">
        <v>941.26260000000002</v>
      </c>
      <c r="BF24" s="143">
        <v>979.9624</v>
      </c>
      <c r="BG24" s="143">
        <v>1340.5340000000001</v>
      </c>
      <c r="BH24" s="143">
        <v>1299.9770000000001</v>
      </c>
      <c r="BI24" s="143">
        <v>222.15530000000001</v>
      </c>
      <c r="BJ24" s="143">
        <v>1690.3489999999999</v>
      </c>
      <c r="BK24" s="143">
        <v>9</v>
      </c>
      <c r="BL24" s="143">
        <v>2533.9580000000001</v>
      </c>
      <c r="BO24" t="s">
        <v>567</v>
      </c>
      <c r="BP24" t="s">
        <v>136</v>
      </c>
      <c r="BQ24" s="170">
        <v>0</v>
      </c>
      <c r="BR24" s="170">
        <f t="shared" si="34"/>
        <v>0</v>
      </c>
      <c r="BS24" s="170">
        <v>0</v>
      </c>
      <c r="BT24" s="170">
        <f t="shared" si="35"/>
        <v>0</v>
      </c>
      <c r="BU24">
        <v>0</v>
      </c>
      <c r="BV24">
        <f t="shared" si="36"/>
        <v>0</v>
      </c>
      <c r="BW24">
        <v>0</v>
      </c>
      <c r="BX24">
        <f t="shared" si="25"/>
        <v>0</v>
      </c>
      <c r="BY24" s="170">
        <v>0</v>
      </c>
      <c r="BZ24" s="170">
        <f t="shared" si="37"/>
        <v>0</v>
      </c>
      <c r="CA24" s="170">
        <v>0</v>
      </c>
      <c r="CB24" s="170">
        <f t="shared" si="38"/>
        <v>0</v>
      </c>
      <c r="CC24">
        <v>0</v>
      </c>
      <c r="CD24">
        <f t="shared" si="39"/>
        <v>0</v>
      </c>
      <c r="CE24">
        <v>0</v>
      </c>
      <c r="CF24">
        <f t="shared" si="40"/>
        <v>0</v>
      </c>
      <c r="CG24" s="170">
        <v>0</v>
      </c>
      <c r="CH24" s="170">
        <f t="shared" si="41"/>
        <v>0</v>
      </c>
    </row>
    <row r="25" spans="1:86">
      <c r="A25" t="s">
        <v>568</v>
      </c>
      <c r="B25" t="s">
        <v>136</v>
      </c>
      <c r="C25" s="139">
        <v>0</v>
      </c>
      <c r="D25" s="139">
        <f t="shared" si="26"/>
        <v>0</v>
      </c>
      <c r="E25" s="139">
        <v>0</v>
      </c>
      <c r="F25" s="139">
        <f t="shared" si="27"/>
        <v>0</v>
      </c>
      <c r="G25">
        <v>0</v>
      </c>
      <c r="H25">
        <f t="shared" si="28"/>
        <v>0</v>
      </c>
      <c r="I25">
        <v>0</v>
      </c>
      <c r="J25">
        <f t="shared" si="2"/>
        <v>0</v>
      </c>
      <c r="K25" s="139">
        <v>0</v>
      </c>
      <c r="L25" s="139">
        <f t="shared" si="29"/>
        <v>0</v>
      </c>
      <c r="M25" s="139">
        <v>0</v>
      </c>
      <c r="N25" s="139">
        <f t="shared" si="30"/>
        <v>0</v>
      </c>
      <c r="O25">
        <v>0</v>
      </c>
      <c r="P25">
        <f t="shared" si="31"/>
        <v>0</v>
      </c>
      <c r="Q25">
        <v>0</v>
      </c>
      <c r="R25">
        <f t="shared" si="32"/>
        <v>0</v>
      </c>
      <c r="S25" s="139">
        <v>0</v>
      </c>
      <c r="T25" s="139">
        <f t="shared" si="33"/>
        <v>0</v>
      </c>
      <c r="U25" s="116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O25" t="s">
        <v>568</v>
      </c>
      <c r="BP25" t="s">
        <v>136</v>
      </c>
      <c r="BQ25" s="170">
        <v>0</v>
      </c>
      <c r="BR25" s="170">
        <f t="shared" si="34"/>
        <v>0</v>
      </c>
      <c r="BS25" s="170">
        <v>0</v>
      </c>
      <c r="BT25" s="170">
        <f t="shared" si="35"/>
        <v>0</v>
      </c>
      <c r="BU25">
        <v>0</v>
      </c>
      <c r="BV25">
        <f t="shared" si="36"/>
        <v>0</v>
      </c>
      <c r="BW25">
        <v>0</v>
      </c>
      <c r="BX25">
        <f t="shared" si="25"/>
        <v>0</v>
      </c>
      <c r="BY25" s="170">
        <v>0</v>
      </c>
      <c r="BZ25" s="170">
        <f t="shared" si="37"/>
        <v>0</v>
      </c>
      <c r="CA25" s="170">
        <v>0</v>
      </c>
      <c r="CB25" s="170">
        <f t="shared" si="38"/>
        <v>0</v>
      </c>
      <c r="CC25">
        <v>0</v>
      </c>
      <c r="CD25">
        <f t="shared" si="39"/>
        <v>0</v>
      </c>
      <c r="CE25">
        <v>0</v>
      </c>
      <c r="CF25">
        <f t="shared" si="40"/>
        <v>0</v>
      </c>
      <c r="CG25" s="170">
        <v>0</v>
      </c>
      <c r="CH25" s="170">
        <f t="shared" si="41"/>
        <v>0</v>
      </c>
    </row>
    <row r="26" spans="1:86">
      <c r="A26" t="s">
        <v>281</v>
      </c>
      <c r="B26" t="s">
        <v>136</v>
      </c>
      <c r="C26" s="139">
        <v>0</v>
      </c>
      <c r="D26" s="139">
        <f t="shared" si="26"/>
        <v>0</v>
      </c>
      <c r="E26" s="139">
        <v>0</v>
      </c>
      <c r="F26" s="139">
        <f t="shared" si="27"/>
        <v>0</v>
      </c>
      <c r="G26">
        <v>3.6</v>
      </c>
      <c r="H26">
        <f t="shared" si="28"/>
        <v>3.6</v>
      </c>
      <c r="I26">
        <v>0</v>
      </c>
      <c r="J26">
        <f t="shared" si="2"/>
        <v>0</v>
      </c>
      <c r="K26" s="139">
        <v>0</v>
      </c>
      <c r="L26" s="139">
        <f t="shared" si="29"/>
        <v>0</v>
      </c>
      <c r="M26" s="139">
        <v>3.6</v>
      </c>
      <c r="N26" s="139">
        <f t="shared" si="30"/>
        <v>3.6</v>
      </c>
      <c r="O26">
        <v>0</v>
      </c>
      <c r="P26">
        <f t="shared" si="31"/>
        <v>0</v>
      </c>
      <c r="Q26">
        <v>0</v>
      </c>
      <c r="R26">
        <f t="shared" si="32"/>
        <v>0</v>
      </c>
      <c r="S26" s="139">
        <v>3.6</v>
      </c>
      <c r="T26" s="139">
        <f t="shared" si="33"/>
        <v>3.6</v>
      </c>
      <c r="U26" s="116"/>
      <c r="V26" s="116"/>
      <c r="X26" t="s">
        <v>380</v>
      </c>
      <c r="Y26" t="s">
        <v>49</v>
      </c>
      <c r="Z26" s="143">
        <v>3824.58</v>
      </c>
      <c r="AA26" s="143">
        <v>17314.72</v>
      </c>
      <c r="AB26" s="143">
        <v>1</v>
      </c>
      <c r="AC26" s="143">
        <v>1</v>
      </c>
      <c r="AD26" s="143">
        <v>2341.1120000000001</v>
      </c>
      <c r="AE26" s="143">
        <v>2114.4470000000001</v>
      </c>
      <c r="AF26" s="143">
        <v>3583.2330000000002</v>
      </c>
      <c r="AG26" s="143">
        <v>4589.973</v>
      </c>
      <c r="AH26" s="143">
        <v>0</v>
      </c>
      <c r="AI26" s="143">
        <v>5449.9769999999999</v>
      </c>
      <c r="AJ26" s="143">
        <v>241.3468</v>
      </c>
      <c r="AK26" s="143">
        <v>7274.7669999999998</v>
      </c>
      <c r="AL26" s="143"/>
      <c r="AM26" s="143"/>
      <c r="AN26" s="143">
        <v>5373.63</v>
      </c>
      <c r="AO26" s="143">
        <v>25006.89</v>
      </c>
      <c r="AP26" s="143">
        <v>303.18189999999998</v>
      </c>
      <c r="AQ26" s="143">
        <v>794.30600000000004</v>
      </c>
      <c r="AR26" s="143">
        <v>4476.2269999999999</v>
      </c>
      <c r="AS26" s="143">
        <v>4412.3140000000003</v>
      </c>
      <c r="AT26" s="143">
        <v>4321.6940000000004</v>
      </c>
      <c r="AU26" s="143">
        <v>7023.9570000000003</v>
      </c>
      <c r="AV26" s="143">
        <v>742.75350000000003</v>
      </c>
      <c r="AW26" s="143">
        <v>6293.0450000000001</v>
      </c>
      <c r="AX26" s="143">
        <v>309.18189999999998</v>
      </c>
      <c r="AY26" s="143">
        <v>11689.89</v>
      </c>
      <c r="BA26" s="143">
        <v>33</v>
      </c>
      <c r="BB26" s="143">
        <v>784.82129999999995</v>
      </c>
      <c r="BC26" s="143">
        <v>0</v>
      </c>
      <c r="BD26" s="143">
        <v>0</v>
      </c>
      <c r="BE26" s="143">
        <v>27</v>
      </c>
      <c r="BF26" s="143">
        <v>264.61270000000002</v>
      </c>
      <c r="BG26" s="143">
        <v>18</v>
      </c>
      <c r="BH26" s="143">
        <v>29</v>
      </c>
      <c r="BI26" s="143">
        <v>4</v>
      </c>
      <c r="BJ26" s="143">
        <v>10</v>
      </c>
      <c r="BK26" s="143">
        <v>11</v>
      </c>
      <c r="BL26" s="143">
        <v>745.82129999999995</v>
      </c>
      <c r="BO26" t="s">
        <v>281</v>
      </c>
      <c r="BP26" t="s">
        <v>136</v>
      </c>
      <c r="BQ26" s="170">
        <v>0</v>
      </c>
      <c r="BR26" s="170">
        <f t="shared" si="34"/>
        <v>0</v>
      </c>
      <c r="BS26" s="170">
        <v>0</v>
      </c>
      <c r="BT26" s="170">
        <f t="shared" si="35"/>
        <v>0</v>
      </c>
      <c r="BU26">
        <v>3.6</v>
      </c>
      <c r="BV26">
        <f t="shared" si="36"/>
        <v>3.6</v>
      </c>
      <c r="BW26">
        <v>0</v>
      </c>
      <c r="BX26">
        <f t="shared" si="25"/>
        <v>0</v>
      </c>
      <c r="BY26" s="170">
        <v>0</v>
      </c>
      <c r="BZ26" s="170">
        <f t="shared" si="37"/>
        <v>0</v>
      </c>
      <c r="CA26" s="170">
        <v>3.6</v>
      </c>
      <c r="CB26" s="170">
        <f t="shared" si="38"/>
        <v>3.6</v>
      </c>
      <c r="CC26">
        <v>0</v>
      </c>
      <c r="CD26">
        <f t="shared" si="39"/>
        <v>0</v>
      </c>
      <c r="CE26">
        <v>0</v>
      </c>
      <c r="CF26">
        <f t="shared" si="40"/>
        <v>0</v>
      </c>
      <c r="CG26" s="170">
        <v>3.6</v>
      </c>
      <c r="CH26" s="170">
        <f t="shared" si="41"/>
        <v>3.6</v>
      </c>
    </row>
    <row r="27" spans="1:86">
      <c r="A27" t="s">
        <v>569</v>
      </c>
      <c r="B27" t="s">
        <v>136</v>
      </c>
      <c r="C27" s="139">
        <v>0</v>
      </c>
      <c r="D27" s="139">
        <f t="shared" si="26"/>
        <v>0</v>
      </c>
      <c r="E27" s="139">
        <v>0</v>
      </c>
      <c r="F27" s="139">
        <f t="shared" si="27"/>
        <v>0</v>
      </c>
      <c r="G27">
        <v>0</v>
      </c>
      <c r="H27">
        <f t="shared" si="28"/>
        <v>0</v>
      </c>
      <c r="I27">
        <v>0</v>
      </c>
      <c r="J27">
        <f t="shared" si="2"/>
        <v>0</v>
      </c>
      <c r="K27" s="139">
        <v>0</v>
      </c>
      <c r="L27" s="139">
        <f t="shared" si="29"/>
        <v>0</v>
      </c>
      <c r="M27" s="139">
        <v>0</v>
      </c>
      <c r="N27" s="139">
        <f t="shared" si="30"/>
        <v>0</v>
      </c>
      <c r="O27">
        <v>0</v>
      </c>
      <c r="P27">
        <f t="shared" si="31"/>
        <v>0</v>
      </c>
      <c r="Q27">
        <v>0</v>
      </c>
      <c r="R27">
        <f t="shared" si="32"/>
        <v>0</v>
      </c>
      <c r="S27" s="139">
        <v>0</v>
      </c>
      <c r="T27" s="139">
        <f t="shared" si="33"/>
        <v>0</v>
      </c>
      <c r="U27" s="116"/>
      <c r="X27" t="s">
        <v>380</v>
      </c>
      <c r="Y27" t="s">
        <v>50</v>
      </c>
      <c r="Z27" s="143">
        <v>5684.335</v>
      </c>
      <c r="AA27" s="143">
        <v>21017.26</v>
      </c>
      <c r="AB27" s="143">
        <v>455.79969999999997</v>
      </c>
      <c r="AC27" s="143">
        <v>0</v>
      </c>
      <c r="AD27" s="143">
        <v>4391.0190000000002</v>
      </c>
      <c r="AE27" s="143">
        <v>4152.973</v>
      </c>
      <c r="AF27" s="143">
        <v>4052.489</v>
      </c>
      <c r="AG27" s="143">
        <v>5408.915</v>
      </c>
      <c r="AH27" s="143">
        <v>1413.433</v>
      </c>
      <c r="AI27" s="143">
        <v>5325.6480000000001</v>
      </c>
      <c r="AJ27" s="143">
        <v>218.41239999999999</v>
      </c>
      <c r="AK27" s="143">
        <v>10282.700000000001</v>
      </c>
      <c r="AL27" s="143"/>
      <c r="AM27" s="143"/>
      <c r="AN27" s="143">
        <v>4605.8370000000004</v>
      </c>
      <c r="AO27" s="143">
        <v>22194.57</v>
      </c>
      <c r="AP27" s="143">
        <v>16</v>
      </c>
      <c r="AQ27" s="143">
        <v>13</v>
      </c>
      <c r="AR27" s="143">
        <v>3560.6880000000001</v>
      </c>
      <c r="AS27" s="143">
        <v>4602.7219999999998</v>
      </c>
      <c r="AT27" s="143">
        <v>4031.674</v>
      </c>
      <c r="AU27" s="143">
        <v>6275.2309999999998</v>
      </c>
      <c r="AV27" s="143">
        <v>570.16319999999996</v>
      </c>
      <c r="AW27" s="143">
        <v>3078.4879999999998</v>
      </c>
      <c r="AX27" s="143">
        <v>4</v>
      </c>
      <c r="AY27" s="143">
        <v>12840.85</v>
      </c>
      <c r="BA27" s="143">
        <v>444.87639999999999</v>
      </c>
      <c r="BB27" s="143">
        <v>1513.4010000000001</v>
      </c>
      <c r="BC27" s="143">
        <v>0</v>
      </c>
      <c r="BD27" s="143">
        <v>329.21640000000002</v>
      </c>
      <c r="BE27" s="143">
        <v>468.44900000000001</v>
      </c>
      <c r="BF27" s="143">
        <v>206.34889999999999</v>
      </c>
      <c r="BG27" s="143">
        <v>373.76010000000002</v>
      </c>
      <c r="BH27" s="143">
        <v>207.34889999999999</v>
      </c>
      <c r="BI27" s="143">
        <v>67.116309999999999</v>
      </c>
      <c r="BJ27" s="143">
        <v>241.5275</v>
      </c>
      <c r="BK27" s="143">
        <v>4</v>
      </c>
      <c r="BL27" s="143">
        <v>1064.5250000000001</v>
      </c>
      <c r="BO27" t="s">
        <v>569</v>
      </c>
      <c r="BP27" t="s">
        <v>136</v>
      </c>
      <c r="BQ27" s="170">
        <v>0</v>
      </c>
      <c r="BR27" s="170">
        <f t="shared" si="34"/>
        <v>0</v>
      </c>
      <c r="BS27" s="170">
        <v>0</v>
      </c>
      <c r="BT27" s="170">
        <f t="shared" si="35"/>
        <v>0</v>
      </c>
      <c r="BU27">
        <v>0</v>
      </c>
      <c r="BV27">
        <f t="shared" si="36"/>
        <v>0</v>
      </c>
      <c r="BW27">
        <v>0</v>
      </c>
      <c r="BX27">
        <f t="shared" si="25"/>
        <v>0</v>
      </c>
      <c r="BY27" s="170">
        <v>0</v>
      </c>
      <c r="BZ27" s="170">
        <f t="shared" si="37"/>
        <v>0</v>
      </c>
      <c r="CA27" s="170">
        <v>0</v>
      </c>
      <c r="CB27" s="170">
        <f t="shared" si="38"/>
        <v>0</v>
      </c>
      <c r="CC27">
        <v>0</v>
      </c>
      <c r="CD27">
        <f t="shared" si="39"/>
        <v>0</v>
      </c>
      <c r="CE27">
        <v>0</v>
      </c>
      <c r="CF27">
        <f t="shared" si="40"/>
        <v>0</v>
      </c>
      <c r="CG27" s="170">
        <v>0</v>
      </c>
      <c r="CH27" s="170">
        <f t="shared" si="41"/>
        <v>0</v>
      </c>
    </row>
    <row r="28" spans="1:86">
      <c r="A28" t="s">
        <v>570</v>
      </c>
      <c r="B28" t="s">
        <v>136</v>
      </c>
      <c r="C28" s="139">
        <v>0</v>
      </c>
      <c r="D28" s="139">
        <f t="shared" si="26"/>
        <v>0</v>
      </c>
      <c r="E28" s="139">
        <v>0</v>
      </c>
      <c r="F28" s="139">
        <f t="shared" si="27"/>
        <v>0</v>
      </c>
      <c r="G28">
        <v>0</v>
      </c>
      <c r="H28">
        <f t="shared" si="28"/>
        <v>0</v>
      </c>
      <c r="I28">
        <v>0</v>
      </c>
      <c r="J28">
        <f t="shared" si="2"/>
        <v>0</v>
      </c>
      <c r="K28" s="139">
        <v>0</v>
      </c>
      <c r="L28" s="139">
        <f t="shared" si="29"/>
        <v>0</v>
      </c>
      <c r="M28" s="139">
        <v>0</v>
      </c>
      <c r="N28" s="139">
        <f t="shared" si="30"/>
        <v>0</v>
      </c>
      <c r="O28">
        <v>0</v>
      </c>
      <c r="P28">
        <f t="shared" si="31"/>
        <v>0</v>
      </c>
      <c r="Q28">
        <v>0</v>
      </c>
      <c r="R28">
        <f t="shared" si="32"/>
        <v>0</v>
      </c>
      <c r="S28" s="139">
        <v>0</v>
      </c>
      <c r="T28" s="139">
        <f t="shared" si="33"/>
        <v>0</v>
      </c>
      <c r="U28" s="116"/>
      <c r="V28" s="116"/>
      <c r="X28" t="s">
        <v>380</v>
      </c>
      <c r="Y28" t="s">
        <v>51</v>
      </c>
      <c r="Z28" s="143">
        <v>3823.0010000000002</v>
      </c>
      <c r="AA28" s="143">
        <v>6229.6959999999999</v>
      </c>
      <c r="AB28" s="143">
        <v>0</v>
      </c>
      <c r="AC28" s="143">
        <v>0</v>
      </c>
      <c r="AD28" s="143">
        <v>673.23469999999998</v>
      </c>
      <c r="AE28" s="143">
        <v>1881.9469999999999</v>
      </c>
      <c r="AF28" s="143">
        <v>3259.6889999999999</v>
      </c>
      <c r="AG28" s="143">
        <v>1904.0419999999999</v>
      </c>
      <c r="AH28" s="143">
        <v>563.31200000000001</v>
      </c>
      <c r="AI28" s="143">
        <v>1178.3430000000001</v>
      </c>
      <c r="AJ28" s="143">
        <v>0</v>
      </c>
      <c r="AK28" s="143">
        <v>3147.3110000000001</v>
      </c>
      <c r="AL28" s="143"/>
      <c r="AM28" s="143"/>
      <c r="AN28" s="143">
        <v>9872.1170000000002</v>
      </c>
      <c r="AO28" s="143">
        <v>27610.73</v>
      </c>
      <c r="AP28" s="143">
        <v>0</v>
      </c>
      <c r="AQ28" s="143">
        <v>1181.0989999999999</v>
      </c>
      <c r="AR28" s="143">
        <v>7383.6840000000002</v>
      </c>
      <c r="AS28" s="143">
        <v>6277.7820000000002</v>
      </c>
      <c r="AT28" s="143">
        <v>8916.8629999999994</v>
      </c>
      <c r="AU28" s="143">
        <v>6543.2879999999996</v>
      </c>
      <c r="AV28" s="143">
        <v>708.024</v>
      </c>
      <c r="AW28" s="143">
        <v>8907.8770000000004</v>
      </c>
      <c r="AX28" s="143">
        <v>247.22989999999999</v>
      </c>
      <c r="AY28" s="143">
        <v>12159.57</v>
      </c>
      <c r="BA28" s="143">
        <v>721.53330000000005</v>
      </c>
      <c r="BB28" s="143">
        <v>2537.2849999999999</v>
      </c>
      <c r="BC28" s="143">
        <v>0</v>
      </c>
      <c r="BD28" s="143">
        <v>1</v>
      </c>
      <c r="BE28" s="143">
        <v>692.36130000000003</v>
      </c>
      <c r="BF28" s="143">
        <v>217.78460000000001</v>
      </c>
      <c r="BG28" s="143">
        <v>720.53330000000005</v>
      </c>
      <c r="BH28" s="143">
        <v>1009.487</v>
      </c>
      <c r="BI28" s="143">
        <v>1</v>
      </c>
      <c r="BJ28" s="143">
        <v>398.86720000000003</v>
      </c>
      <c r="BK28" s="143">
        <v>0</v>
      </c>
      <c r="BL28" s="143">
        <v>1128.931</v>
      </c>
      <c r="BO28" t="s">
        <v>570</v>
      </c>
      <c r="BP28" t="s">
        <v>136</v>
      </c>
      <c r="BQ28" s="170">
        <v>0</v>
      </c>
      <c r="BR28" s="170">
        <f t="shared" si="34"/>
        <v>0</v>
      </c>
      <c r="BS28" s="170">
        <v>0</v>
      </c>
      <c r="BT28" s="170">
        <f t="shared" si="35"/>
        <v>0</v>
      </c>
      <c r="BU28">
        <v>0</v>
      </c>
      <c r="BV28">
        <f t="shared" si="36"/>
        <v>0</v>
      </c>
      <c r="BW28">
        <v>0</v>
      </c>
      <c r="BX28">
        <f t="shared" si="25"/>
        <v>0</v>
      </c>
      <c r="BY28" s="170">
        <v>0</v>
      </c>
      <c r="BZ28" s="170">
        <f t="shared" si="37"/>
        <v>0</v>
      </c>
      <c r="CA28" s="170">
        <v>0</v>
      </c>
      <c r="CB28" s="170">
        <f t="shared" si="38"/>
        <v>0</v>
      </c>
      <c r="CC28">
        <v>0</v>
      </c>
      <c r="CD28">
        <f t="shared" si="39"/>
        <v>0</v>
      </c>
      <c r="CE28">
        <v>0</v>
      </c>
      <c r="CF28">
        <f t="shared" si="40"/>
        <v>0</v>
      </c>
      <c r="CG28" s="170">
        <v>0</v>
      </c>
      <c r="CH28" s="170">
        <f t="shared" si="41"/>
        <v>0</v>
      </c>
    </row>
    <row r="29" spans="1:86">
      <c r="A29" t="s">
        <v>571</v>
      </c>
      <c r="B29" t="s">
        <v>136</v>
      </c>
      <c r="C29" s="139">
        <v>0</v>
      </c>
      <c r="D29" s="139">
        <f t="shared" si="26"/>
        <v>0</v>
      </c>
      <c r="E29" s="139">
        <v>0</v>
      </c>
      <c r="F29" s="139">
        <f t="shared" si="27"/>
        <v>0</v>
      </c>
      <c r="G29">
        <v>0</v>
      </c>
      <c r="H29">
        <f t="shared" si="28"/>
        <v>0</v>
      </c>
      <c r="I29">
        <v>0</v>
      </c>
      <c r="J29">
        <f t="shared" si="2"/>
        <v>0</v>
      </c>
      <c r="K29" s="139">
        <v>0</v>
      </c>
      <c r="L29" s="139">
        <f t="shared" si="29"/>
        <v>0</v>
      </c>
      <c r="M29" s="139">
        <v>0</v>
      </c>
      <c r="N29" s="139">
        <f t="shared" si="30"/>
        <v>0</v>
      </c>
      <c r="O29">
        <v>0</v>
      </c>
      <c r="P29">
        <f t="shared" si="31"/>
        <v>0</v>
      </c>
      <c r="Q29">
        <v>0</v>
      </c>
      <c r="R29">
        <f t="shared" si="32"/>
        <v>0</v>
      </c>
      <c r="S29" s="139">
        <v>0</v>
      </c>
      <c r="T29" s="139">
        <f t="shared" si="33"/>
        <v>0</v>
      </c>
      <c r="U29" s="116"/>
      <c r="X29" t="s">
        <v>380</v>
      </c>
      <c r="Y29" t="s">
        <v>57</v>
      </c>
      <c r="Z29" s="143">
        <v>5326.7650000000003</v>
      </c>
      <c r="AA29" s="143">
        <v>14169.28</v>
      </c>
      <c r="AB29" s="143">
        <v>0</v>
      </c>
      <c r="AC29" s="143">
        <v>1627.002</v>
      </c>
      <c r="AD29" s="143">
        <v>1889.7560000000001</v>
      </c>
      <c r="AE29" s="143">
        <v>1789.077</v>
      </c>
      <c r="AF29" s="143">
        <v>3256.31</v>
      </c>
      <c r="AG29" s="143">
        <v>4914.68</v>
      </c>
      <c r="AH29" s="143">
        <v>1880.1780000000001</v>
      </c>
      <c r="AI29" s="143">
        <v>3510.6379999999999</v>
      </c>
      <c r="AJ29" s="143">
        <v>190.27699999999999</v>
      </c>
      <c r="AK29" s="143">
        <v>5743.96</v>
      </c>
      <c r="AL29" s="143"/>
      <c r="AM29" s="143"/>
      <c r="AN29" s="143">
        <v>8991.4660000000003</v>
      </c>
      <c r="AO29" s="143">
        <v>28348.95</v>
      </c>
      <c r="AP29" s="143">
        <v>665.25509999999997</v>
      </c>
      <c r="AQ29" s="143">
        <v>234.81899999999999</v>
      </c>
      <c r="AR29" s="143">
        <v>3543.4110000000001</v>
      </c>
      <c r="AS29" s="143">
        <v>4892.8230000000003</v>
      </c>
      <c r="AT29" s="143">
        <v>6319.9769999999999</v>
      </c>
      <c r="AU29" s="143">
        <v>8302.1029999999992</v>
      </c>
      <c r="AV29" s="143">
        <v>1344.5830000000001</v>
      </c>
      <c r="AW29" s="143">
        <v>8393.6640000000007</v>
      </c>
      <c r="AX29" s="143">
        <v>1125.6289999999999</v>
      </c>
      <c r="AY29" s="143">
        <v>11854.46</v>
      </c>
      <c r="BA29" s="143">
        <v>235.11930000000001</v>
      </c>
      <c r="BB29" s="143">
        <v>679.12070000000006</v>
      </c>
      <c r="BC29" s="143">
        <v>2</v>
      </c>
      <c r="BD29" s="143">
        <v>7</v>
      </c>
      <c r="BE29" s="143">
        <v>250.69739999999999</v>
      </c>
      <c r="BF29" s="143">
        <v>31</v>
      </c>
      <c r="BG29" s="143">
        <v>231.11930000000001</v>
      </c>
      <c r="BH29" s="143">
        <v>28</v>
      </c>
      <c r="BI29" s="143">
        <v>2</v>
      </c>
      <c r="BJ29" s="143">
        <v>574.12070000000006</v>
      </c>
      <c r="BK29" s="143">
        <v>2</v>
      </c>
      <c r="BL29" s="143">
        <v>77</v>
      </c>
      <c r="BO29" t="s">
        <v>571</v>
      </c>
      <c r="BP29" t="s">
        <v>136</v>
      </c>
      <c r="BQ29" s="170">
        <v>0</v>
      </c>
      <c r="BR29" s="170">
        <f t="shared" si="34"/>
        <v>0</v>
      </c>
      <c r="BS29" s="170">
        <v>0</v>
      </c>
      <c r="BT29" s="170">
        <f t="shared" si="35"/>
        <v>0</v>
      </c>
      <c r="BU29">
        <v>0</v>
      </c>
      <c r="BV29">
        <f t="shared" si="36"/>
        <v>0</v>
      </c>
      <c r="BW29">
        <v>0</v>
      </c>
      <c r="BX29">
        <f t="shared" si="25"/>
        <v>0</v>
      </c>
      <c r="BY29" s="170">
        <v>0</v>
      </c>
      <c r="BZ29" s="170">
        <f t="shared" si="37"/>
        <v>0</v>
      </c>
      <c r="CA29" s="170">
        <v>0</v>
      </c>
      <c r="CB29" s="170">
        <f t="shared" si="38"/>
        <v>0</v>
      </c>
      <c r="CC29">
        <v>0</v>
      </c>
      <c r="CD29">
        <f t="shared" si="39"/>
        <v>0</v>
      </c>
      <c r="CE29">
        <v>0</v>
      </c>
      <c r="CF29">
        <f t="shared" si="40"/>
        <v>0</v>
      </c>
      <c r="CG29" s="170">
        <v>0</v>
      </c>
      <c r="CH29" s="170">
        <f t="shared" si="41"/>
        <v>0</v>
      </c>
    </row>
    <row r="30" spans="1:86">
      <c r="A30" t="s">
        <v>572</v>
      </c>
      <c r="B30" t="s">
        <v>136</v>
      </c>
      <c r="C30" s="139">
        <v>0</v>
      </c>
      <c r="D30" s="139">
        <f t="shared" si="26"/>
        <v>0</v>
      </c>
      <c r="E30" s="139">
        <v>0</v>
      </c>
      <c r="F30" s="139">
        <f t="shared" si="27"/>
        <v>0</v>
      </c>
      <c r="G30">
        <v>0</v>
      </c>
      <c r="H30">
        <f t="shared" si="28"/>
        <v>0</v>
      </c>
      <c r="I30">
        <v>0</v>
      </c>
      <c r="J30">
        <f t="shared" si="2"/>
        <v>0</v>
      </c>
      <c r="K30" s="139">
        <v>0</v>
      </c>
      <c r="L30" s="139">
        <f t="shared" si="29"/>
        <v>0</v>
      </c>
      <c r="M30" s="139">
        <v>0</v>
      </c>
      <c r="N30" s="139">
        <f t="shared" si="30"/>
        <v>0</v>
      </c>
      <c r="O30">
        <v>0</v>
      </c>
      <c r="P30">
        <f t="shared" si="31"/>
        <v>0</v>
      </c>
      <c r="Q30">
        <v>0</v>
      </c>
      <c r="R30">
        <f t="shared" si="32"/>
        <v>0</v>
      </c>
      <c r="S30" s="139">
        <v>0</v>
      </c>
      <c r="T30" s="139">
        <f t="shared" si="33"/>
        <v>0</v>
      </c>
      <c r="U30" s="116"/>
      <c r="V30" s="116"/>
      <c r="X30" t="s">
        <v>380</v>
      </c>
      <c r="Y30" t="s">
        <v>63</v>
      </c>
      <c r="Z30" s="143">
        <v>8105.277</v>
      </c>
      <c r="AA30" s="143">
        <v>28416.27</v>
      </c>
      <c r="AB30" s="143">
        <v>1171.796</v>
      </c>
      <c r="AC30" s="143">
        <v>993.74469999999997</v>
      </c>
      <c r="AD30" s="143">
        <v>4302.9750000000004</v>
      </c>
      <c r="AE30" s="143">
        <v>4609.7280000000001</v>
      </c>
      <c r="AF30" s="143">
        <v>6225.5879999999997</v>
      </c>
      <c r="AG30" s="143">
        <v>6493.7349999999997</v>
      </c>
      <c r="AH30" s="143">
        <v>1879.6890000000001</v>
      </c>
      <c r="AI30" s="143">
        <v>7281.5590000000002</v>
      </c>
      <c r="AJ30" s="143">
        <v>0</v>
      </c>
      <c r="AK30" s="143">
        <v>14640.98</v>
      </c>
      <c r="AL30" s="143"/>
      <c r="AM30" s="143"/>
      <c r="AN30" s="143">
        <v>9976.8649999999998</v>
      </c>
      <c r="AO30" s="143">
        <v>30439.88</v>
      </c>
      <c r="AP30" s="143">
        <v>1048.2429999999999</v>
      </c>
      <c r="AQ30" s="143">
        <v>510.7174</v>
      </c>
      <c r="AR30" s="143">
        <v>4726.8090000000002</v>
      </c>
      <c r="AS30" s="143">
        <v>4046.0120000000002</v>
      </c>
      <c r="AT30" s="143">
        <v>6915.6980000000003</v>
      </c>
      <c r="AU30" s="143">
        <v>7145.933</v>
      </c>
      <c r="AV30" s="143">
        <v>1733.3879999999999</v>
      </c>
      <c r="AW30" s="143">
        <v>5312.3860000000004</v>
      </c>
      <c r="AX30" s="143">
        <v>1327.778</v>
      </c>
      <c r="AY30" s="143">
        <v>17981.560000000001</v>
      </c>
      <c r="BA30" s="143">
        <v>3</v>
      </c>
      <c r="BB30" s="143">
        <v>11</v>
      </c>
      <c r="BC30" s="143">
        <v>0</v>
      </c>
      <c r="BD30" s="143">
        <v>1</v>
      </c>
      <c r="BE30" s="143">
        <v>3</v>
      </c>
      <c r="BF30" s="143">
        <v>5</v>
      </c>
      <c r="BG30" s="143">
        <v>3</v>
      </c>
      <c r="BH30" s="143">
        <v>4</v>
      </c>
      <c r="BI30" s="143">
        <v>0</v>
      </c>
      <c r="BJ30" s="143">
        <v>1</v>
      </c>
      <c r="BK30" s="143">
        <v>0</v>
      </c>
      <c r="BL30" s="143">
        <v>6</v>
      </c>
      <c r="BO30" t="s">
        <v>572</v>
      </c>
      <c r="BP30" t="s">
        <v>136</v>
      </c>
      <c r="BQ30" s="170">
        <v>0</v>
      </c>
      <c r="BR30" s="170">
        <f t="shared" si="34"/>
        <v>0</v>
      </c>
      <c r="BS30" s="170">
        <v>0</v>
      </c>
      <c r="BT30" s="170">
        <f t="shared" si="35"/>
        <v>0</v>
      </c>
      <c r="BU30">
        <v>0</v>
      </c>
      <c r="BV30">
        <f t="shared" si="36"/>
        <v>0</v>
      </c>
      <c r="BW30">
        <v>0</v>
      </c>
      <c r="BX30">
        <f t="shared" si="25"/>
        <v>0</v>
      </c>
      <c r="BY30" s="170">
        <v>0</v>
      </c>
      <c r="BZ30" s="170">
        <f t="shared" si="37"/>
        <v>0</v>
      </c>
      <c r="CA30" s="170">
        <v>0</v>
      </c>
      <c r="CB30" s="170">
        <f t="shared" si="38"/>
        <v>0</v>
      </c>
      <c r="CC30">
        <v>0</v>
      </c>
      <c r="CD30">
        <f t="shared" si="39"/>
        <v>0</v>
      </c>
      <c r="CE30">
        <v>0</v>
      </c>
      <c r="CF30">
        <f t="shared" si="40"/>
        <v>0</v>
      </c>
      <c r="CG30" s="170">
        <v>0</v>
      </c>
      <c r="CH30" s="170">
        <f t="shared" si="41"/>
        <v>0</v>
      </c>
    </row>
    <row r="31" spans="1:86">
      <c r="A31" t="s">
        <v>293</v>
      </c>
      <c r="B31" t="s">
        <v>136</v>
      </c>
      <c r="C31" s="139">
        <v>0</v>
      </c>
      <c r="D31" s="139">
        <f t="shared" si="26"/>
        <v>0</v>
      </c>
      <c r="E31" s="139">
        <v>0</v>
      </c>
      <c r="F31" s="139">
        <f t="shared" si="27"/>
        <v>0</v>
      </c>
      <c r="G31">
        <v>3.6</v>
      </c>
      <c r="H31">
        <f t="shared" si="28"/>
        <v>3.6</v>
      </c>
      <c r="I31">
        <v>0</v>
      </c>
      <c r="J31">
        <f t="shared" si="2"/>
        <v>0</v>
      </c>
      <c r="K31" s="139">
        <v>0</v>
      </c>
      <c r="L31" s="139">
        <f t="shared" si="29"/>
        <v>0</v>
      </c>
      <c r="M31" s="139">
        <v>3.6</v>
      </c>
      <c r="N31" s="139">
        <f t="shared" si="30"/>
        <v>3.6</v>
      </c>
      <c r="O31">
        <v>0</v>
      </c>
      <c r="P31">
        <f t="shared" si="31"/>
        <v>0</v>
      </c>
      <c r="Q31">
        <v>0</v>
      </c>
      <c r="R31">
        <f t="shared" si="32"/>
        <v>0</v>
      </c>
      <c r="S31" s="139">
        <v>3.6</v>
      </c>
      <c r="T31" s="139">
        <f t="shared" si="33"/>
        <v>3.6</v>
      </c>
      <c r="U31" s="116"/>
      <c r="X31" t="s">
        <v>380</v>
      </c>
      <c r="Y31" t="s">
        <v>65</v>
      </c>
      <c r="Z31" s="143">
        <v>1762.7049999999999</v>
      </c>
      <c r="AA31" s="143">
        <v>14492.85</v>
      </c>
      <c r="AB31" s="143">
        <v>0</v>
      </c>
      <c r="AC31" s="143">
        <v>270.10270000000003</v>
      </c>
      <c r="AD31" s="143">
        <v>3143.8789999999999</v>
      </c>
      <c r="AE31" s="143">
        <v>2901.7339999999999</v>
      </c>
      <c r="AF31" s="143">
        <v>1511.354</v>
      </c>
      <c r="AG31" s="143">
        <v>3154.3069999999998</v>
      </c>
      <c r="AH31" s="143">
        <v>251.35120000000001</v>
      </c>
      <c r="AI31" s="143">
        <v>2576.7730000000001</v>
      </c>
      <c r="AJ31" s="143">
        <v>0</v>
      </c>
      <c r="AK31" s="143">
        <v>8761.7659999999996</v>
      </c>
      <c r="AL31" s="143"/>
      <c r="AM31" s="143"/>
      <c r="AN31" s="143">
        <v>6007.0069999999996</v>
      </c>
      <c r="AO31" s="143">
        <v>29301.1</v>
      </c>
      <c r="AP31" s="143">
        <v>691.69050000000004</v>
      </c>
      <c r="AQ31" s="143">
        <v>745.37760000000003</v>
      </c>
      <c r="AR31" s="143">
        <v>5840.5739999999996</v>
      </c>
      <c r="AS31" s="143">
        <v>6721.4620000000004</v>
      </c>
      <c r="AT31" s="143">
        <v>4873.9679999999998</v>
      </c>
      <c r="AU31" s="143">
        <v>5612.57</v>
      </c>
      <c r="AV31" s="143">
        <v>1130.039</v>
      </c>
      <c r="AW31" s="143">
        <v>6899.9</v>
      </c>
      <c r="AX31" s="143">
        <v>3</v>
      </c>
      <c r="AY31" s="143">
        <v>16788.63</v>
      </c>
      <c r="BA31" s="143">
        <v>294.72930000000002</v>
      </c>
      <c r="BB31" s="143">
        <v>2821.9920000000002</v>
      </c>
      <c r="BC31" s="143">
        <v>176.6474</v>
      </c>
      <c r="BD31" s="143">
        <v>237.08500000000001</v>
      </c>
      <c r="BE31" s="143">
        <v>696.98710000000005</v>
      </c>
      <c r="BF31" s="143">
        <v>678.36829999999998</v>
      </c>
      <c r="BG31" s="143">
        <v>294.72930000000002</v>
      </c>
      <c r="BH31" s="143">
        <v>694.2269</v>
      </c>
      <c r="BI31" s="143">
        <v>0</v>
      </c>
      <c r="BJ31" s="143">
        <v>628.70630000000006</v>
      </c>
      <c r="BK31" s="143">
        <v>0</v>
      </c>
      <c r="BL31" s="143">
        <v>1499.058</v>
      </c>
      <c r="BO31" t="s">
        <v>293</v>
      </c>
      <c r="BP31" t="s">
        <v>136</v>
      </c>
      <c r="BQ31" s="170">
        <v>0</v>
      </c>
      <c r="BR31" s="170">
        <f t="shared" si="34"/>
        <v>0</v>
      </c>
      <c r="BS31" s="170">
        <v>0</v>
      </c>
      <c r="BT31" s="170">
        <f t="shared" si="35"/>
        <v>0</v>
      </c>
      <c r="BU31">
        <v>3.6</v>
      </c>
      <c r="BV31">
        <f t="shared" si="36"/>
        <v>3.6</v>
      </c>
      <c r="BW31">
        <v>0</v>
      </c>
      <c r="BX31">
        <f t="shared" si="25"/>
        <v>0</v>
      </c>
      <c r="BY31" s="170">
        <v>0</v>
      </c>
      <c r="BZ31" s="170">
        <f t="shared" si="37"/>
        <v>0</v>
      </c>
      <c r="CA31" s="170">
        <v>3.6</v>
      </c>
      <c r="CB31" s="170">
        <f t="shared" si="38"/>
        <v>3.6</v>
      </c>
      <c r="CC31">
        <v>0</v>
      </c>
      <c r="CD31">
        <f t="shared" si="39"/>
        <v>0</v>
      </c>
      <c r="CE31">
        <v>0</v>
      </c>
      <c r="CF31">
        <f t="shared" si="40"/>
        <v>0</v>
      </c>
      <c r="CG31" s="170">
        <v>3.6</v>
      </c>
      <c r="CH31" s="170">
        <f t="shared" si="41"/>
        <v>3.6</v>
      </c>
    </row>
    <row r="32" spans="1:86">
      <c r="A32" t="s">
        <v>573</v>
      </c>
      <c r="B32" t="s">
        <v>136</v>
      </c>
      <c r="C32" s="139">
        <v>0</v>
      </c>
      <c r="D32" s="139">
        <f t="shared" si="26"/>
        <v>0</v>
      </c>
      <c r="E32" s="139">
        <v>0</v>
      </c>
      <c r="F32" s="139">
        <f t="shared" si="27"/>
        <v>0</v>
      </c>
      <c r="G32">
        <v>0</v>
      </c>
      <c r="H32">
        <f t="shared" si="28"/>
        <v>0</v>
      </c>
      <c r="I32">
        <v>0</v>
      </c>
      <c r="J32">
        <f t="shared" si="2"/>
        <v>0</v>
      </c>
      <c r="K32" s="139">
        <v>0</v>
      </c>
      <c r="L32" s="139">
        <f t="shared" si="29"/>
        <v>0</v>
      </c>
      <c r="M32" s="139">
        <v>0</v>
      </c>
      <c r="N32" s="139">
        <f t="shared" si="30"/>
        <v>0</v>
      </c>
      <c r="O32">
        <v>0</v>
      </c>
      <c r="P32">
        <f t="shared" si="31"/>
        <v>0</v>
      </c>
      <c r="Q32">
        <v>0</v>
      </c>
      <c r="R32">
        <f t="shared" si="32"/>
        <v>0</v>
      </c>
      <c r="S32" s="139">
        <v>0</v>
      </c>
      <c r="T32" s="139">
        <f t="shared" si="33"/>
        <v>0</v>
      </c>
      <c r="U32" s="116"/>
      <c r="V32" s="116"/>
      <c r="X32" t="s">
        <v>380</v>
      </c>
      <c r="Y32" t="s">
        <v>67</v>
      </c>
      <c r="Z32" s="143">
        <v>7144.5039999999999</v>
      </c>
      <c r="AA32" s="143">
        <v>32424.29</v>
      </c>
      <c r="AB32" s="143">
        <v>183.44710000000001</v>
      </c>
      <c r="AC32" s="143">
        <v>574.87019999999995</v>
      </c>
      <c r="AD32" s="143">
        <v>4947.9939999999997</v>
      </c>
      <c r="AE32" s="143">
        <v>4881.393</v>
      </c>
      <c r="AF32" s="143">
        <v>6762.91</v>
      </c>
      <c r="AG32" s="143">
        <v>9237.9429999999993</v>
      </c>
      <c r="AH32" s="143">
        <v>381.59480000000002</v>
      </c>
      <c r="AI32" s="143">
        <v>5203.8059999999996</v>
      </c>
      <c r="AJ32" s="143">
        <v>0</v>
      </c>
      <c r="AK32" s="143">
        <v>17982.54</v>
      </c>
      <c r="AL32" s="143"/>
      <c r="AM32" s="143"/>
      <c r="AN32" s="143">
        <v>4782.9340000000002</v>
      </c>
      <c r="AO32" s="143">
        <v>18627.66</v>
      </c>
      <c r="AP32" s="143">
        <v>368.1977</v>
      </c>
      <c r="AQ32" s="143">
        <v>213.47069999999999</v>
      </c>
      <c r="AR32" s="143">
        <v>2926.8539999999998</v>
      </c>
      <c r="AS32" s="143">
        <v>2759.2890000000002</v>
      </c>
      <c r="AT32" s="143">
        <v>4192.4549999999999</v>
      </c>
      <c r="AU32" s="143">
        <v>6362.4049999999997</v>
      </c>
      <c r="AV32" s="143">
        <v>367.82139999999998</v>
      </c>
      <c r="AW32" s="143">
        <v>3376.2510000000002</v>
      </c>
      <c r="AX32" s="143">
        <v>222.65809999999999</v>
      </c>
      <c r="AY32" s="143">
        <v>8889</v>
      </c>
      <c r="BA32" s="143">
        <v>518.43849999999998</v>
      </c>
      <c r="BB32" s="143">
        <v>1500.539</v>
      </c>
      <c r="BC32" s="143">
        <v>0</v>
      </c>
      <c r="BD32" s="143">
        <v>8</v>
      </c>
      <c r="BE32" s="143">
        <v>183.44710000000001</v>
      </c>
      <c r="BF32" s="143">
        <v>183.44710000000001</v>
      </c>
      <c r="BG32" s="143">
        <v>516.43849999999998</v>
      </c>
      <c r="BH32" s="143">
        <v>0</v>
      </c>
      <c r="BI32" s="143">
        <v>0</v>
      </c>
      <c r="BJ32" s="143">
        <v>541.89030000000002</v>
      </c>
      <c r="BK32" s="143">
        <v>2</v>
      </c>
      <c r="BL32" s="143">
        <v>958.64890000000003</v>
      </c>
      <c r="BO32" t="s">
        <v>573</v>
      </c>
      <c r="BP32" t="s">
        <v>136</v>
      </c>
      <c r="BQ32" s="170">
        <v>0</v>
      </c>
      <c r="BR32" s="170">
        <f t="shared" si="34"/>
        <v>0</v>
      </c>
      <c r="BS32" s="170">
        <v>0</v>
      </c>
      <c r="BT32" s="170">
        <f t="shared" si="35"/>
        <v>0</v>
      </c>
      <c r="BU32">
        <v>0</v>
      </c>
      <c r="BV32">
        <f t="shared" si="36"/>
        <v>0</v>
      </c>
      <c r="BW32">
        <v>0</v>
      </c>
      <c r="BX32">
        <f t="shared" si="25"/>
        <v>0</v>
      </c>
      <c r="BY32" s="170">
        <v>0</v>
      </c>
      <c r="BZ32" s="170">
        <f t="shared" si="37"/>
        <v>0</v>
      </c>
      <c r="CA32" s="170">
        <v>0</v>
      </c>
      <c r="CB32" s="170">
        <f t="shared" si="38"/>
        <v>0</v>
      </c>
      <c r="CC32">
        <v>0</v>
      </c>
      <c r="CD32">
        <f t="shared" si="39"/>
        <v>0</v>
      </c>
      <c r="CE32">
        <v>0</v>
      </c>
      <c r="CF32">
        <f t="shared" si="40"/>
        <v>0</v>
      </c>
      <c r="CG32" s="170">
        <v>0</v>
      </c>
      <c r="CH32" s="170">
        <f t="shared" si="41"/>
        <v>0</v>
      </c>
    </row>
    <row r="33" spans="1:86">
      <c r="A33" t="s">
        <v>574</v>
      </c>
      <c r="B33" t="s">
        <v>136</v>
      </c>
      <c r="C33" s="139">
        <v>0</v>
      </c>
      <c r="D33" s="139">
        <f t="shared" si="26"/>
        <v>0</v>
      </c>
      <c r="E33" s="139">
        <v>0</v>
      </c>
      <c r="F33" s="139">
        <f t="shared" si="27"/>
        <v>0</v>
      </c>
      <c r="G33">
        <v>0</v>
      </c>
      <c r="H33">
        <f t="shared" si="28"/>
        <v>0</v>
      </c>
      <c r="I33">
        <v>0</v>
      </c>
      <c r="J33">
        <f t="shared" si="2"/>
        <v>0</v>
      </c>
      <c r="K33" s="139">
        <v>0</v>
      </c>
      <c r="L33" s="139">
        <f t="shared" si="29"/>
        <v>0</v>
      </c>
      <c r="M33" s="139">
        <v>0</v>
      </c>
      <c r="N33" s="139">
        <f t="shared" si="30"/>
        <v>0</v>
      </c>
      <c r="O33">
        <v>0</v>
      </c>
      <c r="P33">
        <f t="shared" si="31"/>
        <v>0</v>
      </c>
      <c r="Q33">
        <v>0</v>
      </c>
      <c r="R33">
        <f t="shared" si="32"/>
        <v>0</v>
      </c>
      <c r="S33" s="139">
        <v>0</v>
      </c>
      <c r="T33" s="139">
        <f t="shared" si="33"/>
        <v>0</v>
      </c>
      <c r="U33" s="116"/>
      <c r="X33" t="s">
        <v>380</v>
      </c>
      <c r="Y33" t="s">
        <v>69</v>
      </c>
      <c r="Z33">
        <v>2590.33</v>
      </c>
      <c r="AA33">
        <v>10356.34</v>
      </c>
      <c r="AB33">
        <v>491.02969999999999</v>
      </c>
      <c r="AC33">
        <v>491.32190000000003</v>
      </c>
      <c r="AD33">
        <v>2244.5740000000001</v>
      </c>
      <c r="AE33">
        <v>2292.33</v>
      </c>
      <c r="AF33">
        <v>2100.1999999999998</v>
      </c>
      <c r="AG33">
        <v>2007.346</v>
      </c>
      <c r="AH33">
        <v>490.12979999999999</v>
      </c>
      <c r="AI33">
        <v>3612.9929999999999</v>
      </c>
      <c r="AJ33">
        <v>0</v>
      </c>
      <c r="AK33">
        <v>4736.0039999999999</v>
      </c>
      <c r="AN33" s="143">
        <v>7712.6530000000002</v>
      </c>
      <c r="AO33" s="143">
        <v>29724.89</v>
      </c>
      <c r="AP33" s="143">
        <v>777.06259999999997</v>
      </c>
      <c r="AQ33" s="143">
        <v>246.80109999999999</v>
      </c>
      <c r="AR33" s="143">
        <v>6775.0950000000003</v>
      </c>
      <c r="AS33" s="143">
        <v>6537.0910000000003</v>
      </c>
      <c r="AT33" s="143">
        <v>6950.8860000000004</v>
      </c>
      <c r="AU33" s="143">
        <v>7950.1809999999996</v>
      </c>
      <c r="AV33" s="143">
        <v>511.53829999999999</v>
      </c>
      <c r="AW33" s="143">
        <v>4999.7950000000001</v>
      </c>
      <c r="AX33" s="143">
        <v>250.2286</v>
      </c>
      <c r="AY33" s="143">
        <v>16774.919999999998</v>
      </c>
      <c r="BA33" s="143">
        <v>7</v>
      </c>
      <c r="BB33" s="143">
        <v>782.25260000000003</v>
      </c>
      <c r="BC33" s="143">
        <v>243.80109999999999</v>
      </c>
      <c r="BD33" s="143">
        <v>2</v>
      </c>
      <c r="BE33" s="143">
        <v>252.80109999999999</v>
      </c>
      <c r="BF33" s="143">
        <v>13</v>
      </c>
      <c r="BG33" s="143">
        <v>6</v>
      </c>
      <c r="BH33" s="143">
        <v>13</v>
      </c>
      <c r="BI33" s="143">
        <v>1</v>
      </c>
      <c r="BJ33" s="143">
        <v>244.31020000000001</v>
      </c>
      <c r="BK33" s="143">
        <v>0</v>
      </c>
      <c r="BL33" s="143">
        <v>524.94230000000005</v>
      </c>
      <c r="BO33" t="s">
        <v>574</v>
      </c>
      <c r="BP33" t="s">
        <v>136</v>
      </c>
      <c r="BQ33" s="170">
        <v>0</v>
      </c>
      <c r="BR33" s="170">
        <f t="shared" si="34"/>
        <v>0</v>
      </c>
      <c r="BS33" s="170">
        <v>0</v>
      </c>
      <c r="BT33" s="170">
        <f t="shared" si="35"/>
        <v>0</v>
      </c>
      <c r="BU33">
        <v>0</v>
      </c>
      <c r="BV33">
        <f t="shared" si="36"/>
        <v>0</v>
      </c>
      <c r="BW33">
        <v>0</v>
      </c>
      <c r="BX33">
        <f t="shared" si="25"/>
        <v>0</v>
      </c>
      <c r="BY33" s="170">
        <v>0</v>
      </c>
      <c r="BZ33" s="170">
        <f t="shared" si="37"/>
        <v>0</v>
      </c>
      <c r="CA33" s="170">
        <v>0</v>
      </c>
      <c r="CB33" s="170">
        <f t="shared" si="38"/>
        <v>0</v>
      </c>
      <c r="CC33">
        <v>0</v>
      </c>
      <c r="CD33">
        <f t="shared" si="39"/>
        <v>0</v>
      </c>
      <c r="CE33">
        <v>0</v>
      </c>
      <c r="CF33">
        <f t="shared" si="40"/>
        <v>0</v>
      </c>
      <c r="CG33" s="170">
        <v>0</v>
      </c>
      <c r="CH33" s="170">
        <f t="shared" si="41"/>
        <v>0</v>
      </c>
    </row>
    <row r="34" spans="1:86">
      <c r="A34" t="s">
        <v>575</v>
      </c>
      <c r="B34" t="s">
        <v>136</v>
      </c>
      <c r="C34" s="139">
        <v>0</v>
      </c>
      <c r="D34" s="139">
        <f t="shared" si="26"/>
        <v>0</v>
      </c>
      <c r="E34" s="139">
        <v>0</v>
      </c>
      <c r="F34" s="139">
        <f t="shared" si="27"/>
        <v>0</v>
      </c>
      <c r="G34">
        <v>0</v>
      </c>
      <c r="H34">
        <f t="shared" si="28"/>
        <v>0</v>
      </c>
      <c r="I34">
        <v>0</v>
      </c>
      <c r="J34">
        <f t="shared" si="2"/>
        <v>0</v>
      </c>
      <c r="K34" s="139">
        <v>0</v>
      </c>
      <c r="L34" s="139">
        <f t="shared" si="29"/>
        <v>0</v>
      </c>
      <c r="M34" s="139">
        <v>0</v>
      </c>
      <c r="N34" s="139">
        <f t="shared" si="30"/>
        <v>0</v>
      </c>
      <c r="O34">
        <v>0</v>
      </c>
      <c r="P34">
        <f t="shared" si="31"/>
        <v>0</v>
      </c>
      <c r="Q34">
        <v>0</v>
      </c>
      <c r="R34">
        <f t="shared" si="32"/>
        <v>0</v>
      </c>
      <c r="S34" s="139">
        <v>0</v>
      </c>
      <c r="T34" s="139">
        <f t="shared" si="33"/>
        <v>0</v>
      </c>
      <c r="U34" s="116"/>
      <c r="V34" s="116"/>
      <c r="BO34" t="s">
        <v>575</v>
      </c>
      <c r="BP34" t="s">
        <v>136</v>
      </c>
      <c r="BQ34" s="170">
        <v>0</v>
      </c>
      <c r="BR34" s="170">
        <f t="shared" si="34"/>
        <v>0</v>
      </c>
      <c r="BS34" s="170">
        <v>0</v>
      </c>
      <c r="BT34" s="170">
        <f t="shared" si="35"/>
        <v>0</v>
      </c>
      <c r="BU34">
        <v>0</v>
      </c>
      <c r="BV34">
        <f t="shared" si="36"/>
        <v>0</v>
      </c>
      <c r="BW34">
        <v>0</v>
      </c>
      <c r="BX34">
        <f t="shared" si="25"/>
        <v>0</v>
      </c>
      <c r="BY34" s="170">
        <v>0</v>
      </c>
      <c r="BZ34" s="170">
        <f t="shared" si="37"/>
        <v>0</v>
      </c>
      <c r="CA34" s="170">
        <v>0</v>
      </c>
      <c r="CB34" s="170">
        <f t="shared" si="38"/>
        <v>0</v>
      </c>
      <c r="CC34">
        <v>0</v>
      </c>
      <c r="CD34">
        <f t="shared" si="39"/>
        <v>0</v>
      </c>
      <c r="CE34">
        <v>0</v>
      </c>
      <c r="CF34">
        <f t="shared" si="40"/>
        <v>0</v>
      </c>
      <c r="CG34" s="170">
        <v>0</v>
      </c>
      <c r="CH34" s="170">
        <f t="shared" si="41"/>
        <v>0</v>
      </c>
    </row>
    <row r="35" spans="1:86">
      <c r="A35" t="s">
        <v>273</v>
      </c>
      <c r="B35" t="s">
        <v>136</v>
      </c>
      <c r="C35" s="139">
        <v>100</v>
      </c>
      <c r="D35" s="139">
        <f>C35-30</f>
        <v>70</v>
      </c>
      <c r="E35" s="139">
        <v>80</v>
      </c>
      <c r="F35" s="139">
        <f>E35-20</f>
        <v>60</v>
      </c>
      <c r="G35">
        <f>27.7+1.6+2.6</f>
        <v>31.900000000000002</v>
      </c>
      <c r="H35">
        <f>G35-10</f>
        <v>21.900000000000002</v>
      </c>
      <c r="I35">
        <v>100</v>
      </c>
      <c r="J35">
        <f>I35-30</f>
        <v>70</v>
      </c>
      <c r="K35" s="139">
        <v>80</v>
      </c>
      <c r="L35" s="139">
        <f>K35-20</f>
        <v>60</v>
      </c>
      <c r="M35" s="139">
        <f>27.7+1.6+2.6</f>
        <v>31.900000000000002</v>
      </c>
      <c r="N35" s="139">
        <f>M35-10</f>
        <v>21.900000000000002</v>
      </c>
      <c r="O35">
        <v>100</v>
      </c>
      <c r="P35">
        <f t="shared" si="31"/>
        <v>70</v>
      </c>
      <c r="Q35">
        <v>80</v>
      </c>
      <c r="R35">
        <f t="shared" si="32"/>
        <v>60</v>
      </c>
      <c r="S35" s="139">
        <f>27.7+1.6+2.6</f>
        <v>31.900000000000002</v>
      </c>
      <c r="T35" s="139">
        <f t="shared" si="33"/>
        <v>21.900000000000002</v>
      </c>
      <c r="U35" s="116"/>
      <c r="Y35" s="29"/>
      <c r="Z35" s="29"/>
      <c r="AA35" s="29"/>
      <c r="AB35" s="29"/>
      <c r="AC35" s="29"/>
      <c r="AD35" s="338" t="s">
        <v>36</v>
      </c>
      <c r="AE35" s="339"/>
      <c r="AF35" s="338" t="s">
        <v>374</v>
      </c>
      <c r="AG35" s="339"/>
      <c r="AH35" s="338" t="s">
        <v>38</v>
      </c>
      <c r="AI35" s="339"/>
      <c r="BO35" t="s">
        <v>273</v>
      </c>
      <c r="BP35" t="s">
        <v>136</v>
      </c>
      <c r="BQ35" s="170">
        <v>100</v>
      </c>
      <c r="BR35" s="170">
        <f>BQ35-30</f>
        <v>70</v>
      </c>
      <c r="BS35" s="170">
        <v>80</v>
      </c>
      <c r="BT35" s="170">
        <f>BS35-20</f>
        <v>60</v>
      </c>
      <c r="BU35">
        <f>27.7+1.6+2.6</f>
        <v>31.900000000000002</v>
      </c>
      <c r="BV35">
        <f>BU35-10</f>
        <v>21.900000000000002</v>
      </c>
      <c r="BW35">
        <v>100</v>
      </c>
      <c r="BX35">
        <f>BW35-30</f>
        <v>70</v>
      </c>
      <c r="BY35" s="170">
        <v>80</v>
      </c>
      <c r="BZ35" s="170">
        <f>BY35-20</f>
        <v>60</v>
      </c>
      <c r="CA35" s="170">
        <f>27.7+1.6+2.6</f>
        <v>31.900000000000002</v>
      </c>
      <c r="CB35" s="170">
        <f>CA35-10</f>
        <v>21.900000000000002</v>
      </c>
      <c r="CC35">
        <v>100</v>
      </c>
      <c r="CD35">
        <f t="shared" si="39"/>
        <v>70</v>
      </c>
      <c r="CE35">
        <v>80</v>
      </c>
      <c r="CF35">
        <f t="shared" si="40"/>
        <v>60</v>
      </c>
      <c r="CG35" s="170">
        <f>27.7+1.6+2.6</f>
        <v>31.900000000000002</v>
      </c>
      <c r="CH35" s="170">
        <f t="shared" si="41"/>
        <v>21.900000000000002</v>
      </c>
    </row>
    <row r="36" spans="1:86">
      <c r="A36" t="s">
        <v>285</v>
      </c>
      <c r="B36" t="s">
        <v>136</v>
      </c>
      <c r="C36" s="139">
        <v>0</v>
      </c>
      <c r="D36" s="139">
        <f>C36+30</f>
        <v>30</v>
      </c>
      <c r="E36" s="139">
        <v>20</v>
      </c>
      <c r="F36" s="139">
        <f t="shared" si="27"/>
        <v>20</v>
      </c>
      <c r="G36">
        <f>0.3+0.8</f>
        <v>1.1000000000000001</v>
      </c>
      <c r="H36">
        <f>G36+10</f>
        <v>11.1</v>
      </c>
      <c r="I36">
        <v>0</v>
      </c>
      <c r="J36">
        <f>I36+30</f>
        <v>30</v>
      </c>
      <c r="K36" s="139">
        <v>20</v>
      </c>
      <c r="L36" s="139">
        <f t="shared" si="29"/>
        <v>20</v>
      </c>
      <c r="M36" s="139">
        <f>0.3+0.8</f>
        <v>1.1000000000000001</v>
      </c>
      <c r="N36" s="139">
        <f>M36+10</f>
        <v>11.1</v>
      </c>
      <c r="O36">
        <v>0</v>
      </c>
      <c r="P36">
        <f t="shared" si="31"/>
        <v>30</v>
      </c>
      <c r="Q36">
        <v>20</v>
      </c>
      <c r="R36">
        <f t="shared" si="32"/>
        <v>20</v>
      </c>
      <c r="S36" s="139">
        <f>0.3+0.8</f>
        <v>1.1000000000000001</v>
      </c>
      <c r="T36" s="139">
        <f t="shared" si="33"/>
        <v>11.1</v>
      </c>
      <c r="U36" s="116"/>
      <c r="V36" s="116"/>
      <c r="Y36" s="158" t="s">
        <v>373</v>
      </c>
      <c r="Z36" s="29" t="s">
        <v>36</v>
      </c>
      <c r="AA36" s="29" t="s">
        <v>374</v>
      </c>
      <c r="AB36" s="29" t="s">
        <v>38</v>
      </c>
      <c r="AC36" s="29"/>
      <c r="AD36" s="177" t="s">
        <v>686</v>
      </c>
      <c r="AE36" s="178" t="s">
        <v>687</v>
      </c>
      <c r="AF36" s="177" t="s">
        <v>686</v>
      </c>
      <c r="AG36" s="178" t="s">
        <v>687</v>
      </c>
      <c r="AH36" s="177" t="s">
        <v>686</v>
      </c>
      <c r="AI36" s="178" t="s">
        <v>687</v>
      </c>
      <c r="BO36" t="s">
        <v>285</v>
      </c>
      <c r="BP36" t="s">
        <v>136</v>
      </c>
      <c r="BQ36" s="170">
        <v>0</v>
      </c>
      <c r="BR36" s="170">
        <f>BQ36+30</f>
        <v>30</v>
      </c>
      <c r="BS36" s="170">
        <v>20</v>
      </c>
      <c r="BT36" s="170">
        <f t="shared" ref="BT36:BT39" si="42">BS36</f>
        <v>20</v>
      </c>
      <c r="BU36">
        <f>0.3+0.8</f>
        <v>1.1000000000000001</v>
      </c>
      <c r="BV36">
        <f>BU36+10</f>
        <v>11.1</v>
      </c>
      <c r="BW36">
        <v>0</v>
      </c>
      <c r="BX36">
        <f>BW36+30</f>
        <v>30</v>
      </c>
      <c r="BY36" s="170">
        <v>20</v>
      </c>
      <c r="BZ36" s="170">
        <f t="shared" ref="BZ36:BZ39" si="43">BY36</f>
        <v>20</v>
      </c>
      <c r="CA36" s="170">
        <f>0.3+0.8</f>
        <v>1.1000000000000001</v>
      </c>
      <c r="CB36" s="170">
        <f>CA36+10</f>
        <v>11.1</v>
      </c>
      <c r="CC36">
        <v>0</v>
      </c>
      <c r="CD36">
        <f t="shared" si="39"/>
        <v>30</v>
      </c>
      <c r="CE36">
        <v>20</v>
      </c>
      <c r="CF36">
        <f t="shared" si="40"/>
        <v>20</v>
      </c>
      <c r="CG36" s="170">
        <f>0.3+0.8</f>
        <v>1.1000000000000001</v>
      </c>
      <c r="CH36" s="170">
        <f t="shared" si="41"/>
        <v>11.1</v>
      </c>
    </row>
    <row r="37" spans="1:86" s="146" customFormat="1">
      <c r="A37" s="146" t="s">
        <v>278</v>
      </c>
      <c r="B37" s="146" t="s">
        <v>136</v>
      </c>
      <c r="C37" s="262">
        <v>0</v>
      </c>
      <c r="D37" s="262">
        <f t="shared" si="26"/>
        <v>0</v>
      </c>
      <c r="E37" s="262">
        <v>0</v>
      </c>
      <c r="F37" s="262">
        <f t="shared" si="27"/>
        <v>0</v>
      </c>
      <c r="G37" s="146">
        <v>12.8</v>
      </c>
      <c r="H37" s="146">
        <f t="shared" si="28"/>
        <v>12.8</v>
      </c>
      <c r="I37" s="146">
        <v>0</v>
      </c>
      <c r="J37" s="146">
        <f t="shared" si="2"/>
        <v>0</v>
      </c>
      <c r="K37" s="262">
        <v>0</v>
      </c>
      <c r="L37" s="262">
        <f t="shared" si="29"/>
        <v>0</v>
      </c>
      <c r="M37" s="262">
        <v>12.8</v>
      </c>
      <c r="N37" s="262">
        <f t="shared" si="30"/>
        <v>12.8</v>
      </c>
      <c r="O37" s="146">
        <v>0</v>
      </c>
      <c r="P37" s="146">
        <f t="shared" si="31"/>
        <v>0</v>
      </c>
      <c r="Q37" s="146">
        <v>0</v>
      </c>
      <c r="R37" s="146">
        <f t="shared" si="32"/>
        <v>0</v>
      </c>
      <c r="S37" s="262">
        <v>12.8</v>
      </c>
      <c r="T37" s="262">
        <f t="shared" si="33"/>
        <v>12.8</v>
      </c>
      <c r="U37" s="263"/>
      <c r="X37" s="146" t="s">
        <v>376</v>
      </c>
      <c r="Y37" s="146" t="s">
        <v>40</v>
      </c>
      <c r="Z37" s="145">
        <f t="shared" ref="Z37:Z43" si="44">SUM(Z4:AA4)</f>
        <v>13341.489</v>
      </c>
      <c r="AA37" s="145">
        <f>SUM(AN4:AO4)</f>
        <v>26967.157999999999</v>
      </c>
      <c r="AB37" s="145">
        <f>SUM(BA4:BB4)</f>
        <v>3379.5045</v>
      </c>
      <c r="AD37" s="264">
        <f>AK4/Z37</f>
        <v>0.36511869102466749</v>
      </c>
      <c r="AE37" s="265">
        <f>AJ4/Z37</f>
        <v>1.3491747435387461E-3</v>
      </c>
      <c r="AF37" s="264">
        <f t="shared" ref="AF37:AF43" si="45">AY4/AA37</f>
        <v>0.36749997904858944</v>
      </c>
      <c r="AG37" s="265">
        <f t="shared" ref="AG37:AG43" si="46">AX4/AA37</f>
        <v>3.1890642684705597E-3</v>
      </c>
      <c r="AH37" s="264">
        <f t="shared" ref="AH37:AH43" si="47">BL4/AB37</f>
        <v>0.5124464252081925</v>
      </c>
      <c r="AI37" s="265">
        <f t="shared" ref="AI37:AI43" si="48">BK4/AB37</f>
        <v>2.9590136660566661E-4</v>
      </c>
      <c r="BO37" s="146" t="s">
        <v>278</v>
      </c>
      <c r="BP37" s="146" t="s">
        <v>136</v>
      </c>
      <c r="BQ37" s="266">
        <v>0</v>
      </c>
      <c r="BR37" s="266">
        <f t="shared" ref="BR37:BR50" si="49">BQ37</f>
        <v>0</v>
      </c>
      <c r="BS37" s="266">
        <v>0</v>
      </c>
      <c r="BT37" s="266">
        <f t="shared" si="42"/>
        <v>0</v>
      </c>
      <c r="BU37" s="146">
        <v>12.8</v>
      </c>
      <c r="BV37" s="146">
        <f t="shared" ref="BV37:BV50" si="50">BU37</f>
        <v>12.8</v>
      </c>
      <c r="BW37" s="146">
        <v>0</v>
      </c>
      <c r="BX37" s="146">
        <f t="shared" ref="BX37:BX63" si="51">BW37</f>
        <v>0</v>
      </c>
      <c r="BY37" s="266">
        <v>0</v>
      </c>
      <c r="BZ37" s="266">
        <f t="shared" si="43"/>
        <v>0</v>
      </c>
      <c r="CA37" s="266">
        <v>12.8</v>
      </c>
      <c r="CB37" s="266">
        <f t="shared" ref="CB37:CB50" si="52">CA37</f>
        <v>12.8</v>
      </c>
      <c r="CC37" s="146">
        <v>0</v>
      </c>
      <c r="CD37" s="146">
        <f t="shared" si="39"/>
        <v>0</v>
      </c>
      <c r="CE37" s="146">
        <v>0</v>
      </c>
      <c r="CF37" s="146">
        <f t="shared" si="40"/>
        <v>0</v>
      </c>
      <c r="CG37" s="266">
        <v>12.8</v>
      </c>
      <c r="CH37" s="266">
        <f t="shared" si="41"/>
        <v>12.8</v>
      </c>
    </row>
    <row r="38" spans="1:86">
      <c r="A38" t="s">
        <v>576</v>
      </c>
      <c r="B38" t="s">
        <v>136</v>
      </c>
      <c r="C38" s="139">
        <v>0</v>
      </c>
      <c r="D38" s="139">
        <f t="shared" si="26"/>
        <v>0</v>
      </c>
      <c r="E38" s="139">
        <v>0</v>
      </c>
      <c r="F38" s="139">
        <f t="shared" si="27"/>
        <v>0</v>
      </c>
      <c r="G38">
        <v>0</v>
      </c>
      <c r="H38">
        <f t="shared" si="28"/>
        <v>0</v>
      </c>
      <c r="I38">
        <v>0</v>
      </c>
      <c r="J38">
        <f t="shared" si="2"/>
        <v>0</v>
      </c>
      <c r="K38" s="139">
        <v>0</v>
      </c>
      <c r="L38" s="139">
        <f t="shared" si="29"/>
        <v>0</v>
      </c>
      <c r="M38" s="139">
        <v>0</v>
      </c>
      <c r="N38" s="139">
        <f t="shared" si="30"/>
        <v>0</v>
      </c>
      <c r="O38">
        <v>0</v>
      </c>
      <c r="P38">
        <f t="shared" si="31"/>
        <v>0</v>
      </c>
      <c r="Q38">
        <v>0</v>
      </c>
      <c r="R38">
        <f t="shared" si="32"/>
        <v>0</v>
      </c>
      <c r="S38" s="139">
        <v>0</v>
      </c>
      <c r="T38" s="139">
        <f t="shared" si="33"/>
        <v>0</v>
      </c>
      <c r="U38" s="116"/>
      <c r="V38" s="116"/>
      <c r="X38" t="s">
        <v>376</v>
      </c>
      <c r="Y38" t="s">
        <v>46</v>
      </c>
      <c r="Z38" s="140">
        <f t="shared" si="44"/>
        <v>34046.15</v>
      </c>
      <c r="AA38" s="140">
        <f t="shared" ref="AA38:AA66" si="53">SUM(AN5:AO5)</f>
        <v>33519.741999999998</v>
      </c>
      <c r="AB38" s="140">
        <f t="shared" ref="AB38:AB66" si="54">SUM(BA5:BB5)</f>
        <v>4447.3413</v>
      </c>
      <c r="AD38" s="179">
        <f t="shared" ref="AD38:AD66" si="55">AK5/Z38</f>
        <v>0.39938759595431494</v>
      </c>
      <c r="AE38" s="180">
        <f t="shared" ref="AE38:AE66" si="56">AJ5/Z38</f>
        <v>1.029682945061336E-2</v>
      </c>
      <c r="AF38" s="179">
        <f t="shared" si="45"/>
        <v>0.4792342972090895</v>
      </c>
      <c r="AG38" s="180">
        <f t="shared" si="46"/>
        <v>1.4016041650917242E-2</v>
      </c>
      <c r="AH38" s="179">
        <f t="shared" si="47"/>
        <v>0.50183038571831673</v>
      </c>
      <c r="AI38" s="180">
        <f t="shared" si="48"/>
        <v>1.3491206532765991E-3</v>
      </c>
      <c r="BO38" t="s">
        <v>576</v>
      </c>
      <c r="BP38" t="s">
        <v>136</v>
      </c>
      <c r="BQ38" s="170">
        <v>0</v>
      </c>
      <c r="BR38" s="170">
        <f t="shared" si="49"/>
        <v>0</v>
      </c>
      <c r="BS38" s="170">
        <v>0</v>
      </c>
      <c r="BT38" s="170">
        <f t="shared" si="42"/>
        <v>0</v>
      </c>
      <c r="BU38">
        <v>0</v>
      </c>
      <c r="BV38">
        <f t="shared" si="50"/>
        <v>0</v>
      </c>
      <c r="BW38">
        <v>0</v>
      </c>
      <c r="BX38">
        <f t="shared" si="51"/>
        <v>0</v>
      </c>
      <c r="BY38" s="170">
        <v>0</v>
      </c>
      <c r="BZ38" s="170">
        <f t="shared" si="43"/>
        <v>0</v>
      </c>
      <c r="CA38" s="170">
        <v>0</v>
      </c>
      <c r="CB38" s="170">
        <f t="shared" si="52"/>
        <v>0</v>
      </c>
      <c r="CC38">
        <v>0</v>
      </c>
      <c r="CD38">
        <f t="shared" si="39"/>
        <v>0</v>
      </c>
      <c r="CE38">
        <v>0</v>
      </c>
      <c r="CF38">
        <f t="shared" si="40"/>
        <v>0</v>
      </c>
      <c r="CG38" s="170">
        <v>0</v>
      </c>
      <c r="CH38" s="170">
        <f t="shared" si="41"/>
        <v>0</v>
      </c>
    </row>
    <row r="39" spans="1:86">
      <c r="A39" t="s">
        <v>577</v>
      </c>
      <c r="B39" t="s">
        <v>136</v>
      </c>
      <c r="C39" s="139">
        <v>0</v>
      </c>
      <c r="D39" s="139">
        <f t="shared" si="26"/>
        <v>0</v>
      </c>
      <c r="E39" s="139">
        <v>0</v>
      </c>
      <c r="F39" s="139">
        <f t="shared" si="27"/>
        <v>0</v>
      </c>
      <c r="G39">
        <v>0</v>
      </c>
      <c r="H39">
        <f t="shared" si="28"/>
        <v>0</v>
      </c>
      <c r="I39">
        <v>0</v>
      </c>
      <c r="J39">
        <f t="shared" si="2"/>
        <v>0</v>
      </c>
      <c r="K39" s="139">
        <v>0</v>
      </c>
      <c r="L39" s="139">
        <f t="shared" si="29"/>
        <v>0</v>
      </c>
      <c r="M39" s="139">
        <v>0</v>
      </c>
      <c r="N39" s="139">
        <f t="shared" si="30"/>
        <v>0</v>
      </c>
      <c r="O39">
        <v>0</v>
      </c>
      <c r="P39">
        <f t="shared" si="31"/>
        <v>0</v>
      </c>
      <c r="Q39">
        <v>0</v>
      </c>
      <c r="R39">
        <f t="shared" si="32"/>
        <v>0</v>
      </c>
      <c r="S39" s="139">
        <v>0</v>
      </c>
      <c r="T39" s="139">
        <f t="shared" si="33"/>
        <v>0</v>
      </c>
      <c r="U39" s="116"/>
      <c r="X39" t="s">
        <v>376</v>
      </c>
      <c r="Y39" t="s">
        <v>54</v>
      </c>
      <c r="Z39" s="140">
        <f t="shared" si="44"/>
        <v>16504.089</v>
      </c>
      <c r="AA39" s="140">
        <f t="shared" si="53"/>
        <v>29253.885000000002</v>
      </c>
      <c r="AB39" s="140">
        <f t="shared" si="54"/>
        <v>3981.4474</v>
      </c>
      <c r="AD39" s="179">
        <f t="shared" si="55"/>
        <v>0.43517603425429907</v>
      </c>
      <c r="AE39" s="180">
        <f t="shared" si="56"/>
        <v>7.0285612250394437E-3</v>
      </c>
      <c r="AF39" s="179">
        <f t="shared" si="45"/>
        <v>0.44303961678935971</v>
      </c>
      <c r="AG39" s="180">
        <f t="shared" si="46"/>
        <v>1.793936429298194E-2</v>
      </c>
      <c r="AH39" s="179">
        <f t="shared" si="47"/>
        <v>0.4656233810849793</v>
      </c>
      <c r="AI39" s="180">
        <f t="shared" si="48"/>
        <v>1.7581545846869658E-3</v>
      </c>
      <c r="BO39" t="s">
        <v>577</v>
      </c>
      <c r="BP39" t="s">
        <v>136</v>
      </c>
      <c r="BQ39" s="170">
        <v>0</v>
      </c>
      <c r="BR39" s="170">
        <f t="shared" si="49"/>
        <v>0</v>
      </c>
      <c r="BS39" s="170">
        <v>0</v>
      </c>
      <c r="BT39" s="170">
        <f t="shared" si="42"/>
        <v>0</v>
      </c>
      <c r="BU39">
        <v>0</v>
      </c>
      <c r="BV39">
        <f t="shared" si="50"/>
        <v>0</v>
      </c>
      <c r="BW39">
        <v>0</v>
      </c>
      <c r="BX39">
        <f t="shared" si="51"/>
        <v>0</v>
      </c>
      <c r="BY39" s="170">
        <v>0</v>
      </c>
      <c r="BZ39" s="170">
        <f t="shared" si="43"/>
        <v>0</v>
      </c>
      <c r="CA39" s="170">
        <v>0</v>
      </c>
      <c r="CB39" s="170">
        <f t="shared" si="52"/>
        <v>0</v>
      </c>
      <c r="CC39">
        <v>0</v>
      </c>
      <c r="CD39">
        <f t="shared" si="39"/>
        <v>0</v>
      </c>
      <c r="CE39">
        <v>0</v>
      </c>
      <c r="CF39">
        <f t="shared" si="40"/>
        <v>0</v>
      </c>
      <c r="CG39" s="170">
        <v>0</v>
      </c>
      <c r="CH39" s="170">
        <f t="shared" si="41"/>
        <v>0</v>
      </c>
    </row>
    <row r="40" spans="1:86">
      <c r="A40" t="s">
        <v>269</v>
      </c>
      <c r="B40" t="s">
        <v>136</v>
      </c>
      <c r="C40" s="139">
        <v>0</v>
      </c>
      <c r="D40" s="139">
        <f t="shared" si="26"/>
        <v>0</v>
      </c>
      <c r="E40" s="139">
        <v>0</v>
      </c>
      <c r="F40" s="139">
        <f>E40+20</f>
        <v>20</v>
      </c>
      <c r="G40">
        <f>37.5+2.4+0.5</f>
        <v>40.4</v>
      </c>
      <c r="H40">
        <f t="shared" si="28"/>
        <v>40.4</v>
      </c>
      <c r="I40">
        <v>0</v>
      </c>
      <c r="J40">
        <f t="shared" si="2"/>
        <v>0</v>
      </c>
      <c r="K40" s="139">
        <v>0</v>
      </c>
      <c r="L40" s="139">
        <f>K40+20</f>
        <v>20</v>
      </c>
      <c r="M40" s="139">
        <f>37.5+2.4+0.5</f>
        <v>40.4</v>
      </c>
      <c r="N40" s="139">
        <f t="shared" si="30"/>
        <v>40.4</v>
      </c>
      <c r="O40">
        <v>0</v>
      </c>
      <c r="P40">
        <f t="shared" si="31"/>
        <v>0</v>
      </c>
      <c r="Q40">
        <v>0</v>
      </c>
      <c r="R40">
        <f t="shared" si="32"/>
        <v>20</v>
      </c>
      <c r="S40" s="139">
        <f>37.5+2.4+0.5</f>
        <v>40.4</v>
      </c>
      <c r="T40" s="139">
        <f t="shared" si="33"/>
        <v>40.4</v>
      </c>
      <c r="X40" t="s">
        <v>376</v>
      </c>
      <c r="Y40" t="s">
        <v>56</v>
      </c>
      <c r="Z40" s="140">
        <f t="shared" si="44"/>
        <v>13639.86</v>
      </c>
      <c r="AA40" s="140">
        <f t="shared" si="53"/>
        <v>25301.195</v>
      </c>
      <c r="AB40" s="140">
        <f t="shared" si="54"/>
        <v>2008.6030999999998</v>
      </c>
      <c r="AD40" s="179">
        <f t="shared" si="55"/>
        <v>0.46674144749286278</v>
      </c>
      <c r="AE40" s="180">
        <f t="shared" si="56"/>
        <v>5.1320174840504228E-4</v>
      </c>
      <c r="AF40" s="179">
        <f t="shared" si="45"/>
        <v>0.40168023684256809</v>
      </c>
      <c r="AG40" s="180">
        <f t="shared" si="46"/>
        <v>1.7988059457270694E-2</v>
      </c>
      <c r="AH40" s="179">
        <f t="shared" si="47"/>
        <v>0.36067015927636481</v>
      </c>
      <c r="AI40" s="180">
        <f t="shared" si="48"/>
        <v>4.9785843704014995E-4</v>
      </c>
      <c r="BO40" t="s">
        <v>269</v>
      </c>
      <c r="BP40" t="s">
        <v>136</v>
      </c>
      <c r="BQ40" s="170">
        <v>0</v>
      </c>
      <c r="BR40" s="170">
        <f t="shared" si="49"/>
        <v>0</v>
      </c>
      <c r="BS40" s="170">
        <v>0</v>
      </c>
      <c r="BT40" s="170">
        <f>BS40+20</f>
        <v>20</v>
      </c>
      <c r="BU40">
        <f>37.5+2.4+0.5</f>
        <v>40.4</v>
      </c>
      <c r="BV40">
        <f t="shared" si="50"/>
        <v>40.4</v>
      </c>
      <c r="BW40">
        <v>0</v>
      </c>
      <c r="BX40">
        <f t="shared" si="51"/>
        <v>0</v>
      </c>
      <c r="BY40" s="170">
        <v>0</v>
      </c>
      <c r="BZ40" s="170">
        <f>BY40+20</f>
        <v>20</v>
      </c>
      <c r="CA40" s="170">
        <f>37.5+2.4+0.5</f>
        <v>40.4</v>
      </c>
      <c r="CB40" s="170">
        <f t="shared" si="52"/>
        <v>40.4</v>
      </c>
      <c r="CC40">
        <v>0</v>
      </c>
      <c r="CD40">
        <f t="shared" si="39"/>
        <v>0</v>
      </c>
      <c r="CE40">
        <v>0</v>
      </c>
      <c r="CF40">
        <f t="shared" si="40"/>
        <v>20</v>
      </c>
      <c r="CG40" s="170">
        <f>37.5+2.4+0.5</f>
        <v>40.4</v>
      </c>
      <c r="CH40" s="170">
        <f t="shared" si="41"/>
        <v>40.4</v>
      </c>
    </row>
    <row r="41" spans="1:86">
      <c r="A41" t="s">
        <v>288</v>
      </c>
      <c r="B41" t="s">
        <v>136</v>
      </c>
      <c r="C41" s="139">
        <v>0</v>
      </c>
      <c r="D41" s="139">
        <f t="shared" si="26"/>
        <v>0</v>
      </c>
      <c r="E41" s="139">
        <v>0</v>
      </c>
      <c r="F41" s="139">
        <f t="shared" si="27"/>
        <v>0</v>
      </c>
      <c r="G41">
        <v>1.2</v>
      </c>
      <c r="H41">
        <f t="shared" si="28"/>
        <v>1.2</v>
      </c>
      <c r="I41">
        <v>0</v>
      </c>
      <c r="J41">
        <f t="shared" si="2"/>
        <v>0</v>
      </c>
      <c r="K41" s="139">
        <v>0</v>
      </c>
      <c r="L41" s="139">
        <f t="shared" si="29"/>
        <v>0</v>
      </c>
      <c r="M41" s="139">
        <v>1.2</v>
      </c>
      <c r="N41" s="139">
        <f t="shared" si="30"/>
        <v>1.2</v>
      </c>
      <c r="O41">
        <v>0</v>
      </c>
      <c r="P41">
        <f t="shared" si="31"/>
        <v>0</v>
      </c>
      <c r="Q41">
        <v>0</v>
      </c>
      <c r="R41">
        <f t="shared" si="32"/>
        <v>0</v>
      </c>
      <c r="S41" s="139">
        <v>1.2</v>
      </c>
      <c r="T41" s="139">
        <f t="shared" si="33"/>
        <v>1.2</v>
      </c>
      <c r="X41" t="s">
        <v>376</v>
      </c>
      <c r="Y41" t="s">
        <v>59</v>
      </c>
      <c r="Z41" s="140">
        <f t="shared" si="44"/>
        <v>9178.4220000000005</v>
      </c>
      <c r="AA41" s="140">
        <f t="shared" si="53"/>
        <v>31215.541000000001</v>
      </c>
      <c r="AB41" s="140">
        <f t="shared" si="54"/>
        <v>3259.6549999999997</v>
      </c>
      <c r="AD41" s="179">
        <f t="shared" si="55"/>
        <v>0.49299204155136905</v>
      </c>
      <c r="AE41" s="180">
        <f t="shared" si="56"/>
        <v>1.0895119008474441E-4</v>
      </c>
      <c r="AF41" s="179">
        <f t="shared" si="45"/>
        <v>0.4289203252956596</v>
      </c>
      <c r="AG41" s="180">
        <f t="shared" si="46"/>
        <v>1.6409319960208283E-2</v>
      </c>
      <c r="AH41" s="179">
        <f t="shared" si="47"/>
        <v>0.38785853104086176</v>
      </c>
      <c r="AI41" s="180">
        <f t="shared" si="48"/>
        <v>6.1356186467586302E-4</v>
      </c>
      <c r="BO41" t="s">
        <v>288</v>
      </c>
      <c r="BP41" t="s">
        <v>136</v>
      </c>
      <c r="BQ41" s="170">
        <v>0</v>
      </c>
      <c r="BR41" s="170">
        <f t="shared" si="49"/>
        <v>0</v>
      </c>
      <c r="BS41" s="170">
        <v>0</v>
      </c>
      <c r="BT41" s="170">
        <f t="shared" ref="BT41:BT50" si="57">BS41</f>
        <v>0</v>
      </c>
      <c r="BU41">
        <v>1.2</v>
      </c>
      <c r="BV41">
        <f t="shared" si="50"/>
        <v>1.2</v>
      </c>
      <c r="BW41">
        <v>0</v>
      </c>
      <c r="BX41">
        <f t="shared" si="51"/>
        <v>0</v>
      </c>
      <c r="BY41" s="170">
        <v>0</v>
      </c>
      <c r="BZ41" s="170">
        <f t="shared" ref="BZ41:BZ50" si="58">BY41</f>
        <v>0</v>
      </c>
      <c r="CA41" s="170">
        <v>1.2</v>
      </c>
      <c r="CB41" s="170">
        <f t="shared" si="52"/>
        <v>1.2</v>
      </c>
      <c r="CC41">
        <v>0</v>
      </c>
      <c r="CD41">
        <f t="shared" si="39"/>
        <v>0</v>
      </c>
      <c r="CE41">
        <v>0</v>
      </c>
      <c r="CF41">
        <f t="shared" si="40"/>
        <v>0</v>
      </c>
      <c r="CG41" s="170">
        <v>1.2</v>
      </c>
      <c r="CH41" s="170">
        <f t="shared" si="41"/>
        <v>1.2</v>
      </c>
    </row>
    <row r="42" spans="1:86">
      <c r="A42" t="s">
        <v>578</v>
      </c>
      <c r="B42" t="s">
        <v>136</v>
      </c>
      <c r="C42" s="139">
        <v>0</v>
      </c>
      <c r="D42" s="139">
        <f t="shared" si="26"/>
        <v>0</v>
      </c>
      <c r="E42" s="139">
        <v>0</v>
      </c>
      <c r="F42" s="139">
        <f t="shared" si="27"/>
        <v>0</v>
      </c>
      <c r="G42">
        <v>0</v>
      </c>
      <c r="H42">
        <f t="shared" si="28"/>
        <v>0</v>
      </c>
      <c r="I42">
        <v>0</v>
      </c>
      <c r="J42">
        <f t="shared" si="2"/>
        <v>0</v>
      </c>
      <c r="K42" s="139">
        <v>0</v>
      </c>
      <c r="L42" s="139">
        <f t="shared" si="29"/>
        <v>0</v>
      </c>
      <c r="M42" s="139">
        <v>0</v>
      </c>
      <c r="N42" s="139">
        <f t="shared" si="30"/>
        <v>0</v>
      </c>
      <c r="O42">
        <v>0</v>
      </c>
      <c r="P42">
        <f t="shared" si="31"/>
        <v>0</v>
      </c>
      <c r="Q42">
        <v>0</v>
      </c>
      <c r="R42">
        <f t="shared" si="32"/>
        <v>0</v>
      </c>
      <c r="S42" s="139">
        <v>0</v>
      </c>
      <c r="T42" s="139">
        <f t="shared" si="33"/>
        <v>0</v>
      </c>
      <c r="X42" t="s">
        <v>376</v>
      </c>
      <c r="Y42" t="s">
        <v>62</v>
      </c>
      <c r="Z42" s="140">
        <f t="shared" si="44"/>
        <v>48997.556000000004</v>
      </c>
      <c r="AA42" s="140">
        <f t="shared" si="53"/>
        <v>56541.45</v>
      </c>
      <c r="AB42" s="140">
        <f t="shared" si="54"/>
        <v>3049.3301000000001</v>
      </c>
      <c r="AD42" s="179">
        <f t="shared" si="55"/>
        <v>0.58320990540834317</v>
      </c>
      <c r="AE42" s="180">
        <f t="shared" si="56"/>
        <v>2.0719441598270737E-2</v>
      </c>
      <c r="AF42" s="179">
        <f t="shared" si="45"/>
        <v>0.4147850824483631</v>
      </c>
      <c r="AG42" s="180">
        <f t="shared" si="46"/>
        <v>1.6968008425677094E-2</v>
      </c>
      <c r="AH42" s="179">
        <f t="shared" si="47"/>
        <v>0.60109923815725952</v>
      </c>
      <c r="AI42" s="180">
        <f t="shared" si="48"/>
        <v>3.2794088117911535E-3</v>
      </c>
      <c r="BO42" t="s">
        <v>578</v>
      </c>
      <c r="BP42" t="s">
        <v>136</v>
      </c>
      <c r="BQ42" s="170">
        <v>0</v>
      </c>
      <c r="BR42" s="170">
        <f t="shared" si="49"/>
        <v>0</v>
      </c>
      <c r="BS42" s="170">
        <v>0</v>
      </c>
      <c r="BT42" s="170">
        <f t="shared" si="57"/>
        <v>0</v>
      </c>
      <c r="BU42">
        <v>0</v>
      </c>
      <c r="BV42">
        <f t="shared" si="50"/>
        <v>0</v>
      </c>
      <c r="BW42">
        <v>0</v>
      </c>
      <c r="BX42">
        <f t="shared" si="51"/>
        <v>0</v>
      </c>
      <c r="BY42" s="170">
        <v>0</v>
      </c>
      <c r="BZ42" s="170">
        <f t="shared" si="58"/>
        <v>0</v>
      </c>
      <c r="CA42" s="170">
        <v>0</v>
      </c>
      <c r="CB42" s="170">
        <f t="shared" si="52"/>
        <v>0</v>
      </c>
      <c r="CC42">
        <v>0</v>
      </c>
      <c r="CD42">
        <f t="shared" si="39"/>
        <v>0</v>
      </c>
      <c r="CE42">
        <v>0</v>
      </c>
      <c r="CF42">
        <f t="shared" si="40"/>
        <v>0</v>
      </c>
      <c r="CG42" s="170">
        <v>0</v>
      </c>
      <c r="CH42" s="170">
        <f t="shared" si="41"/>
        <v>0</v>
      </c>
    </row>
    <row r="43" spans="1:86">
      <c r="A43" t="s">
        <v>579</v>
      </c>
      <c r="B43" t="s">
        <v>136</v>
      </c>
      <c r="C43" s="139">
        <v>0</v>
      </c>
      <c r="D43" s="139">
        <f t="shared" si="26"/>
        <v>0</v>
      </c>
      <c r="E43" s="139">
        <v>0</v>
      </c>
      <c r="F43" s="139">
        <f t="shared" si="27"/>
        <v>0</v>
      </c>
      <c r="G43">
        <v>0</v>
      </c>
      <c r="H43">
        <f t="shared" si="28"/>
        <v>0</v>
      </c>
      <c r="I43">
        <v>0</v>
      </c>
      <c r="J43">
        <f t="shared" si="2"/>
        <v>0</v>
      </c>
      <c r="K43" s="139">
        <v>0</v>
      </c>
      <c r="L43" s="139">
        <f t="shared" si="29"/>
        <v>0</v>
      </c>
      <c r="M43" s="139">
        <v>0</v>
      </c>
      <c r="N43" s="139">
        <f t="shared" si="30"/>
        <v>0</v>
      </c>
      <c r="O43">
        <v>0</v>
      </c>
      <c r="P43">
        <f t="shared" si="31"/>
        <v>0</v>
      </c>
      <c r="Q43">
        <v>0</v>
      </c>
      <c r="R43">
        <f t="shared" si="32"/>
        <v>0</v>
      </c>
      <c r="S43" s="139">
        <v>0</v>
      </c>
      <c r="T43" s="139">
        <f t="shared" si="33"/>
        <v>0</v>
      </c>
      <c r="X43" t="s">
        <v>376</v>
      </c>
      <c r="Y43" t="s">
        <v>73</v>
      </c>
      <c r="Z43" s="140">
        <f t="shared" si="44"/>
        <v>7128.2260000000006</v>
      </c>
      <c r="AA43" s="140">
        <f t="shared" si="53"/>
        <v>28159.137999999999</v>
      </c>
      <c r="AB43" s="140">
        <f t="shared" si="54"/>
        <v>4805.0373</v>
      </c>
      <c r="AD43" s="179">
        <f>AK10/Z43</f>
        <v>0.49783270059058171</v>
      </c>
      <c r="AE43" s="180">
        <f t="shared" si="56"/>
        <v>0</v>
      </c>
      <c r="AF43" s="179">
        <f t="shared" si="45"/>
        <v>0.46810346254207069</v>
      </c>
      <c r="AG43" s="180">
        <f t="shared" si="46"/>
        <v>4.6166185910946568E-4</v>
      </c>
      <c r="AH43" s="179">
        <f t="shared" si="47"/>
        <v>0.49088963367672506</v>
      </c>
      <c r="AI43" s="180">
        <f t="shared" si="48"/>
        <v>3.9541836647136955E-3</v>
      </c>
      <c r="BO43" t="s">
        <v>579</v>
      </c>
      <c r="BP43" t="s">
        <v>136</v>
      </c>
      <c r="BQ43" s="170">
        <v>0</v>
      </c>
      <c r="BR43" s="170">
        <f t="shared" si="49"/>
        <v>0</v>
      </c>
      <c r="BS43" s="170">
        <v>0</v>
      </c>
      <c r="BT43" s="170">
        <f t="shared" si="57"/>
        <v>0</v>
      </c>
      <c r="BU43">
        <v>0</v>
      </c>
      <c r="BV43">
        <f t="shared" si="50"/>
        <v>0</v>
      </c>
      <c r="BW43">
        <v>0</v>
      </c>
      <c r="BX43">
        <f t="shared" si="51"/>
        <v>0</v>
      </c>
      <c r="BY43" s="170">
        <v>0</v>
      </c>
      <c r="BZ43" s="170">
        <f t="shared" si="58"/>
        <v>0</v>
      </c>
      <c r="CA43" s="170">
        <v>0</v>
      </c>
      <c r="CB43" s="170">
        <f t="shared" si="52"/>
        <v>0</v>
      </c>
      <c r="CC43">
        <v>0</v>
      </c>
      <c r="CD43">
        <f t="shared" si="39"/>
        <v>0</v>
      </c>
      <c r="CE43">
        <v>0</v>
      </c>
      <c r="CF43">
        <f t="shared" si="40"/>
        <v>0</v>
      </c>
      <c r="CG43" s="170">
        <v>0</v>
      </c>
      <c r="CH43" s="170">
        <f t="shared" si="41"/>
        <v>0</v>
      </c>
    </row>
    <row r="44" spans="1:86">
      <c r="A44" t="s">
        <v>580</v>
      </c>
      <c r="B44" t="s">
        <v>136</v>
      </c>
      <c r="C44" s="139">
        <v>0</v>
      </c>
      <c r="D44" s="139">
        <f t="shared" si="26"/>
        <v>0</v>
      </c>
      <c r="E44" s="139">
        <v>0</v>
      </c>
      <c r="F44" s="139">
        <f t="shared" si="27"/>
        <v>0</v>
      </c>
      <c r="G44">
        <v>0</v>
      </c>
      <c r="H44">
        <f t="shared" si="28"/>
        <v>0</v>
      </c>
      <c r="I44">
        <v>0</v>
      </c>
      <c r="J44">
        <f t="shared" si="2"/>
        <v>0</v>
      </c>
      <c r="K44" s="139">
        <v>0</v>
      </c>
      <c r="L44" s="139">
        <f t="shared" si="29"/>
        <v>0</v>
      </c>
      <c r="M44" s="139">
        <v>0</v>
      </c>
      <c r="N44" s="139">
        <f t="shared" si="30"/>
        <v>0</v>
      </c>
      <c r="O44">
        <v>0</v>
      </c>
      <c r="P44">
        <f t="shared" si="31"/>
        <v>0</v>
      </c>
      <c r="Q44">
        <v>0</v>
      </c>
      <c r="R44">
        <f t="shared" si="32"/>
        <v>0</v>
      </c>
      <c r="S44" s="139">
        <v>0</v>
      </c>
      <c r="T44" s="139">
        <f t="shared" si="33"/>
        <v>0</v>
      </c>
      <c r="Z44" s="151">
        <f>SUM(Z37:Z43)</f>
        <v>142835.79200000002</v>
      </c>
      <c r="AA44" s="151">
        <f t="shared" ref="AA44:AB44" si="59">SUM(AA37:AA43)</f>
        <v>230958.10900000003</v>
      </c>
      <c r="AB44" s="151">
        <f t="shared" si="59"/>
        <v>24930.918699999998</v>
      </c>
      <c r="AC44" s="140"/>
      <c r="AD44" s="181">
        <f>AVERAGE(AD37:AD43)</f>
        <v>0.46292263089663399</v>
      </c>
      <c r="AE44" s="182">
        <f t="shared" ref="AE44:AI44" si="60">AVERAGE(AE37:AE43)</f>
        <v>5.7165942794217255E-3</v>
      </c>
      <c r="AF44" s="181">
        <f t="shared" si="60"/>
        <v>0.42903757145367144</v>
      </c>
      <c r="AG44" s="182">
        <f t="shared" si="60"/>
        <v>1.2424502844947897E-2</v>
      </c>
      <c r="AH44" s="181">
        <f t="shared" si="60"/>
        <v>0.47434539345181426</v>
      </c>
      <c r="AI44" s="182">
        <f t="shared" si="60"/>
        <v>1.6783127689700135E-3</v>
      </c>
      <c r="BO44" t="s">
        <v>580</v>
      </c>
      <c r="BP44" t="s">
        <v>136</v>
      </c>
      <c r="BQ44" s="170">
        <v>0</v>
      </c>
      <c r="BR44" s="170">
        <f t="shared" si="49"/>
        <v>0</v>
      </c>
      <c r="BS44" s="170">
        <v>0</v>
      </c>
      <c r="BT44" s="170">
        <f t="shared" si="57"/>
        <v>0</v>
      </c>
      <c r="BU44">
        <v>0</v>
      </c>
      <c r="BV44">
        <f t="shared" si="50"/>
        <v>0</v>
      </c>
      <c r="BW44">
        <v>0</v>
      </c>
      <c r="BX44">
        <f t="shared" si="51"/>
        <v>0</v>
      </c>
      <c r="BY44" s="170">
        <v>0</v>
      </c>
      <c r="BZ44" s="170">
        <f t="shared" si="58"/>
        <v>0</v>
      </c>
      <c r="CA44" s="170">
        <v>0</v>
      </c>
      <c r="CB44" s="170">
        <f t="shared" si="52"/>
        <v>0</v>
      </c>
      <c r="CC44">
        <v>0</v>
      </c>
      <c r="CD44">
        <f t="shared" si="39"/>
        <v>0</v>
      </c>
      <c r="CE44">
        <v>0</v>
      </c>
      <c r="CF44">
        <f t="shared" si="40"/>
        <v>0</v>
      </c>
      <c r="CG44" s="170">
        <v>0</v>
      </c>
      <c r="CH44" s="170">
        <f t="shared" si="41"/>
        <v>0</v>
      </c>
    </row>
    <row r="45" spans="1:86">
      <c r="A45" t="s">
        <v>581</v>
      </c>
      <c r="B45" t="s">
        <v>136</v>
      </c>
      <c r="C45" s="139">
        <v>0</v>
      </c>
      <c r="D45" s="139">
        <f t="shared" si="26"/>
        <v>0</v>
      </c>
      <c r="E45" s="139">
        <v>0</v>
      </c>
      <c r="F45" s="139">
        <f t="shared" si="27"/>
        <v>0</v>
      </c>
      <c r="G45">
        <v>0</v>
      </c>
      <c r="H45">
        <f t="shared" si="28"/>
        <v>0</v>
      </c>
      <c r="I45">
        <v>0</v>
      </c>
      <c r="J45">
        <f t="shared" si="2"/>
        <v>0</v>
      </c>
      <c r="K45" s="139">
        <v>0</v>
      </c>
      <c r="L45" s="139">
        <f t="shared" si="29"/>
        <v>0</v>
      </c>
      <c r="M45" s="139">
        <v>0</v>
      </c>
      <c r="N45" s="139">
        <f t="shared" si="30"/>
        <v>0</v>
      </c>
      <c r="O45">
        <v>0</v>
      </c>
      <c r="P45">
        <f t="shared" si="31"/>
        <v>0</v>
      </c>
      <c r="Q45">
        <v>0</v>
      </c>
      <c r="R45">
        <f t="shared" si="32"/>
        <v>0</v>
      </c>
      <c r="S45" s="139">
        <v>0</v>
      </c>
      <c r="T45" s="139">
        <f t="shared" si="33"/>
        <v>0</v>
      </c>
      <c r="X45" t="s">
        <v>378</v>
      </c>
      <c r="Y45" t="s">
        <v>42</v>
      </c>
      <c r="Z45" s="140">
        <f>SUM(Z12:AA12)</f>
        <v>16659.896000000001</v>
      </c>
      <c r="AA45" s="140">
        <f t="shared" si="53"/>
        <v>42650.270000000004</v>
      </c>
      <c r="AB45" s="140">
        <f t="shared" si="54"/>
        <v>1677.471</v>
      </c>
      <c r="AC45" s="140"/>
      <c r="AD45" s="179">
        <f t="shared" si="55"/>
        <v>0.34045134495437424</v>
      </c>
      <c r="AE45" s="180">
        <f t="shared" si="56"/>
        <v>1.7343121469665837E-2</v>
      </c>
      <c r="AF45" s="179">
        <f>AY12/AA45</f>
        <v>0.44798075135280502</v>
      </c>
      <c r="AG45" s="180">
        <f>AX12/AA45</f>
        <v>1.1196156554225798E-2</v>
      </c>
      <c r="AH45" s="179">
        <f>BL12/AB45</f>
        <v>0.53542934572341339</v>
      </c>
      <c r="AI45" s="180">
        <f>BK12/AB45</f>
        <v>0</v>
      </c>
      <c r="BO45" t="s">
        <v>581</v>
      </c>
      <c r="BP45" t="s">
        <v>136</v>
      </c>
      <c r="BQ45" s="170">
        <v>0</v>
      </c>
      <c r="BR45" s="170">
        <f t="shared" si="49"/>
        <v>0</v>
      </c>
      <c r="BS45" s="170">
        <v>0</v>
      </c>
      <c r="BT45" s="170">
        <f t="shared" si="57"/>
        <v>0</v>
      </c>
      <c r="BU45">
        <v>0</v>
      </c>
      <c r="BV45">
        <f t="shared" si="50"/>
        <v>0</v>
      </c>
      <c r="BW45">
        <v>0</v>
      </c>
      <c r="BX45">
        <f t="shared" si="51"/>
        <v>0</v>
      </c>
      <c r="BY45" s="170">
        <v>0</v>
      </c>
      <c r="BZ45" s="170">
        <f t="shared" si="58"/>
        <v>0</v>
      </c>
      <c r="CA45" s="170">
        <v>0</v>
      </c>
      <c r="CB45" s="170">
        <f t="shared" si="52"/>
        <v>0</v>
      </c>
      <c r="CC45">
        <v>0</v>
      </c>
      <c r="CD45">
        <f t="shared" si="39"/>
        <v>0</v>
      </c>
      <c r="CE45">
        <v>0</v>
      </c>
      <c r="CF45">
        <f t="shared" si="40"/>
        <v>0</v>
      </c>
      <c r="CG45" s="170">
        <v>0</v>
      </c>
      <c r="CH45" s="170">
        <f t="shared" si="41"/>
        <v>0</v>
      </c>
    </row>
    <row r="46" spans="1:86">
      <c r="A46" t="s">
        <v>582</v>
      </c>
      <c r="B46" t="s">
        <v>136</v>
      </c>
      <c r="C46" s="139">
        <v>0</v>
      </c>
      <c r="D46" s="139">
        <f t="shared" si="26"/>
        <v>0</v>
      </c>
      <c r="E46" s="139">
        <v>0</v>
      </c>
      <c r="F46" s="139">
        <f t="shared" si="27"/>
        <v>0</v>
      </c>
      <c r="G46">
        <v>0</v>
      </c>
      <c r="H46">
        <f t="shared" si="28"/>
        <v>0</v>
      </c>
      <c r="I46">
        <v>0</v>
      </c>
      <c r="J46">
        <f t="shared" si="2"/>
        <v>0</v>
      </c>
      <c r="K46" s="139">
        <v>0</v>
      </c>
      <c r="L46" s="139">
        <f t="shared" si="29"/>
        <v>0</v>
      </c>
      <c r="M46" s="139">
        <v>0</v>
      </c>
      <c r="N46" s="139">
        <f t="shared" si="30"/>
        <v>0</v>
      </c>
      <c r="O46">
        <v>0</v>
      </c>
      <c r="P46">
        <f t="shared" si="31"/>
        <v>0</v>
      </c>
      <c r="Q46">
        <v>0</v>
      </c>
      <c r="R46">
        <f t="shared" si="32"/>
        <v>0</v>
      </c>
      <c r="S46" s="139">
        <v>0</v>
      </c>
      <c r="T46" s="139">
        <f t="shared" si="33"/>
        <v>0</v>
      </c>
      <c r="X46" t="s">
        <v>378</v>
      </c>
      <c r="Y46" t="s">
        <v>43</v>
      </c>
      <c r="Z46" s="140">
        <f>SUM(Z13:AA13)</f>
        <v>13789.856</v>
      </c>
      <c r="AA46" s="140">
        <f t="shared" si="53"/>
        <v>64652.520000000004</v>
      </c>
      <c r="AB46" s="140">
        <f t="shared" si="54"/>
        <v>1152.0525</v>
      </c>
      <c r="AC46" s="140"/>
      <c r="AD46" s="179">
        <f t="shared" si="55"/>
        <v>0.36766533312603117</v>
      </c>
      <c r="AE46" s="180">
        <f t="shared" si="56"/>
        <v>3.3681715022985011E-2</v>
      </c>
      <c r="AF46" s="179">
        <f>AY13/AA46</f>
        <v>0.28067629846446818</v>
      </c>
      <c r="AG46" s="180">
        <f>AX13/AA46</f>
        <v>1.1559462802068658E-2</v>
      </c>
      <c r="AH46" s="179">
        <f>BL13/AB46</f>
        <v>0.20827063002771143</v>
      </c>
      <c r="AI46" s="180">
        <f>BK13/AB46</f>
        <v>0.18756358759691941</v>
      </c>
      <c r="BO46" t="s">
        <v>582</v>
      </c>
      <c r="BP46" t="s">
        <v>136</v>
      </c>
      <c r="BQ46" s="170">
        <v>0</v>
      </c>
      <c r="BR46" s="170">
        <f t="shared" si="49"/>
        <v>0</v>
      </c>
      <c r="BS46" s="170">
        <v>0</v>
      </c>
      <c r="BT46" s="170">
        <f t="shared" si="57"/>
        <v>0</v>
      </c>
      <c r="BU46">
        <v>0</v>
      </c>
      <c r="BV46">
        <f t="shared" si="50"/>
        <v>0</v>
      </c>
      <c r="BW46">
        <v>0</v>
      </c>
      <c r="BX46">
        <f t="shared" si="51"/>
        <v>0</v>
      </c>
      <c r="BY46" s="170">
        <v>0</v>
      </c>
      <c r="BZ46" s="170">
        <f t="shared" si="58"/>
        <v>0</v>
      </c>
      <c r="CA46" s="170">
        <v>0</v>
      </c>
      <c r="CB46" s="170">
        <f t="shared" si="52"/>
        <v>0</v>
      </c>
      <c r="CC46">
        <v>0</v>
      </c>
      <c r="CD46">
        <f t="shared" si="39"/>
        <v>0</v>
      </c>
      <c r="CE46">
        <v>0</v>
      </c>
      <c r="CF46">
        <f t="shared" si="40"/>
        <v>0</v>
      </c>
      <c r="CG46" s="170">
        <v>0</v>
      </c>
      <c r="CH46" s="170">
        <f t="shared" si="41"/>
        <v>0</v>
      </c>
    </row>
    <row r="47" spans="1:86">
      <c r="A47" t="s">
        <v>583</v>
      </c>
      <c r="B47" t="s">
        <v>136</v>
      </c>
      <c r="C47" s="139">
        <v>0</v>
      </c>
      <c r="D47" s="139">
        <f t="shared" si="26"/>
        <v>0</v>
      </c>
      <c r="E47" s="139">
        <v>0</v>
      </c>
      <c r="F47" s="139">
        <f t="shared" si="27"/>
        <v>0</v>
      </c>
      <c r="G47">
        <v>0</v>
      </c>
      <c r="H47">
        <f t="shared" si="28"/>
        <v>0</v>
      </c>
      <c r="I47">
        <v>0</v>
      </c>
      <c r="J47">
        <f t="shared" si="2"/>
        <v>0</v>
      </c>
      <c r="K47" s="139">
        <v>0</v>
      </c>
      <c r="L47" s="139">
        <f t="shared" si="29"/>
        <v>0</v>
      </c>
      <c r="M47" s="139">
        <v>0</v>
      </c>
      <c r="N47" s="139">
        <f t="shared" si="30"/>
        <v>0</v>
      </c>
      <c r="O47">
        <v>0</v>
      </c>
      <c r="P47">
        <f t="shared" si="31"/>
        <v>0</v>
      </c>
      <c r="Q47">
        <v>0</v>
      </c>
      <c r="R47">
        <f t="shared" si="32"/>
        <v>0</v>
      </c>
      <c r="S47" s="139">
        <v>0</v>
      </c>
      <c r="T47" s="139">
        <f t="shared" si="33"/>
        <v>0</v>
      </c>
      <c r="X47" t="s">
        <v>378</v>
      </c>
      <c r="Y47" t="s">
        <v>47</v>
      </c>
      <c r="Z47" s="140">
        <f>SUM(Z14:AA14)</f>
        <v>17580.409</v>
      </c>
      <c r="AA47" s="140">
        <f t="shared" si="53"/>
        <v>72772.53</v>
      </c>
      <c r="AB47" s="140">
        <f t="shared" si="54"/>
        <v>7702.0920000000006</v>
      </c>
      <c r="AC47" s="140"/>
      <c r="AD47" s="179">
        <f t="shared" si="55"/>
        <v>0.39334346544497345</v>
      </c>
      <c r="AE47" s="180">
        <f t="shared" si="56"/>
        <v>1.5204378919739581E-2</v>
      </c>
      <c r="AF47" s="179">
        <f>AY14/AA47</f>
        <v>0.41860616911353776</v>
      </c>
      <c r="AG47" s="180">
        <f>AX14/AA47</f>
        <v>1.2200849688749313E-2</v>
      </c>
      <c r="AH47" s="179">
        <f>BL14/AB47</f>
        <v>0.37747562610262247</v>
      </c>
      <c r="AI47" s="180">
        <f>BK14/AB47</f>
        <v>6.491742762875333E-4</v>
      </c>
      <c r="BO47" t="s">
        <v>583</v>
      </c>
      <c r="BP47" t="s">
        <v>136</v>
      </c>
      <c r="BQ47" s="170">
        <v>0</v>
      </c>
      <c r="BR47" s="170">
        <f t="shared" si="49"/>
        <v>0</v>
      </c>
      <c r="BS47" s="170">
        <v>0</v>
      </c>
      <c r="BT47" s="170">
        <f t="shared" si="57"/>
        <v>0</v>
      </c>
      <c r="BU47">
        <v>0</v>
      </c>
      <c r="BV47">
        <f t="shared" si="50"/>
        <v>0</v>
      </c>
      <c r="BW47">
        <v>0</v>
      </c>
      <c r="BX47">
        <f t="shared" si="51"/>
        <v>0</v>
      </c>
      <c r="BY47" s="170">
        <v>0</v>
      </c>
      <c r="BZ47" s="170">
        <f t="shared" si="58"/>
        <v>0</v>
      </c>
      <c r="CA47" s="170">
        <v>0</v>
      </c>
      <c r="CB47" s="170">
        <f t="shared" si="52"/>
        <v>0</v>
      </c>
      <c r="CC47">
        <v>0</v>
      </c>
      <c r="CD47">
        <f t="shared" si="39"/>
        <v>0</v>
      </c>
      <c r="CE47">
        <v>0</v>
      </c>
      <c r="CF47">
        <f t="shared" si="40"/>
        <v>0</v>
      </c>
      <c r="CG47" s="170">
        <v>0</v>
      </c>
      <c r="CH47" s="170">
        <f t="shared" si="41"/>
        <v>0</v>
      </c>
    </row>
    <row r="48" spans="1:86">
      <c r="A48" t="s">
        <v>584</v>
      </c>
      <c r="B48" t="s">
        <v>136</v>
      </c>
      <c r="C48" s="139">
        <v>0</v>
      </c>
      <c r="D48" s="139">
        <f t="shared" si="26"/>
        <v>0</v>
      </c>
      <c r="E48" s="139">
        <v>0</v>
      </c>
      <c r="F48" s="139">
        <f t="shared" si="27"/>
        <v>0</v>
      </c>
      <c r="G48">
        <v>0</v>
      </c>
      <c r="H48">
        <f t="shared" si="28"/>
        <v>0</v>
      </c>
      <c r="I48">
        <v>0</v>
      </c>
      <c r="J48">
        <f t="shared" si="2"/>
        <v>0</v>
      </c>
      <c r="K48" s="139">
        <v>0</v>
      </c>
      <c r="L48" s="139">
        <f t="shared" si="29"/>
        <v>0</v>
      </c>
      <c r="M48" s="139">
        <v>0</v>
      </c>
      <c r="N48" s="139">
        <f t="shared" si="30"/>
        <v>0</v>
      </c>
      <c r="O48">
        <v>0</v>
      </c>
      <c r="P48">
        <f t="shared" si="31"/>
        <v>0</v>
      </c>
      <c r="Q48">
        <v>0</v>
      </c>
      <c r="R48">
        <f t="shared" si="32"/>
        <v>0</v>
      </c>
      <c r="S48" s="139">
        <v>0</v>
      </c>
      <c r="T48" s="139">
        <f t="shared" si="33"/>
        <v>0</v>
      </c>
      <c r="X48" t="s">
        <v>378</v>
      </c>
      <c r="Y48" t="s">
        <v>58</v>
      </c>
      <c r="Z48" s="140">
        <f>SUM(Z15:AA15)</f>
        <v>10751.267</v>
      </c>
      <c r="AA48" s="140">
        <f t="shared" si="53"/>
        <v>22301.501</v>
      </c>
      <c r="AB48" s="140">
        <f t="shared" si="54"/>
        <v>8052.848</v>
      </c>
      <c r="AC48" s="140"/>
      <c r="AD48" s="179">
        <f t="shared" si="55"/>
        <v>0.39065405035518136</v>
      </c>
      <c r="AE48" s="180">
        <f t="shared" si="56"/>
        <v>2.6077280008021383E-2</v>
      </c>
      <c r="AF48" s="179">
        <f>AY15/AA48</f>
        <v>0.45541508618635135</v>
      </c>
      <c r="AG48" s="180">
        <f>AX15/AA48</f>
        <v>8.5196059224892527E-4</v>
      </c>
      <c r="AH48" s="179">
        <f>BL15/AB48</f>
        <v>0.38708342688201736</v>
      </c>
      <c r="AI48" s="180">
        <f>BK15/AB48</f>
        <v>0</v>
      </c>
      <c r="BO48" t="s">
        <v>584</v>
      </c>
      <c r="BP48" t="s">
        <v>136</v>
      </c>
      <c r="BQ48" s="170">
        <v>0</v>
      </c>
      <c r="BR48" s="170">
        <f t="shared" si="49"/>
        <v>0</v>
      </c>
      <c r="BS48" s="170">
        <v>0</v>
      </c>
      <c r="BT48" s="170">
        <f t="shared" si="57"/>
        <v>0</v>
      </c>
      <c r="BU48">
        <v>0</v>
      </c>
      <c r="BV48">
        <f t="shared" si="50"/>
        <v>0</v>
      </c>
      <c r="BW48">
        <v>0</v>
      </c>
      <c r="BX48">
        <f t="shared" si="51"/>
        <v>0</v>
      </c>
      <c r="BY48" s="170">
        <v>0</v>
      </c>
      <c r="BZ48" s="170">
        <f t="shared" si="58"/>
        <v>0</v>
      </c>
      <c r="CA48" s="170">
        <v>0</v>
      </c>
      <c r="CB48" s="170">
        <f t="shared" si="52"/>
        <v>0</v>
      </c>
      <c r="CC48">
        <v>0</v>
      </c>
      <c r="CD48">
        <f t="shared" si="39"/>
        <v>0</v>
      </c>
      <c r="CE48">
        <v>0</v>
      </c>
      <c r="CF48">
        <f t="shared" si="40"/>
        <v>0</v>
      </c>
      <c r="CG48" s="170">
        <v>0</v>
      </c>
      <c r="CH48" s="170">
        <f t="shared" si="41"/>
        <v>0</v>
      </c>
    </row>
    <row r="49" spans="1:86">
      <c r="A49" t="s">
        <v>276</v>
      </c>
      <c r="B49" t="s">
        <v>136</v>
      </c>
      <c r="C49" s="139">
        <v>0</v>
      </c>
      <c r="D49" s="139">
        <f t="shared" si="26"/>
        <v>0</v>
      </c>
      <c r="E49" s="139">
        <v>0</v>
      </c>
      <c r="F49" s="139">
        <f t="shared" si="27"/>
        <v>0</v>
      </c>
      <c r="G49">
        <v>3.6</v>
      </c>
      <c r="H49">
        <f t="shared" si="28"/>
        <v>3.6</v>
      </c>
      <c r="I49">
        <v>0</v>
      </c>
      <c r="J49">
        <f t="shared" si="2"/>
        <v>0</v>
      </c>
      <c r="K49" s="139">
        <v>0</v>
      </c>
      <c r="L49" s="139">
        <f t="shared" si="29"/>
        <v>0</v>
      </c>
      <c r="M49" s="139">
        <v>3.6</v>
      </c>
      <c r="N49" s="139">
        <f t="shared" si="30"/>
        <v>3.6</v>
      </c>
      <c r="O49">
        <v>0</v>
      </c>
      <c r="P49">
        <f t="shared" si="31"/>
        <v>0</v>
      </c>
      <c r="Q49">
        <v>0</v>
      </c>
      <c r="R49">
        <f t="shared" si="32"/>
        <v>0</v>
      </c>
      <c r="S49" s="139">
        <v>3.6</v>
      </c>
      <c r="T49" s="139">
        <f t="shared" si="33"/>
        <v>3.6</v>
      </c>
      <c r="X49" t="s">
        <v>378</v>
      </c>
      <c r="Y49" t="s">
        <v>70</v>
      </c>
      <c r="Z49" s="140">
        <f>SUM(Z16:AA16)</f>
        <v>19066.427</v>
      </c>
      <c r="AA49" s="140">
        <f t="shared" si="53"/>
        <v>42756.990000000005</v>
      </c>
      <c r="AB49" s="140">
        <f t="shared" si="54"/>
        <v>1799.62</v>
      </c>
      <c r="AC49" s="140"/>
      <c r="AD49" s="179">
        <f t="shared" si="55"/>
        <v>0.45110607246968715</v>
      </c>
      <c r="AE49" s="180">
        <f t="shared" si="56"/>
        <v>1.3187415764893969E-2</v>
      </c>
      <c r="AF49" s="179">
        <f>AY16/AA49</f>
        <v>0.39426021335926592</v>
      </c>
      <c r="AG49" s="180">
        <f>AX16/AA49</f>
        <v>1.6248054411688004E-2</v>
      </c>
      <c r="AH49" s="179">
        <f>BL16/AB49</f>
        <v>0.48605261110678927</v>
      </c>
      <c r="AI49" s="180">
        <f>BK16/AB49</f>
        <v>2.7783643213567309E-3</v>
      </c>
      <c r="BO49" t="s">
        <v>276</v>
      </c>
      <c r="BP49" t="s">
        <v>136</v>
      </c>
      <c r="BQ49" s="170">
        <v>0</v>
      </c>
      <c r="BR49" s="170">
        <f t="shared" si="49"/>
        <v>0</v>
      </c>
      <c r="BS49" s="170">
        <v>0</v>
      </c>
      <c r="BT49" s="170">
        <f t="shared" si="57"/>
        <v>0</v>
      </c>
      <c r="BU49">
        <v>3.6</v>
      </c>
      <c r="BV49">
        <f t="shared" si="50"/>
        <v>3.6</v>
      </c>
      <c r="BW49">
        <v>0</v>
      </c>
      <c r="BX49">
        <f t="shared" si="51"/>
        <v>0</v>
      </c>
      <c r="BY49" s="170">
        <v>0</v>
      </c>
      <c r="BZ49" s="170">
        <f t="shared" si="58"/>
        <v>0</v>
      </c>
      <c r="CA49" s="170">
        <v>3.6</v>
      </c>
      <c r="CB49" s="170">
        <f t="shared" si="52"/>
        <v>3.6</v>
      </c>
      <c r="CC49">
        <v>0</v>
      </c>
      <c r="CD49">
        <f t="shared" si="39"/>
        <v>0</v>
      </c>
      <c r="CE49">
        <v>0</v>
      </c>
      <c r="CF49">
        <f t="shared" si="40"/>
        <v>0</v>
      </c>
      <c r="CG49" s="170">
        <v>3.6</v>
      </c>
      <c r="CH49" s="170">
        <f t="shared" si="41"/>
        <v>3.6</v>
      </c>
    </row>
    <row r="50" spans="1:86">
      <c r="A50" t="s">
        <v>585</v>
      </c>
      <c r="B50" t="s">
        <v>136</v>
      </c>
      <c r="C50" s="139">
        <v>0</v>
      </c>
      <c r="D50" s="139">
        <f t="shared" si="26"/>
        <v>0</v>
      </c>
      <c r="E50" s="139">
        <v>0</v>
      </c>
      <c r="F50" s="139">
        <f t="shared" si="27"/>
        <v>0</v>
      </c>
      <c r="G50">
        <v>0</v>
      </c>
      <c r="H50">
        <f t="shared" si="28"/>
        <v>0</v>
      </c>
      <c r="I50">
        <v>0</v>
      </c>
      <c r="J50">
        <f t="shared" si="2"/>
        <v>0</v>
      </c>
      <c r="K50" s="139">
        <v>0</v>
      </c>
      <c r="L50" s="139">
        <f t="shared" si="29"/>
        <v>0</v>
      </c>
      <c r="M50" s="139">
        <v>0</v>
      </c>
      <c r="N50" s="139">
        <f t="shared" si="30"/>
        <v>0</v>
      </c>
      <c r="O50">
        <v>0</v>
      </c>
      <c r="P50">
        <f t="shared" si="31"/>
        <v>0</v>
      </c>
      <c r="Q50">
        <v>0</v>
      </c>
      <c r="R50">
        <f t="shared" si="32"/>
        <v>0</v>
      </c>
      <c r="S50" s="139">
        <v>0</v>
      </c>
      <c r="T50" s="139">
        <f t="shared" si="33"/>
        <v>0</v>
      </c>
      <c r="Z50" s="151">
        <f>SUM(Z45:Z49)</f>
        <v>77847.854999999996</v>
      </c>
      <c r="AA50" s="151">
        <f t="shared" ref="AA50:AB50" si="61">SUM(AA45:AA49)</f>
        <v>245133.81099999999</v>
      </c>
      <c r="AB50" s="151">
        <f t="shared" si="61"/>
        <v>20384.083499999997</v>
      </c>
      <c r="AC50" s="140"/>
      <c r="AD50" s="181">
        <f>AVERAGE(AD45:AD49)</f>
        <v>0.38864405327004947</v>
      </c>
      <c r="AE50" s="182">
        <f t="shared" ref="AE50:AI50" si="62">AVERAGE(AE45:AE49)</f>
        <v>2.1098782237061159E-2</v>
      </c>
      <c r="AF50" s="181">
        <f t="shared" si="62"/>
        <v>0.39938770369528565</v>
      </c>
      <c r="AG50" s="182">
        <f t="shared" si="62"/>
        <v>1.0411296809796139E-2</v>
      </c>
      <c r="AH50" s="181">
        <f t="shared" si="62"/>
        <v>0.39886232796851079</v>
      </c>
      <c r="AI50" s="182">
        <f t="shared" si="62"/>
        <v>3.8198225238912732E-2</v>
      </c>
      <c r="BO50" t="s">
        <v>585</v>
      </c>
      <c r="BP50" t="s">
        <v>136</v>
      </c>
      <c r="BQ50" s="170">
        <v>0</v>
      </c>
      <c r="BR50" s="170">
        <f t="shared" si="49"/>
        <v>0</v>
      </c>
      <c r="BS50" s="170">
        <v>0</v>
      </c>
      <c r="BT50" s="170">
        <f t="shared" si="57"/>
        <v>0</v>
      </c>
      <c r="BU50">
        <v>0</v>
      </c>
      <c r="BV50">
        <f t="shared" si="50"/>
        <v>0</v>
      </c>
      <c r="BW50">
        <v>0</v>
      </c>
      <c r="BX50">
        <f t="shared" si="51"/>
        <v>0</v>
      </c>
      <c r="BY50" s="170">
        <v>0</v>
      </c>
      <c r="BZ50" s="170">
        <f t="shared" si="58"/>
        <v>0</v>
      </c>
      <c r="CA50" s="170">
        <v>0</v>
      </c>
      <c r="CB50" s="170">
        <f t="shared" si="52"/>
        <v>0</v>
      </c>
      <c r="CC50">
        <v>0</v>
      </c>
      <c r="CD50">
        <f t="shared" si="39"/>
        <v>0</v>
      </c>
      <c r="CE50">
        <v>0</v>
      </c>
      <c r="CF50">
        <f t="shared" si="40"/>
        <v>0</v>
      </c>
      <c r="CG50" s="170">
        <v>0</v>
      </c>
      <c r="CH50" s="170">
        <f t="shared" si="41"/>
        <v>0</v>
      </c>
    </row>
    <row r="51" spans="1:86">
      <c r="A51" t="s">
        <v>301</v>
      </c>
      <c r="B51" t="s">
        <v>136</v>
      </c>
      <c r="C51" s="139">
        <v>0</v>
      </c>
      <c r="D51" s="139">
        <f>C51</f>
        <v>0</v>
      </c>
      <c r="E51" s="139">
        <v>0</v>
      </c>
      <c r="F51" s="139">
        <f>E51</f>
        <v>0</v>
      </c>
      <c r="G51">
        <f>0.8+0.6+0.4</f>
        <v>1.7999999999999998</v>
      </c>
      <c r="H51">
        <f>G51</f>
        <v>1.7999999999999998</v>
      </c>
      <c r="I51">
        <v>0</v>
      </c>
      <c r="J51">
        <f t="shared" si="2"/>
        <v>0</v>
      </c>
      <c r="K51" s="139">
        <v>0</v>
      </c>
      <c r="L51" s="139">
        <f>K51</f>
        <v>0</v>
      </c>
      <c r="M51" s="139">
        <f>0.8+0.6+0.4</f>
        <v>1.7999999999999998</v>
      </c>
      <c r="N51" s="139">
        <f>M51</f>
        <v>1.7999999999999998</v>
      </c>
      <c r="O51">
        <v>0</v>
      </c>
      <c r="P51">
        <f>J51</f>
        <v>0</v>
      </c>
      <c r="Q51">
        <v>0</v>
      </c>
      <c r="R51">
        <f>L51</f>
        <v>0</v>
      </c>
      <c r="S51" s="139">
        <f>0.8+0.6+0.4</f>
        <v>1.7999999999999998</v>
      </c>
      <c r="T51" s="139">
        <f>N51</f>
        <v>1.7999999999999998</v>
      </c>
      <c r="X51" t="s">
        <v>379</v>
      </c>
      <c r="Y51" t="s">
        <v>53</v>
      </c>
      <c r="Z51" s="140">
        <f t="shared" ref="Z51:Z57" si="63">SUM(Z18:AA18)</f>
        <v>39358.061000000002</v>
      </c>
      <c r="AA51" s="140">
        <f t="shared" si="53"/>
        <v>22717.397000000001</v>
      </c>
      <c r="AB51" s="140">
        <f t="shared" si="54"/>
        <v>8821.723</v>
      </c>
      <c r="AC51" s="140"/>
      <c r="AD51" s="179">
        <f t="shared" si="55"/>
        <v>0.53815024068385886</v>
      </c>
      <c r="AE51" s="180">
        <f t="shared" si="56"/>
        <v>1.4803447761311208E-2</v>
      </c>
      <c r="AF51" s="179">
        <f t="shared" ref="AF51:AF57" si="64">AY18/AA51</f>
        <v>0.538182257412678</v>
      </c>
      <c r="AG51" s="180">
        <f t="shared" ref="AG51:AG57" si="65">AX18/AA51</f>
        <v>1.7511676183675443E-2</v>
      </c>
      <c r="AH51" s="179">
        <f t="shared" ref="AH51:AH57" si="66">BL18/AB51</f>
        <v>0.51186021143488636</v>
      </c>
      <c r="AI51" s="180">
        <f t="shared" ref="AI51:AI57" si="67">BK18/AB51</f>
        <v>0</v>
      </c>
      <c r="BO51" t="s">
        <v>301</v>
      </c>
      <c r="BP51" t="s">
        <v>136</v>
      </c>
      <c r="BQ51" s="170">
        <v>0</v>
      </c>
      <c r="BR51" s="170">
        <f>BQ51</f>
        <v>0</v>
      </c>
      <c r="BS51" s="170">
        <v>0</v>
      </c>
      <c r="BT51" s="170">
        <f>BS51</f>
        <v>0</v>
      </c>
      <c r="BU51">
        <f>0.8+0.6+0.4</f>
        <v>1.7999999999999998</v>
      </c>
      <c r="BV51">
        <f>BU51</f>
        <v>1.7999999999999998</v>
      </c>
      <c r="BW51">
        <v>0</v>
      </c>
      <c r="BX51">
        <f t="shared" si="51"/>
        <v>0</v>
      </c>
      <c r="BY51" s="170">
        <v>0</v>
      </c>
      <c r="BZ51" s="170">
        <f>BY51</f>
        <v>0</v>
      </c>
      <c r="CA51" s="170">
        <f>0.8+0.6+0.4</f>
        <v>1.7999999999999998</v>
      </c>
      <c r="CB51" s="170">
        <f>CA51</f>
        <v>1.7999999999999998</v>
      </c>
      <c r="CC51">
        <v>0</v>
      </c>
      <c r="CD51">
        <f>BX51</f>
        <v>0</v>
      </c>
      <c r="CE51">
        <v>0</v>
      </c>
      <c r="CF51">
        <f>BZ51</f>
        <v>0</v>
      </c>
      <c r="CG51" s="170">
        <f>0.8+0.6+0.4</f>
        <v>1.7999999999999998</v>
      </c>
      <c r="CH51" s="170">
        <f>CB51</f>
        <v>1.7999999999999998</v>
      </c>
    </row>
    <row r="52" spans="1:86">
      <c r="A52" t="s">
        <v>566</v>
      </c>
      <c r="B52" t="s">
        <v>136</v>
      </c>
      <c r="C52" s="139">
        <v>0</v>
      </c>
      <c r="D52" s="139">
        <f t="shared" si="26"/>
        <v>0</v>
      </c>
      <c r="E52" s="139">
        <v>0</v>
      </c>
      <c r="F52" s="139">
        <f t="shared" si="27"/>
        <v>0</v>
      </c>
      <c r="G52">
        <v>0</v>
      </c>
      <c r="H52">
        <f t="shared" si="28"/>
        <v>0</v>
      </c>
      <c r="I52">
        <v>0</v>
      </c>
      <c r="J52">
        <f t="shared" si="2"/>
        <v>0</v>
      </c>
      <c r="K52" s="139">
        <v>0</v>
      </c>
      <c r="L52" s="139">
        <f t="shared" si="29"/>
        <v>0</v>
      </c>
      <c r="M52" s="139">
        <v>0</v>
      </c>
      <c r="N52" s="139">
        <f t="shared" si="30"/>
        <v>0</v>
      </c>
      <c r="O52">
        <v>0</v>
      </c>
      <c r="P52">
        <f t="shared" ref="P52:P79" si="68">J52</f>
        <v>0</v>
      </c>
      <c r="Q52">
        <v>0</v>
      </c>
      <c r="R52">
        <f t="shared" ref="R52:R79" si="69">L52</f>
        <v>0</v>
      </c>
      <c r="S52" s="139">
        <v>0</v>
      </c>
      <c r="T52" s="139">
        <f t="shared" ref="T52:T79" si="70">N52</f>
        <v>0</v>
      </c>
      <c r="X52" t="s">
        <v>379</v>
      </c>
      <c r="Y52" t="s">
        <v>60</v>
      </c>
      <c r="Z52" s="140">
        <f t="shared" si="63"/>
        <v>20617.29</v>
      </c>
      <c r="AA52" s="140">
        <f t="shared" si="53"/>
        <v>51573.159999999996</v>
      </c>
      <c r="AB52" s="140">
        <f t="shared" si="54"/>
        <v>2811.0136000000002</v>
      </c>
      <c r="AC52" s="140"/>
      <c r="AD52" s="179">
        <f t="shared" si="55"/>
        <v>0.33632911987947978</v>
      </c>
      <c r="AE52" s="180">
        <f t="shared" si="56"/>
        <v>0</v>
      </c>
      <c r="AF52" s="179">
        <f t="shared" si="64"/>
        <v>0.39420621113773135</v>
      </c>
      <c r="AG52" s="180">
        <f t="shared" si="65"/>
        <v>1.7066507074610129E-2</v>
      </c>
      <c r="AH52" s="179">
        <f t="shared" si="66"/>
        <v>0.42537396475065076</v>
      </c>
      <c r="AI52" s="180">
        <f t="shared" si="67"/>
        <v>3.557435652392432E-3</v>
      </c>
      <c r="BO52" t="s">
        <v>566</v>
      </c>
      <c r="BP52" t="s">
        <v>136</v>
      </c>
      <c r="BQ52" s="170">
        <v>0</v>
      </c>
      <c r="BR52" s="170">
        <f t="shared" ref="BR52:BR63" si="71">BQ52</f>
        <v>0</v>
      </c>
      <c r="BS52" s="170">
        <v>0</v>
      </c>
      <c r="BT52" s="170">
        <f t="shared" ref="BT52:BT63" si="72">BS52</f>
        <v>0</v>
      </c>
      <c r="BU52">
        <v>0</v>
      </c>
      <c r="BV52">
        <f t="shared" ref="BV52:BV63" si="73">BU52</f>
        <v>0</v>
      </c>
      <c r="BW52">
        <v>0</v>
      </c>
      <c r="BX52">
        <f t="shared" si="51"/>
        <v>0</v>
      </c>
      <c r="BY52" s="170">
        <v>0</v>
      </c>
      <c r="BZ52" s="170">
        <f t="shared" ref="BZ52:BZ63" si="74">BY52</f>
        <v>0</v>
      </c>
      <c r="CA52" s="170">
        <v>0</v>
      </c>
      <c r="CB52" s="170">
        <f t="shared" ref="CB52:CB63" si="75">CA52</f>
        <v>0</v>
      </c>
      <c r="CC52">
        <v>0</v>
      </c>
      <c r="CD52">
        <f t="shared" ref="CD52:CD79" si="76">BX52</f>
        <v>0</v>
      </c>
      <c r="CE52">
        <v>0</v>
      </c>
      <c r="CF52">
        <f t="shared" ref="CF52:CF79" si="77">BZ52</f>
        <v>0</v>
      </c>
      <c r="CG52" s="170">
        <v>0</v>
      </c>
      <c r="CH52" s="170">
        <f t="shared" ref="CH52:CH79" si="78">CB52</f>
        <v>0</v>
      </c>
    </row>
    <row r="53" spans="1:86">
      <c r="A53" t="s">
        <v>567</v>
      </c>
      <c r="B53" t="s">
        <v>136</v>
      </c>
      <c r="C53" s="139">
        <v>0</v>
      </c>
      <c r="D53" s="139">
        <f t="shared" si="26"/>
        <v>0</v>
      </c>
      <c r="E53" s="139">
        <v>0</v>
      </c>
      <c r="F53" s="139">
        <f t="shared" si="27"/>
        <v>0</v>
      </c>
      <c r="G53">
        <v>0</v>
      </c>
      <c r="H53">
        <f t="shared" si="28"/>
        <v>0</v>
      </c>
      <c r="I53">
        <v>0</v>
      </c>
      <c r="J53">
        <f t="shared" si="2"/>
        <v>0</v>
      </c>
      <c r="K53" s="139">
        <v>0</v>
      </c>
      <c r="L53" s="139">
        <f t="shared" si="29"/>
        <v>0</v>
      </c>
      <c r="M53" s="139">
        <v>0</v>
      </c>
      <c r="N53" s="139">
        <f t="shared" si="30"/>
        <v>0</v>
      </c>
      <c r="O53">
        <v>0</v>
      </c>
      <c r="P53">
        <f t="shared" si="68"/>
        <v>0</v>
      </c>
      <c r="Q53">
        <v>0</v>
      </c>
      <c r="R53">
        <f t="shared" si="69"/>
        <v>0</v>
      </c>
      <c r="S53" s="139">
        <v>0</v>
      </c>
      <c r="T53" s="139">
        <f t="shared" si="70"/>
        <v>0</v>
      </c>
      <c r="X53" t="s">
        <v>379</v>
      </c>
      <c r="Y53" t="s">
        <v>61</v>
      </c>
      <c r="Z53" s="140">
        <f t="shared" si="63"/>
        <v>6769.4709999999995</v>
      </c>
      <c r="AA53" s="140">
        <f t="shared" si="53"/>
        <v>29438.807999999997</v>
      </c>
      <c r="AB53" s="140">
        <f t="shared" si="54"/>
        <v>7293.5410000000002</v>
      </c>
      <c r="AC53" s="140"/>
      <c r="AD53" s="179">
        <f t="shared" si="55"/>
        <v>0.37680255960916298</v>
      </c>
      <c r="AE53" s="180">
        <f t="shared" si="56"/>
        <v>0</v>
      </c>
      <c r="AF53" s="179">
        <f t="shared" si="64"/>
        <v>0.43727449834246013</v>
      </c>
      <c r="AG53" s="180">
        <f t="shared" si="65"/>
        <v>9.8189437561466489E-3</v>
      </c>
      <c r="AH53" s="179">
        <f t="shared" si="66"/>
        <v>0.49607316939741614</v>
      </c>
      <c r="AI53" s="180">
        <f t="shared" si="67"/>
        <v>1.0968609074796453E-3</v>
      </c>
      <c r="BO53" t="s">
        <v>567</v>
      </c>
      <c r="BP53" t="s">
        <v>136</v>
      </c>
      <c r="BQ53" s="170">
        <v>0</v>
      </c>
      <c r="BR53" s="170">
        <f t="shared" si="71"/>
        <v>0</v>
      </c>
      <c r="BS53" s="170">
        <v>0</v>
      </c>
      <c r="BT53" s="170">
        <f t="shared" si="72"/>
        <v>0</v>
      </c>
      <c r="BU53">
        <v>0</v>
      </c>
      <c r="BV53">
        <f t="shared" si="73"/>
        <v>0</v>
      </c>
      <c r="BW53">
        <v>0</v>
      </c>
      <c r="BX53">
        <f t="shared" si="51"/>
        <v>0</v>
      </c>
      <c r="BY53" s="170">
        <v>0</v>
      </c>
      <c r="BZ53" s="170">
        <f t="shared" si="74"/>
        <v>0</v>
      </c>
      <c r="CA53" s="170">
        <v>0</v>
      </c>
      <c r="CB53" s="170">
        <f t="shared" si="75"/>
        <v>0</v>
      </c>
      <c r="CC53">
        <v>0</v>
      </c>
      <c r="CD53">
        <f t="shared" si="76"/>
        <v>0</v>
      </c>
      <c r="CE53">
        <v>0</v>
      </c>
      <c r="CF53">
        <f t="shared" si="77"/>
        <v>0</v>
      </c>
      <c r="CG53" s="170">
        <v>0</v>
      </c>
      <c r="CH53" s="170">
        <f t="shared" si="78"/>
        <v>0</v>
      </c>
    </row>
    <row r="54" spans="1:86">
      <c r="A54" t="s">
        <v>568</v>
      </c>
      <c r="B54" t="s">
        <v>136</v>
      </c>
      <c r="C54" s="139">
        <v>0</v>
      </c>
      <c r="D54" s="139">
        <f t="shared" si="26"/>
        <v>0</v>
      </c>
      <c r="E54" s="139">
        <v>0</v>
      </c>
      <c r="F54" s="139">
        <f t="shared" si="27"/>
        <v>0</v>
      </c>
      <c r="G54">
        <v>0</v>
      </c>
      <c r="H54">
        <f t="shared" si="28"/>
        <v>0</v>
      </c>
      <c r="I54">
        <v>0</v>
      </c>
      <c r="J54">
        <f t="shared" si="2"/>
        <v>0</v>
      </c>
      <c r="K54" s="139">
        <v>0</v>
      </c>
      <c r="L54" s="139">
        <f t="shared" si="29"/>
        <v>0</v>
      </c>
      <c r="M54" s="139">
        <v>0</v>
      </c>
      <c r="N54" s="139">
        <f t="shared" si="30"/>
        <v>0</v>
      </c>
      <c r="O54">
        <v>0</v>
      </c>
      <c r="P54">
        <f t="shared" si="68"/>
        <v>0</v>
      </c>
      <c r="Q54">
        <v>0</v>
      </c>
      <c r="R54">
        <f t="shared" si="69"/>
        <v>0</v>
      </c>
      <c r="S54" s="139">
        <v>0</v>
      </c>
      <c r="T54" s="139">
        <f t="shared" si="70"/>
        <v>0</v>
      </c>
      <c r="X54" t="s">
        <v>379</v>
      </c>
      <c r="Y54" t="s">
        <v>64</v>
      </c>
      <c r="Z54" s="140">
        <f t="shared" si="63"/>
        <v>18070.702000000001</v>
      </c>
      <c r="AA54" s="140">
        <f t="shared" si="53"/>
        <v>31747.040000000001</v>
      </c>
      <c r="AB54" s="140">
        <f t="shared" si="54"/>
        <v>7171.3379999999997</v>
      </c>
      <c r="AC54" s="140"/>
      <c r="AD54" s="179">
        <f t="shared" si="55"/>
        <v>0.18557303418539023</v>
      </c>
      <c r="AE54" s="180">
        <f t="shared" si="56"/>
        <v>1.3209536630065617E-2</v>
      </c>
      <c r="AF54" s="179">
        <f t="shared" si="64"/>
        <v>0.18948194855331393</v>
      </c>
      <c r="AG54" s="180">
        <f t="shared" si="65"/>
        <v>1.4655243449468044E-2</v>
      </c>
      <c r="AH54" s="179">
        <f t="shared" si="66"/>
        <v>0.19626532733501056</v>
      </c>
      <c r="AI54" s="180">
        <f t="shared" si="67"/>
        <v>3.4564205452315873E-2</v>
      </c>
      <c r="BO54" t="s">
        <v>568</v>
      </c>
      <c r="BP54" t="s">
        <v>136</v>
      </c>
      <c r="BQ54" s="170">
        <v>0</v>
      </c>
      <c r="BR54" s="170">
        <f t="shared" si="71"/>
        <v>0</v>
      </c>
      <c r="BS54" s="170">
        <v>0</v>
      </c>
      <c r="BT54" s="170">
        <f t="shared" si="72"/>
        <v>0</v>
      </c>
      <c r="BU54">
        <v>0</v>
      </c>
      <c r="BV54">
        <f t="shared" si="73"/>
        <v>0</v>
      </c>
      <c r="BW54">
        <v>0</v>
      </c>
      <c r="BX54">
        <f t="shared" si="51"/>
        <v>0</v>
      </c>
      <c r="BY54" s="170">
        <v>0</v>
      </c>
      <c r="BZ54" s="170">
        <f t="shared" si="74"/>
        <v>0</v>
      </c>
      <c r="CA54" s="170">
        <v>0</v>
      </c>
      <c r="CB54" s="170">
        <f t="shared" si="75"/>
        <v>0</v>
      </c>
      <c r="CC54">
        <v>0</v>
      </c>
      <c r="CD54">
        <f t="shared" si="76"/>
        <v>0</v>
      </c>
      <c r="CE54">
        <v>0</v>
      </c>
      <c r="CF54">
        <f t="shared" si="77"/>
        <v>0</v>
      </c>
      <c r="CG54" s="170">
        <v>0</v>
      </c>
      <c r="CH54" s="170">
        <f t="shared" si="78"/>
        <v>0</v>
      </c>
    </row>
    <row r="55" spans="1:86">
      <c r="A55" t="s">
        <v>281</v>
      </c>
      <c r="B55" t="s">
        <v>136</v>
      </c>
      <c r="C55" s="139">
        <v>0</v>
      </c>
      <c r="D55" s="139">
        <f t="shared" si="26"/>
        <v>0</v>
      </c>
      <c r="E55" s="139">
        <v>0</v>
      </c>
      <c r="F55" s="139">
        <f t="shared" si="27"/>
        <v>0</v>
      </c>
      <c r="G55">
        <v>3.6</v>
      </c>
      <c r="H55">
        <f t="shared" si="28"/>
        <v>3.6</v>
      </c>
      <c r="I55">
        <v>0</v>
      </c>
      <c r="J55">
        <f t="shared" si="2"/>
        <v>0</v>
      </c>
      <c r="K55" s="139">
        <v>0</v>
      </c>
      <c r="L55" s="139">
        <f t="shared" si="29"/>
        <v>0</v>
      </c>
      <c r="M55" s="139">
        <v>3.6</v>
      </c>
      <c r="N55" s="139">
        <f t="shared" si="30"/>
        <v>3.6</v>
      </c>
      <c r="O55">
        <v>0</v>
      </c>
      <c r="P55">
        <f t="shared" si="68"/>
        <v>0</v>
      </c>
      <c r="Q55">
        <v>0</v>
      </c>
      <c r="R55">
        <f t="shared" si="69"/>
        <v>0</v>
      </c>
      <c r="S55" s="139">
        <v>3.6</v>
      </c>
      <c r="T55" s="139">
        <f t="shared" si="70"/>
        <v>3.6</v>
      </c>
      <c r="X55" t="s">
        <v>379</v>
      </c>
      <c r="Y55" t="s">
        <v>68</v>
      </c>
      <c r="Z55" s="140">
        <f t="shared" si="63"/>
        <v>9396.2530000000006</v>
      </c>
      <c r="AA55" s="140">
        <f t="shared" si="53"/>
        <v>26142.934000000001</v>
      </c>
      <c r="AB55" s="140">
        <f t="shared" si="54"/>
        <v>6568.1123000000007</v>
      </c>
      <c r="AC55" s="140"/>
      <c r="AD55" s="179">
        <f t="shared" si="55"/>
        <v>0.32647641565206897</v>
      </c>
      <c r="AE55" s="180">
        <f t="shared" si="56"/>
        <v>1.0642540170001807E-4</v>
      </c>
      <c r="AF55" s="179">
        <f t="shared" si="64"/>
        <v>0.4755151047698013</v>
      </c>
      <c r="AG55" s="180">
        <f t="shared" si="65"/>
        <v>8.0327632697997859E-4</v>
      </c>
      <c r="AH55" s="179">
        <f t="shared" si="66"/>
        <v>0.63769342068039847</v>
      </c>
      <c r="AI55" s="180">
        <f t="shared" si="67"/>
        <v>2.8966435302879942E-2</v>
      </c>
      <c r="BO55" t="s">
        <v>281</v>
      </c>
      <c r="BP55" t="s">
        <v>136</v>
      </c>
      <c r="BQ55" s="170">
        <v>0</v>
      </c>
      <c r="BR55" s="170">
        <f t="shared" si="71"/>
        <v>0</v>
      </c>
      <c r="BS55" s="170">
        <v>0</v>
      </c>
      <c r="BT55" s="170">
        <f t="shared" si="72"/>
        <v>0</v>
      </c>
      <c r="BU55">
        <v>3.6</v>
      </c>
      <c r="BV55">
        <f t="shared" si="73"/>
        <v>3.6</v>
      </c>
      <c r="BW55">
        <v>0</v>
      </c>
      <c r="BX55">
        <f t="shared" si="51"/>
        <v>0</v>
      </c>
      <c r="BY55" s="170">
        <v>0</v>
      </c>
      <c r="BZ55" s="170">
        <f t="shared" si="74"/>
        <v>0</v>
      </c>
      <c r="CA55" s="170">
        <v>3.6</v>
      </c>
      <c r="CB55" s="170">
        <f t="shared" si="75"/>
        <v>3.6</v>
      </c>
      <c r="CC55">
        <v>0</v>
      </c>
      <c r="CD55">
        <f t="shared" si="76"/>
        <v>0</v>
      </c>
      <c r="CE55">
        <v>0</v>
      </c>
      <c r="CF55">
        <f t="shared" si="77"/>
        <v>0</v>
      </c>
      <c r="CG55" s="170">
        <v>3.6</v>
      </c>
      <c r="CH55" s="170">
        <f t="shared" si="78"/>
        <v>3.6</v>
      </c>
    </row>
    <row r="56" spans="1:86">
      <c r="A56" t="s">
        <v>569</v>
      </c>
      <c r="B56" t="s">
        <v>136</v>
      </c>
      <c r="C56" s="139">
        <v>0</v>
      </c>
      <c r="D56" s="139">
        <f t="shared" si="26"/>
        <v>0</v>
      </c>
      <c r="E56" s="139">
        <v>0</v>
      </c>
      <c r="F56" s="139">
        <f t="shared" si="27"/>
        <v>0</v>
      </c>
      <c r="G56">
        <v>0</v>
      </c>
      <c r="H56">
        <f t="shared" si="28"/>
        <v>0</v>
      </c>
      <c r="I56">
        <v>0</v>
      </c>
      <c r="J56">
        <f t="shared" si="2"/>
        <v>0</v>
      </c>
      <c r="K56" s="139">
        <v>0</v>
      </c>
      <c r="L56" s="139">
        <f t="shared" si="29"/>
        <v>0</v>
      </c>
      <c r="M56" s="139">
        <v>0</v>
      </c>
      <c r="N56" s="139">
        <f t="shared" si="30"/>
        <v>0</v>
      </c>
      <c r="O56">
        <v>0</v>
      </c>
      <c r="P56">
        <f t="shared" si="68"/>
        <v>0</v>
      </c>
      <c r="Q56">
        <v>0</v>
      </c>
      <c r="R56">
        <f t="shared" si="69"/>
        <v>0</v>
      </c>
      <c r="S56" s="139">
        <v>0</v>
      </c>
      <c r="T56" s="139">
        <f t="shared" si="70"/>
        <v>0</v>
      </c>
      <c r="X56" t="s">
        <v>379</v>
      </c>
      <c r="Y56" t="s">
        <v>71</v>
      </c>
      <c r="Z56" s="140">
        <f t="shared" si="63"/>
        <v>12567.669</v>
      </c>
      <c r="AA56" s="140">
        <f t="shared" si="53"/>
        <v>10405.343000000001</v>
      </c>
      <c r="AB56" s="140">
        <f t="shared" si="54"/>
        <v>3249.9005999999999</v>
      </c>
      <c r="AC56" s="140"/>
      <c r="AD56" s="179">
        <f t="shared" si="55"/>
        <v>0.29959143577062702</v>
      </c>
      <c r="AE56" s="180">
        <f t="shared" si="56"/>
        <v>5.9907497563788478E-2</v>
      </c>
      <c r="AF56" s="179">
        <f t="shared" si="64"/>
        <v>0.35670712632923296</v>
      </c>
      <c r="AG56" s="180">
        <f t="shared" si="65"/>
        <v>5.7606193279740987E-2</v>
      </c>
      <c r="AH56" s="179">
        <f t="shared" si="66"/>
        <v>0.30336872456960684</v>
      </c>
      <c r="AI56" s="180">
        <f t="shared" si="67"/>
        <v>0</v>
      </c>
      <c r="BO56" t="s">
        <v>569</v>
      </c>
      <c r="BP56" t="s">
        <v>136</v>
      </c>
      <c r="BQ56" s="170">
        <v>0</v>
      </c>
      <c r="BR56" s="170">
        <f t="shared" si="71"/>
        <v>0</v>
      </c>
      <c r="BS56" s="170">
        <v>0</v>
      </c>
      <c r="BT56" s="170">
        <f t="shared" si="72"/>
        <v>0</v>
      </c>
      <c r="BU56">
        <v>0</v>
      </c>
      <c r="BV56">
        <f t="shared" si="73"/>
        <v>0</v>
      </c>
      <c r="BW56">
        <v>0</v>
      </c>
      <c r="BX56">
        <f t="shared" si="51"/>
        <v>0</v>
      </c>
      <c r="BY56" s="170">
        <v>0</v>
      </c>
      <c r="BZ56" s="170">
        <f t="shared" si="74"/>
        <v>0</v>
      </c>
      <c r="CA56" s="170">
        <v>0</v>
      </c>
      <c r="CB56" s="170">
        <f t="shared" si="75"/>
        <v>0</v>
      </c>
      <c r="CC56">
        <v>0</v>
      </c>
      <c r="CD56">
        <f t="shared" si="76"/>
        <v>0</v>
      </c>
      <c r="CE56">
        <v>0</v>
      </c>
      <c r="CF56">
        <f t="shared" si="77"/>
        <v>0</v>
      </c>
      <c r="CG56" s="170">
        <v>0</v>
      </c>
      <c r="CH56" s="170">
        <f t="shared" si="78"/>
        <v>0</v>
      </c>
    </row>
    <row r="57" spans="1:86">
      <c r="A57" t="s">
        <v>570</v>
      </c>
      <c r="B57" t="s">
        <v>136</v>
      </c>
      <c r="C57" s="139">
        <v>0</v>
      </c>
      <c r="D57" s="139">
        <f t="shared" si="26"/>
        <v>0</v>
      </c>
      <c r="E57" s="139">
        <v>0</v>
      </c>
      <c r="F57" s="139">
        <f t="shared" si="27"/>
        <v>0</v>
      </c>
      <c r="G57">
        <v>0</v>
      </c>
      <c r="H57">
        <f t="shared" si="28"/>
        <v>0</v>
      </c>
      <c r="I57">
        <v>0</v>
      </c>
      <c r="J57">
        <f t="shared" si="2"/>
        <v>0</v>
      </c>
      <c r="K57" s="139">
        <v>0</v>
      </c>
      <c r="L57" s="139">
        <f t="shared" si="29"/>
        <v>0</v>
      </c>
      <c r="M57" s="139">
        <v>0</v>
      </c>
      <c r="N57" s="139">
        <f t="shared" si="30"/>
        <v>0</v>
      </c>
      <c r="O57">
        <v>0</v>
      </c>
      <c r="P57">
        <f t="shared" si="68"/>
        <v>0</v>
      </c>
      <c r="Q57">
        <v>0</v>
      </c>
      <c r="R57">
        <f t="shared" si="69"/>
        <v>0</v>
      </c>
      <c r="S57" s="139">
        <v>0</v>
      </c>
      <c r="T57" s="139">
        <f t="shared" si="70"/>
        <v>0</v>
      </c>
      <c r="X57" t="s">
        <v>379</v>
      </c>
      <c r="Y57" t="s">
        <v>72</v>
      </c>
      <c r="Z57" s="140">
        <f t="shared" si="63"/>
        <v>15935.645</v>
      </c>
      <c r="AA57" s="140">
        <f t="shared" si="53"/>
        <v>28714.947</v>
      </c>
      <c r="AB57" s="140">
        <f t="shared" si="54"/>
        <v>7095.973</v>
      </c>
      <c r="AC57" s="140"/>
      <c r="AD57" s="179">
        <f t="shared" si="55"/>
        <v>0.47252050356292447</v>
      </c>
      <c r="AE57" s="180">
        <f t="shared" si="56"/>
        <v>1.2317273634044935E-2</v>
      </c>
      <c r="AF57" s="179">
        <f t="shared" si="64"/>
        <v>0.39388684924266099</v>
      </c>
      <c r="AG57" s="180">
        <f t="shared" si="65"/>
        <v>1.6792313773032561E-2</v>
      </c>
      <c r="AH57" s="179">
        <f t="shared" si="66"/>
        <v>0.35709803292656273</v>
      </c>
      <c r="AI57" s="180">
        <f t="shared" si="67"/>
        <v>1.2683250063099168E-3</v>
      </c>
      <c r="BO57" t="s">
        <v>570</v>
      </c>
      <c r="BP57" t="s">
        <v>136</v>
      </c>
      <c r="BQ57" s="170">
        <v>0</v>
      </c>
      <c r="BR57" s="170">
        <f t="shared" si="71"/>
        <v>0</v>
      </c>
      <c r="BS57" s="170">
        <v>0</v>
      </c>
      <c r="BT57" s="170">
        <f t="shared" si="72"/>
        <v>0</v>
      </c>
      <c r="BU57">
        <v>0</v>
      </c>
      <c r="BV57">
        <f t="shared" si="73"/>
        <v>0</v>
      </c>
      <c r="BW57">
        <v>0</v>
      </c>
      <c r="BX57">
        <f t="shared" si="51"/>
        <v>0</v>
      </c>
      <c r="BY57" s="170">
        <v>0</v>
      </c>
      <c r="BZ57" s="170">
        <f t="shared" si="74"/>
        <v>0</v>
      </c>
      <c r="CA57" s="170">
        <v>0</v>
      </c>
      <c r="CB57" s="170">
        <f t="shared" si="75"/>
        <v>0</v>
      </c>
      <c r="CC57">
        <v>0</v>
      </c>
      <c r="CD57">
        <f t="shared" si="76"/>
        <v>0</v>
      </c>
      <c r="CE57">
        <v>0</v>
      </c>
      <c r="CF57">
        <f t="shared" si="77"/>
        <v>0</v>
      </c>
      <c r="CG57" s="170">
        <v>0</v>
      </c>
      <c r="CH57" s="170">
        <f t="shared" si="78"/>
        <v>0</v>
      </c>
    </row>
    <row r="58" spans="1:86">
      <c r="A58" t="s">
        <v>571</v>
      </c>
      <c r="B58" t="s">
        <v>136</v>
      </c>
      <c r="C58" s="139">
        <v>0</v>
      </c>
      <c r="D58" s="139">
        <f t="shared" si="26"/>
        <v>0</v>
      </c>
      <c r="E58" s="139">
        <v>0</v>
      </c>
      <c r="F58" s="139">
        <f t="shared" si="27"/>
        <v>0</v>
      </c>
      <c r="G58">
        <v>0</v>
      </c>
      <c r="H58">
        <f t="shared" si="28"/>
        <v>0</v>
      </c>
      <c r="I58">
        <v>0</v>
      </c>
      <c r="J58">
        <f t="shared" si="2"/>
        <v>0</v>
      </c>
      <c r="K58" s="139">
        <v>0</v>
      </c>
      <c r="L58" s="139">
        <f t="shared" si="29"/>
        <v>0</v>
      </c>
      <c r="M58" s="139">
        <v>0</v>
      </c>
      <c r="N58" s="139">
        <f t="shared" si="30"/>
        <v>0</v>
      </c>
      <c r="O58">
        <v>0</v>
      </c>
      <c r="P58">
        <f t="shared" si="68"/>
        <v>0</v>
      </c>
      <c r="Q58">
        <v>0</v>
      </c>
      <c r="R58">
        <f t="shared" si="69"/>
        <v>0</v>
      </c>
      <c r="S58" s="139">
        <v>0</v>
      </c>
      <c r="T58" s="139">
        <f t="shared" si="70"/>
        <v>0</v>
      </c>
      <c r="Z58" s="151">
        <f>SUM(Z51:Z57)</f>
        <v>122715.091</v>
      </c>
      <c r="AA58" s="151">
        <f t="shared" ref="AA58:AB58" si="79">SUM(AA51:AA57)</f>
        <v>200739.62900000002</v>
      </c>
      <c r="AB58" s="151">
        <f t="shared" si="79"/>
        <v>43011.601499999997</v>
      </c>
      <c r="AC58" s="140"/>
      <c r="AD58" s="181">
        <f>AVERAGE(AD51:AD57)</f>
        <v>0.3622061870490732</v>
      </c>
      <c r="AE58" s="182">
        <f t="shared" ref="AE58:AI58" si="80">AVERAGE(AE51:AE57)</f>
        <v>1.4334882998701464E-2</v>
      </c>
      <c r="AF58" s="181">
        <f t="shared" si="80"/>
        <v>0.3978934279696969</v>
      </c>
      <c r="AG58" s="182">
        <f t="shared" si="80"/>
        <v>1.9179164834807687E-2</v>
      </c>
      <c r="AH58" s="181">
        <f t="shared" si="80"/>
        <v>0.41824755015636167</v>
      </c>
      <c r="AI58" s="182">
        <f t="shared" si="80"/>
        <v>9.9218946173396851E-3</v>
      </c>
      <c r="BO58" t="s">
        <v>571</v>
      </c>
      <c r="BP58" t="s">
        <v>136</v>
      </c>
      <c r="BQ58" s="170">
        <v>0</v>
      </c>
      <c r="BR58" s="170">
        <f t="shared" si="71"/>
        <v>0</v>
      </c>
      <c r="BS58" s="170">
        <v>0</v>
      </c>
      <c r="BT58" s="170">
        <f t="shared" si="72"/>
        <v>0</v>
      </c>
      <c r="BU58">
        <v>0</v>
      </c>
      <c r="BV58">
        <f t="shared" si="73"/>
        <v>0</v>
      </c>
      <c r="BW58">
        <v>0</v>
      </c>
      <c r="BX58">
        <f t="shared" si="51"/>
        <v>0</v>
      </c>
      <c r="BY58" s="170">
        <v>0</v>
      </c>
      <c r="BZ58" s="170">
        <f t="shared" si="74"/>
        <v>0</v>
      </c>
      <c r="CA58" s="170">
        <v>0</v>
      </c>
      <c r="CB58" s="170">
        <f t="shared" si="75"/>
        <v>0</v>
      </c>
      <c r="CC58">
        <v>0</v>
      </c>
      <c r="CD58">
        <f t="shared" si="76"/>
        <v>0</v>
      </c>
      <c r="CE58">
        <v>0</v>
      </c>
      <c r="CF58">
        <f t="shared" si="77"/>
        <v>0</v>
      </c>
      <c r="CG58" s="170">
        <v>0</v>
      </c>
      <c r="CH58" s="170">
        <f t="shared" si="78"/>
        <v>0</v>
      </c>
    </row>
    <row r="59" spans="1:86">
      <c r="A59" t="s">
        <v>572</v>
      </c>
      <c r="B59" t="s">
        <v>136</v>
      </c>
      <c r="C59" s="139">
        <v>0</v>
      </c>
      <c r="D59" s="139">
        <f t="shared" si="26"/>
        <v>0</v>
      </c>
      <c r="E59" s="139">
        <v>0</v>
      </c>
      <c r="F59" s="139">
        <f t="shared" si="27"/>
        <v>0</v>
      </c>
      <c r="G59">
        <v>0</v>
      </c>
      <c r="H59">
        <f t="shared" si="28"/>
        <v>0</v>
      </c>
      <c r="I59">
        <v>0</v>
      </c>
      <c r="J59">
        <f t="shared" si="2"/>
        <v>0</v>
      </c>
      <c r="K59" s="139">
        <v>0</v>
      </c>
      <c r="L59" s="139">
        <f t="shared" si="29"/>
        <v>0</v>
      </c>
      <c r="M59" s="139">
        <v>0</v>
      </c>
      <c r="N59" s="139">
        <f t="shared" si="30"/>
        <v>0</v>
      </c>
      <c r="O59">
        <v>0</v>
      </c>
      <c r="P59">
        <f t="shared" si="68"/>
        <v>0</v>
      </c>
      <c r="Q59">
        <v>0</v>
      </c>
      <c r="R59">
        <f t="shared" si="69"/>
        <v>0</v>
      </c>
      <c r="S59" s="139">
        <v>0</v>
      </c>
      <c r="T59" s="139">
        <f t="shared" si="70"/>
        <v>0</v>
      </c>
      <c r="X59" t="s">
        <v>380</v>
      </c>
      <c r="Y59" t="s">
        <v>49</v>
      </c>
      <c r="Z59" s="140">
        <f t="shared" ref="Z59:Z66" si="81">SUM(Z26:AA26)</f>
        <v>21139.300000000003</v>
      </c>
      <c r="AA59" s="140">
        <f t="shared" si="53"/>
        <v>30380.52</v>
      </c>
      <c r="AB59" s="140">
        <f t="shared" si="54"/>
        <v>817.82129999999995</v>
      </c>
      <c r="AC59" s="140"/>
      <c r="AD59" s="179">
        <f t="shared" si="55"/>
        <v>0.34413471590828454</v>
      </c>
      <c r="AE59" s="180">
        <f t="shared" si="56"/>
        <v>1.1416972179778894E-2</v>
      </c>
      <c r="AF59" s="179">
        <f t="shared" ref="AF59:AF66" si="82">AY26/AA59</f>
        <v>0.3847824197874164</v>
      </c>
      <c r="AG59" s="180">
        <f t="shared" ref="AG59:AG66" si="83">AX26/AA59</f>
        <v>1.0176978537562885E-2</v>
      </c>
      <c r="AH59" s="179">
        <f t="shared" ref="AH59:AH66" si="84">BL26/AB59</f>
        <v>0.91196120717325413</v>
      </c>
      <c r="AI59" s="180">
        <f t="shared" ref="AI59:AI66" si="85">BK26/AB59</f>
        <v>1.34503711263084E-2</v>
      </c>
      <c r="BO59" t="s">
        <v>572</v>
      </c>
      <c r="BP59" t="s">
        <v>136</v>
      </c>
      <c r="BQ59" s="170">
        <v>0</v>
      </c>
      <c r="BR59" s="170">
        <f t="shared" si="71"/>
        <v>0</v>
      </c>
      <c r="BS59" s="170">
        <v>0</v>
      </c>
      <c r="BT59" s="170">
        <f t="shared" si="72"/>
        <v>0</v>
      </c>
      <c r="BU59">
        <v>0</v>
      </c>
      <c r="BV59">
        <f t="shared" si="73"/>
        <v>0</v>
      </c>
      <c r="BW59">
        <v>0</v>
      </c>
      <c r="BX59">
        <f t="shared" si="51"/>
        <v>0</v>
      </c>
      <c r="BY59" s="170">
        <v>0</v>
      </c>
      <c r="BZ59" s="170">
        <f t="shared" si="74"/>
        <v>0</v>
      </c>
      <c r="CA59" s="170">
        <v>0</v>
      </c>
      <c r="CB59" s="170">
        <f t="shared" si="75"/>
        <v>0</v>
      </c>
      <c r="CC59">
        <v>0</v>
      </c>
      <c r="CD59">
        <f t="shared" si="76"/>
        <v>0</v>
      </c>
      <c r="CE59">
        <v>0</v>
      </c>
      <c r="CF59">
        <f t="shared" si="77"/>
        <v>0</v>
      </c>
      <c r="CG59" s="170">
        <v>0</v>
      </c>
      <c r="CH59" s="170">
        <f t="shared" si="78"/>
        <v>0</v>
      </c>
    </row>
    <row r="60" spans="1:86">
      <c r="A60" t="s">
        <v>293</v>
      </c>
      <c r="B60" t="s">
        <v>136</v>
      </c>
      <c r="C60" s="139">
        <v>0</v>
      </c>
      <c r="D60" s="139">
        <f t="shared" si="26"/>
        <v>0</v>
      </c>
      <c r="E60" s="139">
        <v>0</v>
      </c>
      <c r="F60" s="139">
        <f t="shared" si="27"/>
        <v>0</v>
      </c>
      <c r="G60">
        <v>3.6</v>
      </c>
      <c r="H60">
        <f t="shared" si="28"/>
        <v>3.6</v>
      </c>
      <c r="I60">
        <v>0</v>
      </c>
      <c r="J60">
        <f t="shared" si="2"/>
        <v>0</v>
      </c>
      <c r="K60" s="139">
        <v>0</v>
      </c>
      <c r="L60" s="139">
        <f t="shared" si="29"/>
        <v>0</v>
      </c>
      <c r="M60" s="139">
        <v>3.6</v>
      </c>
      <c r="N60" s="139">
        <f t="shared" si="30"/>
        <v>3.6</v>
      </c>
      <c r="O60">
        <v>0</v>
      </c>
      <c r="P60">
        <f t="shared" si="68"/>
        <v>0</v>
      </c>
      <c r="Q60">
        <v>0</v>
      </c>
      <c r="R60">
        <f t="shared" si="69"/>
        <v>0</v>
      </c>
      <c r="S60" s="139">
        <v>3.6</v>
      </c>
      <c r="T60" s="139">
        <f t="shared" si="70"/>
        <v>3.6</v>
      </c>
      <c r="X60" t="s">
        <v>380</v>
      </c>
      <c r="Y60" t="s">
        <v>50</v>
      </c>
      <c r="Z60" s="140">
        <f t="shared" si="81"/>
        <v>26701.594999999998</v>
      </c>
      <c r="AA60" s="140">
        <f t="shared" si="53"/>
        <v>26800.406999999999</v>
      </c>
      <c r="AB60" s="140">
        <f t="shared" si="54"/>
        <v>1958.2773999999999</v>
      </c>
      <c r="AC60" s="140"/>
      <c r="AD60" s="179">
        <f t="shared" si="55"/>
        <v>0.38509684533826544</v>
      </c>
      <c r="AE60" s="180">
        <f t="shared" si="56"/>
        <v>8.1797510598149662E-3</v>
      </c>
      <c r="AF60" s="179">
        <f t="shared" si="82"/>
        <v>0.47912891770636173</v>
      </c>
      <c r="AG60" s="180">
        <f t="shared" si="83"/>
        <v>1.4925146472589019E-4</v>
      </c>
      <c r="AH60" s="179">
        <f t="shared" si="84"/>
        <v>0.54360276026266763</v>
      </c>
      <c r="AI60" s="180">
        <f t="shared" si="85"/>
        <v>2.0426115319514999E-3</v>
      </c>
      <c r="BO60" t="s">
        <v>293</v>
      </c>
      <c r="BP60" t="s">
        <v>136</v>
      </c>
      <c r="BQ60" s="170">
        <v>0</v>
      </c>
      <c r="BR60" s="170">
        <f t="shared" si="71"/>
        <v>0</v>
      </c>
      <c r="BS60" s="170">
        <v>0</v>
      </c>
      <c r="BT60" s="170">
        <f t="shared" si="72"/>
        <v>0</v>
      </c>
      <c r="BU60">
        <v>3.6</v>
      </c>
      <c r="BV60">
        <f t="shared" si="73"/>
        <v>3.6</v>
      </c>
      <c r="BW60">
        <v>0</v>
      </c>
      <c r="BX60">
        <f t="shared" si="51"/>
        <v>0</v>
      </c>
      <c r="BY60" s="170">
        <v>0</v>
      </c>
      <c r="BZ60" s="170">
        <f t="shared" si="74"/>
        <v>0</v>
      </c>
      <c r="CA60" s="170">
        <v>3.6</v>
      </c>
      <c r="CB60" s="170">
        <f t="shared" si="75"/>
        <v>3.6</v>
      </c>
      <c r="CC60">
        <v>0</v>
      </c>
      <c r="CD60">
        <f t="shared" si="76"/>
        <v>0</v>
      </c>
      <c r="CE60">
        <v>0</v>
      </c>
      <c r="CF60">
        <f t="shared" si="77"/>
        <v>0</v>
      </c>
      <c r="CG60" s="170">
        <v>3.6</v>
      </c>
      <c r="CH60" s="170">
        <f t="shared" si="78"/>
        <v>3.6</v>
      </c>
    </row>
    <row r="61" spans="1:86">
      <c r="A61" t="s">
        <v>573</v>
      </c>
      <c r="B61" t="s">
        <v>136</v>
      </c>
      <c r="C61" s="139">
        <v>0</v>
      </c>
      <c r="D61" s="139">
        <f t="shared" si="26"/>
        <v>0</v>
      </c>
      <c r="E61" s="139">
        <v>0</v>
      </c>
      <c r="F61" s="139">
        <f t="shared" si="27"/>
        <v>0</v>
      </c>
      <c r="G61">
        <v>0</v>
      </c>
      <c r="H61">
        <f t="shared" si="28"/>
        <v>0</v>
      </c>
      <c r="I61">
        <v>0</v>
      </c>
      <c r="J61">
        <f t="shared" si="2"/>
        <v>0</v>
      </c>
      <c r="K61" s="139">
        <v>0</v>
      </c>
      <c r="L61" s="139">
        <f t="shared" si="29"/>
        <v>0</v>
      </c>
      <c r="M61" s="139">
        <v>0</v>
      </c>
      <c r="N61" s="139">
        <f t="shared" si="30"/>
        <v>0</v>
      </c>
      <c r="O61">
        <v>0</v>
      </c>
      <c r="P61">
        <f t="shared" si="68"/>
        <v>0</v>
      </c>
      <c r="Q61">
        <v>0</v>
      </c>
      <c r="R61">
        <f t="shared" si="69"/>
        <v>0</v>
      </c>
      <c r="S61" s="139">
        <v>0</v>
      </c>
      <c r="T61" s="139">
        <f t="shared" si="70"/>
        <v>0</v>
      </c>
      <c r="X61" t="s">
        <v>380</v>
      </c>
      <c r="Y61" t="s">
        <v>51</v>
      </c>
      <c r="Z61" s="140">
        <f t="shared" si="81"/>
        <v>10052.697</v>
      </c>
      <c r="AA61" s="140">
        <f t="shared" si="53"/>
        <v>37482.847000000002</v>
      </c>
      <c r="AB61" s="140">
        <f t="shared" si="54"/>
        <v>3258.8182999999999</v>
      </c>
      <c r="AC61" s="140"/>
      <c r="AD61" s="179">
        <f t="shared" si="55"/>
        <v>0.3130812557068019</v>
      </c>
      <c r="AE61" s="180">
        <f t="shared" si="56"/>
        <v>0</v>
      </c>
      <c r="AF61" s="179">
        <f t="shared" si="82"/>
        <v>0.32440358652585805</v>
      </c>
      <c r="AG61" s="180">
        <f t="shared" si="83"/>
        <v>6.5958143467597322E-3</v>
      </c>
      <c r="AH61" s="179">
        <f t="shared" si="84"/>
        <v>0.34642342593939651</v>
      </c>
      <c r="AI61" s="180">
        <f t="shared" si="85"/>
        <v>0</v>
      </c>
      <c r="BO61" t="s">
        <v>573</v>
      </c>
      <c r="BP61" t="s">
        <v>136</v>
      </c>
      <c r="BQ61" s="170">
        <v>0</v>
      </c>
      <c r="BR61" s="170">
        <f t="shared" si="71"/>
        <v>0</v>
      </c>
      <c r="BS61" s="170">
        <v>0</v>
      </c>
      <c r="BT61" s="170">
        <f t="shared" si="72"/>
        <v>0</v>
      </c>
      <c r="BU61">
        <v>0</v>
      </c>
      <c r="BV61">
        <f t="shared" si="73"/>
        <v>0</v>
      </c>
      <c r="BW61">
        <v>0</v>
      </c>
      <c r="BX61">
        <f t="shared" si="51"/>
        <v>0</v>
      </c>
      <c r="BY61" s="170">
        <v>0</v>
      </c>
      <c r="BZ61" s="170">
        <f t="shared" si="74"/>
        <v>0</v>
      </c>
      <c r="CA61" s="170">
        <v>0</v>
      </c>
      <c r="CB61" s="170">
        <f t="shared" si="75"/>
        <v>0</v>
      </c>
      <c r="CC61">
        <v>0</v>
      </c>
      <c r="CD61">
        <f t="shared" si="76"/>
        <v>0</v>
      </c>
      <c r="CE61">
        <v>0</v>
      </c>
      <c r="CF61">
        <f t="shared" si="77"/>
        <v>0</v>
      </c>
      <c r="CG61" s="170">
        <v>0</v>
      </c>
      <c r="CH61" s="170">
        <f t="shared" si="78"/>
        <v>0</v>
      </c>
    </row>
    <row r="62" spans="1:86">
      <c r="A62" t="s">
        <v>574</v>
      </c>
      <c r="B62" t="s">
        <v>136</v>
      </c>
      <c r="C62" s="139">
        <v>0</v>
      </c>
      <c r="D62" s="139">
        <f t="shared" si="26"/>
        <v>0</v>
      </c>
      <c r="E62" s="139">
        <v>0</v>
      </c>
      <c r="F62" s="139">
        <f t="shared" si="27"/>
        <v>0</v>
      </c>
      <c r="G62">
        <v>0</v>
      </c>
      <c r="H62">
        <f t="shared" si="28"/>
        <v>0</v>
      </c>
      <c r="I62">
        <v>0</v>
      </c>
      <c r="J62">
        <f t="shared" si="2"/>
        <v>0</v>
      </c>
      <c r="K62" s="139">
        <v>0</v>
      </c>
      <c r="L62" s="139">
        <f t="shared" si="29"/>
        <v>0</v>
      </c>
      <c r="M62" s="139">
        <v>0</v>
      </c>
      <c r="N62" s="139">
        <f t="shared" si="30"/>
        <v>0</v>
      </c>
      <c r="O62">
        <v>0</v>
      </c>
      <c r="P62">
        <f t="shared" si="68"/>
        <v>0</v>
      </c>
      <c r="Q62">
        <v>0</v>
      </c>
      <c r="R62">
        <f t="shared" si="69"/>
        <v>0</v>
      </c>
      <c r="S62" s="139">
        <v>0</v>
      </c>
      <c r="T62" s="139">
        <f t="shared" si="70"/>
        <v>0</v>
      </c>
      <c r="X62" t="s">
        <v>380</v>
      </c>
      <c r="Y62" t="s">
        <v>57</v>
      </c>
      <c r="Z62" s="140">
        <f t="shared" si="81"/>
        <v>19496.045000000002</v>
      </c>
      <c r="AA62" s="140">
        <f t="shared" si="53"/>
        <v>37340.415999999997</v>
      </c>
      <c r="AB62" s="140">
        <f t="shared" si="54"/>
        <v>914.24</v>
      </c>
      <c r="AC62" s="140"/>
      <c r="AD62" s="179">
        <f t="shared" si="55"/>
        <v>0.29462180662795967</v>
      </c>
      <c r="AE62" s="180">
        <f t="shared" si="56"/>
        <v>9.759774354234408E-3</v>
      </c>
      <c r="AF62" s="179">
        <f t="shared" si="82"/>
        <v>0.31746994998663108</v>
      </c>
      <c r="AG62" s="180">
        <f t="shared" si="83"/>
        <v>3.0145057837598809E-2</v>
      </c>
      <c r="AH62" s="179">
        <f t="shared" si="84"/>
        <v>8.4222961148057399E-2</v>
      </c>
      <c r="AI62" s="180">
        <f t="shared" si="85"/>
        <v>2.1876093804690236E-3</v>
      </c>
      <c r="BO62" t="s">
        <v>574</v>
      </c>
      <c r="BP62" t="s">
        <v>136</v>
      </c>
      <c r="BQ62" s="170">
        <v>0</v>
      </c>
      <c r="BR62" s="170">
        <f t="shared" si="71"/>
        <v>0</v>
      </c>
      <c r="BS62" s="170">
        <v>0</v>
      </c>
      <c r="BT62" s="170">
        <f t="shared" si="72"/>
        <v>0</v>
      </c>
      <c r="BU62">
        <v>0</v>
      </c>
      <c r="BV62">
        <f t="shared" si="73"/>
        <v>0</v>
      </c>
      <c r="BW62">
        <v>0</v>
      </c>
      <c r="BX62">
        <f t="shared" si="51"/>
        <v>0</v>
      </c>
      <c r="BY62" s="170">
        <v>0</v>
      </c>
      <c r="BZ62" s="170">
        <f t="shared" si="74"/>
        <v>0</v>
      </c>
      <c r="CA62" s="170">
        <v>0</v>
      </c>
      <c r="CB62" s="170">
        <f t="shared" si="75"/>
        <v>0</v>
      </c>
      <c r="CC62">
        <v>0</v>
      </c>
      <c r="CD62">
        <f t="shared" si="76"/>
        <v>0</v>
      </c>
      <c r="CE62">
        <v>0</v>
      </c>
      <c r="CF62">
        <f t="shared" si="77"/>
        <v>0</v>
      </c>
      <c r="CG62" s="170">
        <v>0</v>
      </c>
      <c r="CH62" s="170">
        <f t="shared" si="78"/>
        <v>0</v>
      </c>
    </row>
    <row r="63" spans="1:86">
      <c r="A63" t="s">
        <v>575</v>
      </c>
      <c r="B63" t="s">
        <v>136</v>
      </c>
      <c r="C63" s="139">
        <v>0</v>
      </c>
      <c r="D63" s="139">
        <f t="shared" si="26"/>
        <v>0</v>
      </c>
      <c r="E63" s="139">
        <v>0</v>
      </c>
      <c r="F63" s="139">
        <f t="shared" si="27"/>
        <v>0</v>
      </c>
      <c r="G63">
        <v>0</v>
      </c>
      <c r="H63">
        <f t="shared" si="28"/>
        <v>0</v>
      </c>
      <c r="I63">
        <v>0</v>
      </c>
      <c r="J63">
        <f t="shared" si="2"/>
        <v>0</v>
      </c>
      <c r="K63" s="139">
        <v>0</v>
      </c>
      <c r="L63" s="139">
        <f t="shared" si="29"/>
        <v>0</v>
      </c>
      <c r="M63" s="139">
        <v>0</v>
      </c>
      <c r="N63" s="139">
        <f t="shared" si="30"/>
        <v>0</v>
      </c>
      <c r="O63">
        <v>0</v>
      </c>
      <c r="P63">
        <f t="shared" si="68"/>
        <v>0</v>
      </c>
      <c r="Q63">
        <v>0</v>
      </c>
      <c r="R63">
        <f t="shared" si="69"/>
        <v>0</v>
      </c>
      <c r="S63" s="139">
        <v>0</v>
      </c>
      <c r="T63" s="139">
        <f t="shared" si="70"/>
        <v>0</v>
      </c>
      <c r="X63" t="s">
        <v>380</v>
      </c>
      <c r="Y63" t="s">
        <v>63</v>
      </c>
      <c r="Z63" s="140">
        <f t="shared" si="81"/>
        <v>36521.546999999999</v>
      </c>
      <c r="AA63" s="140">
        <f t="shared" si="53"/>
        <v>40416.745000000003</v>
      </c>
      <c r="AB63" s="140">
        <f t="shared" si="54"/>
        <v>14</v>
      </c>
      <c r="AC63" s="140"/>
      <c r="AD63" s="179">
        <f t="shared" si="55"/>
        <v>0.40088608513763124</v>
      </c>
      <c r="AE63" s="180">
        <f t="shared" si="56"/>
        <v>0</v>
      </c>
      <c r="AF63" s="179">
        <f t="shared" si="82"/>
        <v>0.44490371503197501</v>
      </c>
      <c r="AG63" s="180">
        <f t="shared" si="83"/>
        <v>3.2852175503000056E-2</v>
      </c>
      <c r="AH63" s="179">
        <f t="shared" si="84"/>
        <v>0.42857142857142855</v>
      </c>
      <c r="AI63" s="180">
        <f t="shared" si="85"/>
        <v>0</v>
      </c>
      <c r="BO63" t="s">
        <v>575</v>
      </c>
      <c r="BP63" t="s">
        <v>136</v>
      </c>
      <c r="BQ63" s="170">
        <v>0</v>
      </c>
      <c r="BR63" s="170">
        <f t="shared" si="71"/>
        <v>0</v>
      </c>
      <c r="BS63" s="170">
        <v>0</v>
      </c>
      <c r="BT63" s="170">
        <f t="shared" si="72"/>
        <v>0</v>
      </c>
      <c r="BU63">
        <v>0</v>
      </c>
      <c r="BV63">
        <f t="shared" si="73"/>
        <v>0</v>
      </c>
      <c r="BW63">
        <v>0</v>
      </c>
      <c r="BX63">
        <f t="shared" si="51"/>
        <v>0</v>
      </c>
      <c r="BY63" s="170">
        <v>0</v>
      </c>
      <c r="BZ63" s="170">
        <f t="shared" si="74"/>
        <v>0</v>
      </c>
      <c r="CA63" s="170">
        <v>0</v>
      </c>
      <c r="CB63" s="170">
        <f t="shared" si="75"/>
        <v>0</v>
      </c>
      <c r="CC63">
        <v>0</v>
      </c>
      <c r="CD63">
        <f t="shared" si="76"/>
        <v>0</v>
      </c>
      <c r="CE63">
        <v>0</v>
      </c>
      <c r="CF63">
        <f t="shared" si="77"/>
        <v>0</v>
      </c>
      <c r="CG63" s="170">
        <v>0</v>
      </c>
      <c r="CH63" s="170">
        <f t="shared" si="78"/>
        <v>0</v>
      </c>
    </row>
    <row r="64" spans="1:86">
      <c r="A64" t="s">
        <v>273</v>
      </c>
      <c r="B64" t="s">
        <v>136</v>
      </c>
      <c r="C64" s="139">
        <v>100</v>
      </c>
      <c r="D64" s="139">
        <f>C64-30</f>
        <v>70</v>
      </c>
      <c r="E64" s="139">
        <v>80</v>
      </c>
      <c r="F64" s="139">
        <f>E64-20</f>
        <v>60</v>
      </c>
      <c r="G64">
        <f>27.7+1.6+2.6</f>
        <v>31.900000000000002</v>
      </c>
      <c r="H64">
        <f>G64-10</f>
        <v>21.900000000000002</v>
      </c>
      <c r="I64">
        <v>100</v>
      </c>
      <c r="J64">
        <f>I64-30</f>
        <v>70</v>
      </c>
      <c r="K64" s="139">
        <v>80</v>
      </c>
      <c r="L64" s="139">
        <f>K64-20</f>
        <v>60</v>
      </c>
      <c r="M64" s="139">
        <f>27.7+1.6+2.6</f>
        <v>31.900000000000002</v>
      </c>
      <c r="N64" s="139">
        <f>M64-10</f>
        <v>21.900000000000002</v>
      </c>
      <c r="O64">
        <v>100</v>
      </c>
      <c r="P64">
        <f t="shared" si="68"/>
        <v>70</v>
      </c>
      <c r="Q64">
        <v>80</v>
      </c>
      <c r="R64">
        <f t="shared" si="69"/>
        <v>60</v>
      </c>
      <c r="S64" s="139">
        <f>27.7+1.6+2.6</f>
        <v>31.900000000000002</v>
      </c>
      <c r="T64" s="139">
        <f t="shared" si="70"/>
        <v>21.900000000000002</v>
      </c>
      <c r="X64" t="s">
        <v>380</v>
      </c>
      <c r="Y64" t="s">
        <v>65</v>
      </c>
      <c r="Z64" s="140">
        <f t="shared" si="81"/>
        <v>16255.555</v>
      </c>
      <c r="AA64" s="140">
        <f t="shared" si="53"/>
        <v>35308.106999999996</v>
      </c>
      <c r="AB64" s="140">
        <f t="shared" si="54"/>
        <v>3116.7213000000002</v>
      </c>
      <c r="AC64" s="140"/>
      <c r="AD64" s="179">
        <f t="shared" si="55"/>
        <v>0.53900134446347725</v>
      </c>
      <c r="AE64" s="180">
        <f t="shared" si="56"/>
        <v>0</v>
      </c>
      <c r="AF64" s="179">
        <f t="shared" si="82"/>
        <v>0.47548938265084567</v>
      </c>
      <c r="AG64" s="180">
        <f t="shared" si="83"/>
        <v>8.4966322323652197E-5</v>
      </c>
      <c r="AH64" s="179">
        <f t="shared" si="84"/>
        <v>0.4809727453012882</v>
      </c>
      <c r="AI64" s="180">
        <f t="shared" si="85"/>
        <v>0</v>
      </c>
      <c r="BO64" t="s">
        <v>273</v>
      </c>
      <c r="BP64" t="s">
        <v>136</v>
      </c>
      <c r="BQ64" s="170">
        <v>100</v>
      </c>
      <c r="BR64" s="170">
        <f>BQ64-30</f>
        <v>70</v>
      </c>
      <c r="BS64" s="170">
        <v>80</v>
      </c>
      <c r="BT64" s="170">
        <f>BS64-20</f>
        <v>60</v>
      </c>
      <c r="BU64">
        <f>27.7+1.6+2.6</f>
        <v>31.900000000000002</v>
      </c>
      <c r="BV64">
        <f>BU64-10</f>
        <v>21.900000000000002</v>
      </c>
      <c r="BW64">
        <v>100</v>
      </c>
      <c r="BX64">
        <f>BW64-30</f>
        <v>70</v>
      </c>
      <c r="BY64" s="170">
        <v>80</v>
      </c>
      <c r="BZ64" s="170">
        <f>BY64-20</f>
        <v>60</v>
      </c>
      <c r="CA64" s="170">
        <f>27.7+1.6+2.6</f>
        <v>31.900000000000002</v>
      </c>
      <c r="CB64" s="170">
        <f>CA64-10</f>
        <v>21.900000000000002</v>
      </c>
      <c r="CC64">
        <v>100</v>
      </c>
      <c r="CD64">
        <f t="shared" si="76"/>
        <v>70</v>
      </c>
      <c r="CE64">
        <v>80</v>
      </c>
      <c r="CF64">
        <f t="shared" si="77"/>
        <v>60</v>
      </c>
      <c r="CG64" s="170">
        <f>27.7+1.6+2.6</f>
        <v>31.900000000000002</v>
      </c>
      <c r="CH64" s="170">
        <f t="shared" si="78"/>
        <v>21.900000000000002</v>
      </c>
    </row>
    <row r="65" spans="1:86">
      <c r="A65" t="s">
        <v>285</v>
      </c>
      <c r="B65" t="s">
        <v>136</v>
      </c>
      <c r="C65" s="139">
        <v>0</v>
      </c>
      <c r="D65" s="139">
        <f>C65+30</f>
        <v>30</v>
      </c>
      <c r="E65" s="139">
        <v>20</v>
      </c>
      <c r="F65" s="139">
        <f t="shared" si="27"/>
        <v>20</v>
      </c>
      <c r="G65">
        <f>0.3+0.8</f>
        <v>1.1000000000000001</v>
      </c>
      <c r="H65">
        <f>G65+10</f>
        <v>11.1</v>
      </c>
      <c r="I65">
        <v>0</v>
      </c>
      <c r="J65">
        <f>I65+30</f>
        <v>30</v>
      </c>
      <c r="K65" s="139">
        <v>20</v>
      </c>
      <c r="L65" s="139">
        <f t="shared" si="29"/>
        <v>20</v>
      </c>
      <c r="M65" s="139">
        <f>0.3+0.8</f>
        <v>1.1000000000000001</v>
      </c>
      <c r="N65" s="139">
        <f>M65+10</f>
        <v>11.1</v>
      </c>
      <c r="O65">
        <v>0</v>
      </c>
      <c r="P65">
        <f t="shared" si="68"/>
        <v>30</v>
      </c>
      <c r="Q65">
        <v>20</v>
      </c>
      <c r="R65">
        <f t="shared" si="69"/>
        <v>20</v>
      </c>
      <c r="S65" s="139">
        <f>0.3+0.8</f>
        <v>1.1000000000000001</v>
      </c>
      <c r="T65" s="139">
        <f t="shared" si="70"/>
        <v>11.1</v>
      </c>
      <c r="X65" t="s">
        <v>380</v>
      </c>
      <c r="Y65" t="s">
        <v>67</v>
      </c>
      <c r="Z65" s="140">
        <f t="shared" si="81"/>
        <v>39568.794000000002</v>
      </c>
      <c r="AA65" s="140">
        <f t="shared" si="53"/>
        <v>23410.594000000001</v>
      </c>
      <c r="AB65" s="140">
        <f t="shared" si="54"/>
        <v>2018.9775</v>
      </c>
      <c r="AC65" s="140"/>
      <c r="AD65" s="179">
        <f t="shared" si="55"/>
        <v>0.45446267581468369</v>
      </c>
      <c r="AE65" s="180">
        <f t="shared" si="56"/>
        <v>0</v>
      </c>
      <c r="AF65" s="179">
        <f t="shared" si="82"/>
        <v>0.37969989142522398</v>
      </c>
      <c r="AG65" s="180">
        <f t="shared" si="83"/>
        <v>9.5109974569632869E-3</v>
      </c>
      <c r="AH65" s="179">
        <f t="shared" si="84"/>
        <v>0.47481901110834568</v>
      </c>
      <c r="AI65" s="180">
        <f t="shared" si="85"/>
        <v>9.9060044007424561E-4</v>
      </c>
      <c r="BO65" t="s">
        <v>285</v>
      </c>
      <c r="BP65" t="s">
        <v>136</v>
      </c>
      <c r="BQ65" s="170">
        <v>0</v>
      </c>
      <c r="BR65" s="170">
        <f>BQ65+30</f>
        <v>30</v>
      </c>
      <c r="BS65" s="170">
        <v>20</v>
      </c>
      <c r="BT65" s="170">
        <f t="shared" ref="BT65:BT68" si="86">BS65</f>
        <v>20</v>
      </c>
      <c r="BU65">
        <f>0.3+0.8</f>
        <v>1.1000000000000001</v>
      </c>
      <c r="BV65">
        <f>BU65+10</f>
        <v>11.1</v>
      </c>
      <c r="BW65">
        <v>0</v>
      </c>
      <c r="BX65">
        <f>BW65+30</f>
        <v>30</v>
      </c>
      <c r="BY65" s="170">
        <v>20</v>
      </c>
      <c r="BZ65" s="170">
        <f t="shared" ref="BZ65:BZ68" si="87">BY65</f>
        <v>20</v>
      </c>
      <c r="CA65" s="170">
        <f>0.3+0.8</f>
        <v>1.1000000000000001</v>
      </c>
      <c r="CB65" s="170">
        <f>CA65+10</f>
        <v>11.1</v>
      </c>
      <c r="CC65">
        <v>0</v>
      </c>
      <c r="CD65">
        <f t="shared" si="76"/>
        <v>30</v>
      </c>
      <c r="CE65">
        <v>20</v>
      </c>
      <c r="CF65">
        <f t="shared" si="77"/>
        <v>20</v>
      </c>
      <c r="CG65" s="170">
        <f>0.3+0.8</f>
        <v>1.1000000000000001</v>
      </c>
      <c r="CH65" s="170">
        <f t="shared" si="78"/>
        <v>11.1</v>
      </c>
    </row>
    <row r="66" spans="1:86">
      <c r="A66" t="s">
        <v>278</v>
      </c>
      <c r="B66" t="s">
        <v>136</v>
      </c>
      <c r="C66" s="139">
        <v>0</v>
      </c>
      <c r="D66" s="139">
        <f t="shared" si="26"/>
        <v>0</v>
      </c>
      <c r="E66" s="139">
        <v>0</v>
      </c>
      <c r="F66" s="139">
        <f t="shared" si="27"/>
        <v>0</v>
      </c>
      <c r="G66">
        <v>12.8</v>
      </c>
      <c r="H66">
        <f t="shared" si="28"/>
        <v>12.8</v>
      </c>
      <c r="I66">
        <v>0</v>
      </c>
      <c r="J66">
        <f t="shared" si="2"/>
        <v>0</v>
      </c>
      <c r="K66" s="139">
        <v>0</v>
      </c>
      <c r="L66" s="139">
        <f t="shared" si="29"/>
        <v>0</v>
      </c>
      <c r="M66" s="139">
        <v>12.8</v>
      </c>
      <c r="N66" s="139">
        <f t="shared" si="30"/>
        <v>12.8</v>
      </c>
      <c r="O66">
        <v>0</v>
      </c>
      <c r="P66">
        <f t="shared" si="68"/>
        <v>0</v>
      </c>
      <c r="Q66">
        <v>0</v>
      </c>
      <c r="R66">
        <f t="shared" si="69"/>
        <v>0</v>
      </c>
      <c r="S66" s="139">
        <v>12.8</v>
      </c>
      <c r="T66" s="139">
        <f t="shared" si="70"/>
        <v>12.8</v>
      </c>
      <c r="X66" t="s">
        <v>380</v>
      </c>
      <c r="Y66" t="s">
        <v>69</v>
      </c>
      <c r="Z66" s="140">
        <f t="shared" si="81"/>
        <v>12946.67</v>
      </c>
      <c r="AA66" s="140">
        <f t="shared" si="53"/>
        <v>37437.542999999998</v>
      </c>
      <c r="AB66" s="140">
        <f t="shared" si="54"/>
        <v>789.25260000000003</v>
      </c>
      <c r="AC66" s="140"/>
      <c r="AD66" s="179">
        <f t="shared" si="55"/>
        <v>0.36580865967851189</v>
      </c>
      <c r="AE66" s="180">
        <f t="shared" si="56"/>
        <v>0</v>
      </c>
      <c r="AF66" s="179">
        <f t="shared" si="82"/>
        <v>0.44807748200783365</v>
      </c>
      <c r="AG66" s="180">
        <f t="shared" si="83"/>
        <v>6.6838948271792306E-3</v>
      </c>
      <c r="AH66" s="179">
        <f t="shared" si="84"/>
        <v>0.66511317162591543</v>
      </c>
      <c r="AI66" s="180">
        <f t="shared" si="85"/>
        <v>0</v>
      </c>
      <c r="BO66" t="s">
        <v>278</v>
      </c>
      <c r="BP66" t="s">
        <v>136</v>
      </c>
      <c r="BQ66" s="170">
        <v>0</v>
      </c>
      <c r="BR66" s="170">
        <f t="shared" ref="BR66:BR79" si="88">BQ66</f>
        <v>0</v>
      </c>
      <c r="BS66" s="170">
        <v>0</v>
      </c>
      <c r="BT66" s="170">
        <f t="shared" si="86"/>
        <v>0</v>
      </c>
      <c r="BU66">
        <v>12.8</v>
      </c>
      <c r="BV66">
        <f t="shared" ref="BV66:BV79" si="89">BU66</f>
        <v>12.8</v>
      </c>
      <c r="BW66">
        <v>0</v>
      </c>
      <c r="BX66">
        <f t="shared" ref="BX66:BX79" si="90">BW66</f>
        <v>0</v>
      </c>
      <c r="BY66" s="170">
        <v>0</v>
      </c>
      <c r="BZ66" s="170">
        <f t="shared" si="87"/>
        <v>0</v>
      </c>
      <c r="CA66" s="170">
        <v>12.8</v>
      </c>
      <c r="CB66" s="170">
        <f t="shared" ref="CB66:CB79" si="91">CA66</f>
        <v>12.8</v>
      </c>
      <c r="CC66">
        <v>0</v>
      </c>
      <c r="CD66">
        <f t="shared" si="76"/>
        <v>0</v>
      </c>
      <c r="CE66">
        <v>0</v>
      </c>
      <c r="CF66">
        <f t="shared" si="77"/>
        <v>0</v>
      </c>
      <c r="CG66" s="170">
        <v>12.8</v>
      </c>
      <c r="CH66" s="170">
        <f t="shared" si="78"/>
        <v>12.8</v>
      </c>
    </row>
    <row r="67" spans="1:86">
      <c r="A67" t="s">
        <v>576</v>
      </c>
      <c r="B67" t="s">
        <v>136</v>
      </c>
      <c r="C67" s="139">
        <v>0</v>
      </c>
      <c r="D67" s="139">
        <f t="shared" si="26"/>
        <v>0</v>
      </c>
      <c r="E67" s="139">
        <v>0</v>
      </c>
      <c r="F67" s="139">
        <f t="shared" si="27"/>
        <v>0</v>
      </c>
      <c r="G67">
        <v>0</v>
      </c>
      <c r="H67">
        <f t="shared" si="28"/>
        <v>0</v>
      </c>
      <c r="I67">
        <v>0</v>
      </c>
      <c r="J67">
        <f t="shared" si="2"/>
        <v>0</v>
      </c>
      <c r="K67" s="139">
        <v>0</v>
      </c>
      <c r="L67" s="139">
        <f t="shared" si="29"/>
        <v>0</v>
      </c>
      <c r="M67" s="139">
        <v>0</v>
      </c>
      <c r="N67" s="139">
        <f t="shared" si="30"/>
        <v>0</v>
      </c>
      <c r="O67">
        <v>0</v>
      </c>
      <c r="P67">
        <f t="shared" si="68"/>
        <v>0</v>
      </c>
      <c r="Q67">
        <v>0</v>
      </c>
      <c r="R67">
        <f t="shared" si="69"/>
        <v>0</v>
      </c>
      <c r="S67" s="139">
        <v>0</v>
      </c>
      <c r="T67" s="139">
        <f t="shared" si="70"/>
        <v>0</v>
      </c>
      <c r="Z67" s="151">
        <f>SUM(Z59:Z66)</f>
        <v>182682.20300000001</v>
      </c>
      <c r="AA67" s="151">
        <f t="shared" ref="AA67:AB67" si="92">SUM(AA59:AA66)</f>
        <v>268577.179</v>
      </c>
      <c r="AB67" s="151">
        <f t="shared" si="92"/>
        <v>12888.108400000001</v>
      </c>
      <c r="AC67" s="140"/>
      <c r="AD67" s="183">
        <f>AVERAGE(AD59:AD66)</f>
        <v>0.38713667358445197</v>
      </c>
      <c r="AE67" s="184">
        <f t="shared" ref="AE67:AI67" si="93">AVERAGE(AE59:AE66)</f>
        <v>3.6695621992285338E-3</v>
      </c>
      <c r="AF67" s="183">
        <f t="shared" si="93"/>
        <v>0.40674441814026818</v>
      </c>
      <c r="AG67" s="184">
        <f t="shared" si="93"/>
        <v>1.2024892037014193E-2</v>
      </c>
      <c r="AH67" s="183">
        <f t="shared" si="93"/>
        <v>0.49196083889129422</v>
      </c>
      <c r="AI67" s="184">
        <f t="shared" si="93"/>
        <v>2.3338990598503963E-3</v>
      </c>
      <c r="BO67" t="s">
        <v>576</v>
      </c>
      <c r="BP67" t="s">
        <v>136</v>
      </c>
      <c r="BQ67" s="170">
        <v>0</v>
      </c>
      <c r="BR67" s="170">
        <f t="shared" si="88"/>
        <v>0</v>
      </c>
      <c r="BS67" s="170">
        <v>0</v>
      </c>
      <c r="BT67" s="170">
        <f t="shared" si="86"/>
        <v>0</v>
      </c>
      <c r="BU67">
        <v>0</v>
      </c>
      <c r="BV67">
        <f t="shared" si="89"/>
        <v>0</v>
      </c>
      <c r="BW67">
        <v>0</v>
      </c>
      <c r="BX67">
        <f t="shared" si="90"/>
        <v>0</v>
      </c>
      <c r="BY67" s="170">
        <v>0</v>
      </c>
      <c r="BZ67" s="170">
        <f t="shared" si="87"/>
        <v>0</v>
      </c>
      <c r="CA67" s="170">
        <v>0</v>
      </c>
      <c r="CB67" s="170">
        <f t="shared" si="91"/>
        <v>0</v>
      </c>
      <c r="CC67">
        <v>0</v>
      </c>
      <c r="CD67">
        <f t="shared" si="76"/>
        <v>0</v>
      </c>
      <c r="CE67">
        <v>0</v>
      </c>
      <c r="CF67">
        <f t="shared" si="77"/>
        <v>0</v>
      </c>
      <c r="CG67" s="170">
        <v>0</v>
      </c>
      <c r="CH67" s="170">
        <f t="shared" si="78"/>
        <v>0</v>
      </c>
    </row>
    <row r="68" spans="1:86">
      <c r="A68" t="s">
        <v>577</v>
      </c>
      <c r="B68" t="s">
        <v>136</v>
      </c>
      <c r="C68" s="139">
        <v>0</v>
      </c>
      <c r="D68" s="139">
        <f t="shared" si="26"/>
        <v>0</v>
      </c>
      <c r="E68" s="139">
        <v>0</v>
      </c>
      <c r="F68" s="139">
        <f t="shared" si="27"/>
        <v>0</v>
      </c>
      <c r="G68">
        <v>0</v>
      </c>
      <c r="H68">
        <f t="shared" si="28"/>
        <v>0</v>
      </c>
      <c r="I68">
        <v>0</v>
      </c>
      <c r="J68">
        <f t="shared" si="2"/>
        <v>0</v>
      </c>
      <c r="K68" s="139">
        <v>0</v>
      </c>
      <c r="L68" s="139">
        <f t="shared" si="29"/>
        <v>0</v>
      </c>
      <c r="M68" s="139">
        <v>0</v>
      </c>
      <c r="N68" s="139">
        <f t="shared" si="30"/>
        <v>0</v>
      </c>
      <c r="O68">
        <v>0</v>
      </c>
      <c r="P68">
        <f t="shared" si="68"/>
        <v>0</v>
      </c>
      <c r="Q68">
        <v>0</v>
      </c>
      <c r="R68">
        <f t="shared" si="69"/>
        <v>0</v>
      </c>
      <c r="S68" s="139">
        <v>0</v>
      </c>
      <c r="T68" s="139">
        <f t="shared" si="70"/>
        <v>0</v>
      </c>
      <c r="Z68" s="140"/>
      <c r="AD68" s="185">
        <f>AVERAGE(AD37:AD43,AD45:AD49,AD51:AD57,AD59:AD66)</f>
        <v>0.40060056965354868</v>
      </c>
      <c r="AE68" s="186">
        <f t="shared" ref="AE68:AI68" si="94">AVERAGE(AE37:AE43,AE45:AE49,AE51:AE57,AE59:AE66)</f>
        <v>1.0192990730592457E-2</v>
      </c>
      <c r="AF68" s="185">
        <f t="shared" si="94"/>
        <v>0.40886706887267232</v>
      </c>
      <c r="AG68" s="186">
        <f t="shared" si="94"/>
        <v>1.3684492374199383E-2</v>
      </c>
      <c r="AH68" s="185">
        <f t="shared" si="94"/>
        <v>0.45104255393444964</v>
      </c>
      <c r="AI68" s="186">
        <f t="shared" si="94"/>
        <v>1.0772732236204993E-2</v>
      </c>
      <c r="BO68" t="s">
        <v>577</v>
      </c>
      <c r="BP68" t="s">
        <v>136</v>
      </c>
      <c r="BQ68" s="170">
        <v>0</v>
      </c>
      <c r="BR68" s="170">
        <f t="shared" si="88"/>
        <v>0</v>
      </c>
      <c r="BS68" s="170">
        <v>0</v>
      </c>
      <c r="BT68" s="170">
        <f t="shared" si="86"/>
        <v>0</v>
      </c>
      <c r="BU68">
        <v>0</v>
      </c>
      <c r="BV68">
        <f t="shared" si="89"/>
        <v>0</v>
      </c>
      <c r="BW68">
        <v>0</v>
      </c>
      <c r="BX68">
        <f t="shared" si="90"/>
        <v>0</v>
      </c>
      <c r="BY68" s="170">
        <v>0</v>
      </c>
      <c r="BZ68" s="170">
        <f t="shared" si="87"/>
        <v>0</v>
      </c>
      <c r="CA68" s="170">
        <v>0</v>
      </c>
      <c r="CB68" s="170">
        <f t="shared" si="91"/>
        <v>0</v>
      </c>
      <c r="CC68">
        <v>0</v>
      </c>
      <c r="CD68">
        <f t="shared" si="76"/>
        <v>0</v>
      </c>
      <c r="CE68">
        <v>0</v>
      </c>
      <c r="CF68">
        <f t="shared" si="77"/>
        <v>0</v>
      </c>
      <c r="CG68" s="170">
        <v>0</v>
      </c>
      <c r="CH68" s="170">
        <f t="shared" si="78"/>
        <v>0</v>
      </c>
    </row>
    <row r="69" spans="1:86">
      <c r="A69" t="s">
        <v>269</v>
      </c>
      <c r="B69" t="s">
        <v>136</v>
      </c>
      <c r="C69" s="139">
        <v>0</v>
      </c>
      <c r="D69" s="139">
        <f t="shared" si="26"/>
        <v>0</v>
      </c>
      <c r="E69" s="139">
        <v>0</v>
      </c>
      <c r="F69" s="139">
        <f>E69+20</f>
        <v>20</v>
      </c>
      <c r="G69">
        <f>37.5+2.4+0.5</f>
        <v>40.4</v>
      </c>
      <c r="H69">
        <f t="shared" si="28"/>
        <v>40.4</v>
      </c>
      <c r="I69">
        <v>0</v>
      </c>
      <c r="J69">
        <f t="shared" si="2"/>
        <v>0</v>
      </c>
      <c r="K69" s="139">
        <v>0</v>
      </c>
      <c r="L69" s="139">
        <f>K69+20</f>
        <v>20</v>
      </c>
      <c r="M69" s="139">
        <f>37.5+2.4+0.5</f>
        <v>40.4</v>
      </c>
      <c r="N69" s="139">
        <f t="shared" si="30"/>
        <v>40.4</v>
      </c>
      <c r="O69">
        <v>0</v>
      </c>
      <c r="P69">
        <f t="shared" si="68"/>
        <v>0</v>
      </c>
      <c r="Q69">
        <v>0</v>
      </c>
      <c r="R69">
        <f t="shared" si="69"/>
        <v>20</v>
      </c>
      <c r="S69" s="139">
        <f>37.5+2.4+0.5</f>
        <v>40.4</v>
      </c>
      <c r="T69" s="139">
        <f t="shared" si="70"/>
        <v>40.4</v>
      </c>
      <c r="Y69" t="s">
        <v>688</v>
      </c>
      <c r="Z69" s="153">
        <f>Z44+Z50+Z58+Z67</f>
        <v>526080.94099999999</v>
      </c>
      <c r="AA69" s="153">
        <f t="shared" ref="AA69:AB69" si="95">AA44+AA50+AA58+AA67</f>
        <v>945408.72800000012</v>
      </c>
      <c r="AB69" s="153">
        <f t="shared" si="95"/>
        <v>101214.71209999999</v>
      </c>
      <c r="AC69" s="152">
        <f>SUM(Z69:AB69)</f>
        <v>1572704.3811000001</v>
      </c>
      <c r="BO69" t="s">
        <v>269</v>
      </c>
      <c r="BP69" t="s">
        <v>136</v>
      </c>
      <c r="BQ69" s="170">
        <v>0</v>
      </c>
      <c r="BR69" s="170">
        <f t="shared" si="88"/>
        <v>0</v>
      </c>
      <c r="BS69" s="170">
        <v>0</v>
      </c>
      <c r="BT69" s="170">
        <f>BS69+20</f>
        <v>20</v>
      </c>
      <c r="BU69">
        <f>37.5+2.4+0.5</f>
        <v>40.4</v>
      </c>
      <c r="BV69">
        <f t="shared" si="89"/>
        <v>40.4</v>
      </c>
      <c r="BW69">
        <v>0</v>
      </c>
      <c r="BX69">
        <f t="shared" si="90"/>
        <v>0</v>
      </c>
      <c r="BY69" s="170">
        <v>0</v>
      </c>
      <c r="BZ69" s="170">
        <f>BY69+20</f>
        <v>20</v>
      </c>
      <c r="CA69" s="170">
        <f>37.5+2.4+0.5</f>
        <v>40.4</v>
      </c>
      <c r="CB69" s="170">
        <f t="shared" si="91"/>
        <v>40.4</v>
      </c>
      <c r="CC69">
        <v>0</v>
      </c>
      <c r="CD69">
        <f t="shared" si="76"/>
        <v>0</v>
      </c>
      <c r="CE69">
        <v>0</v>
      </c>
      <c r="CF69">
        <f t="shared" si="77"/>
        <v>20</v>
      </c>
      <c r="CG69" s="170">
        <f>37.5+2.4+0.5</f>
        <v>40.4</v>
      </c>
      <c r="CH69" s="170">
        <f t="shared" si="78"/>
        <v>40.4</v>
      </c>
    </row>
    <row r="70" spans="1:86">
      <c r="A70" t="s">
        <v>288</v>
      </c>
      <c r="B70" t="s">
        <v>136</v>
      </c>
      <c r="C70" s="139">
        <v>0</v>
      </c>
      <c r="D70" s="139">
        <f t="shared" si="26"/>
        <v>0</v>
      </c>
      <c r="E70" s="139">
        <v>0</v>
      </c>
      <c r="F70" s="139">
        <f t="shared" si="27"/>
        <v>0</v>
      </c>
      <c r="G70">
        <v>1.2</v>
      </c>
      <c r="H70">
        <f t="shared" si="28"/>
        <v>1.2</v>
      </c>
      <c r="I70">
        <v>0</v>
      </c>
      <c r="J70">
        <f t="shared" si="2"/>
        <v>0</v>
      </c>
      <c r="K70" s="139">
        <v>0</v>
      </c>
      <c r="L70" s="139">
        <f t="shared" si="29"/>
        <v>0</v>
      </c>
      <c r="M70" s="139">
        <v>1.2</v>
      </c>
      <c r="N70" s="139">
        <f t="shared" si="30"/>
        <v>1.2</v>
      </c>
      <c r="O70">
        <v>0</v>
      </c>
      <c r="P70">
        <f t="shared" si="68"/>
        <v>0</v>
      </c>
      <c r="Q70">
        <v>0</v>
      </c>
      <c r="R70">
        <f t="shared" si="69"/>
        <v>0</v>
      </c>
      <c r="S70" s="139">
        <v>1.2</v>
      </c>
      <c r="T70" s="139">
        <f t="shared" si="70"/>
        <v>1.2</v>
      </c>
      <c r="Y70" t="s">
        <v>689</v>
      </c>
      <c r="Z70" s="153"/>
      <c r="AA70" s="153"/>
      <c r="AB70" s="153"/>
      <c r="AC70" s="152">
        <v>1608499.0602799999</v>
      </c>
      <c r="AD70">
        <f>AC69/AC70</f>
        <v>0.97774653398071065</v>
      </c>
      <c r="BO70" t="s">
        <v>288</v>
      </c>
      <c r="BP70" t="s">
        <v>136</v>
      </c>
      <c r="BQ70" s="170">
        <v>0</v>
      </c>
      <c r="BR70" s="170">
        <f t="shared" si="88"/>
        <v>0</v>
      </c>
      <c r="BS70" s="170">
        <v>0</v>
      </c>
      <c r="BT70" s="170">
        <f t="shared" ref="BT70:BT79" si="96">BS70</f>
        <v>0</v>
      </c>
      <c r="BU70">
        <v>1.2</v>
      </c>
      <c r="BV70">
        <f t="shared" si="89"/>
        <v>1.2</v>
      </c>
      <c r="BW70">
        <v>0</v>
      </c>
      <c r="BX70">
        <f t="shared" si="90"/>
        <v>0</v>
      </c>
      <c r="BY70" s="170">
        <v>0</v>
      </c>
      <c r="BZ70" s="170">
        <f t="shared" ref="BZ70:BZ79" si="97">BY70</f>
        <v>0</v>
      </c>
      <c r="CA70" s="170">
        <v>1.2</v>
      </c>
      <c r="CB70" s="170">
        <f t="shared" si="91"/>
        <v>1.2</v>
      </c>
      <c r="CC70">
        <v>0</v>
      </c>
      <c r="CD70">
        <f t="shared" si="76"/>
        <v>0</v>
      </c>
      <c r="CE70">
        <v>0</v>
      </c>
      <c r="CF70">
        <f t="shared" si="77"/>
        <v>0</v>
      </c>
      <c r="CG70" s="170">
        <v>1.2</v>
      </c>
      <c r="CH70" s="170">
        <f t="shared" si="78"/>
        <v>1.2</v>
      </c>
    </row>
    <row r="71" spans="1:86" ht="43.15">
      <c r="A71" t="s">
        <v>578</v>
      </c>
      <c r="B71" t="s">
        <v>136</v>
      </c>
      <c r="C71" s="139">
        <v>0</v>
      </c>
      <c r="D71" s="139">
        <f t="shared" si="26"/>
        <v>0</v>
      </c>
      <c r="E71" s="139">
        <v>0</v>
      </c>
      <c r="F71" s="139">
        <f t="shared" si="27"/>
        <v>0</v>
      </c>
      <c r="G71">
        <v>0</v>
      </c>
      <c r="H71">
        <f t="shared" si="28"/>
        <v>0</v>
      </c>
      <c r="I71">
        <v>0</v>
      </c>
      <c r="J71">
        <f t="shared" si="2"/>
        <v>0</v>
      </c>
      <c r="K71" s="139">
        <v>0</v>
      </c>
      <c r="L71" s="139">
        <f t="shared" si="29"/>
        <v>0</v>
      </c>
      <c r="M71" s="139">
        <v>0</v>
      </c>
      <c r="N71" s="139">
        <f t="shared" si="30"/>
        <v>0</v>
      </c>
      <c r="O71">
        <v>0</v>
      </c>
      <c r="P71">
        <f t="shared" si="68"/>
        <v>0</v>
      </c>
      <c r="Q71">
        <v>0</v>
      </c>
      <c r="R71">
        <f t="shared" si="69"/>
        <v>0</v>
      </c>
      <c r="S71" s="139">
        <v>0</v>
      </c>
      <c r="T71" s="139">
        <f t="shared" si="70"/>
        <v>0</v>
      </c>
      <c r="Y71" s="154" t="s">
        <v>690</v>
      </c>
      <c r="Z71" s="289">
        <f>Z69/$AC$69</f>
        <v>0.33450720130380895</v>
      </c>
      <c r="AA71" s="289">
        <f t="shared" ref="AA71:AB71" si="98">AA69/$AC$69</f>
        <v>0.6011356866309171</v>
      </c>
      <c r="AB71" s="289">
        <f t="shared" si="98"/>
        <v>6.4357112065273933E-2</v>
      </c>
      <c r="BO71" t="s">
        <v>578</v>
      </c>
      <c r="BP71" t="s">
        <v>136</v>
      </c>
      <c r="BQ71" s="170">
        <v>0</v>
      </c>
      <c r="BR71" s="170">
        <f t="shared" si="88"/>
        <v>0</v>
      </c>
      <c r="BS71" s="170">
        <v>0</v>
      </c>
      <c r="BT71" s="170">
        <f t="shared" si="96"/>
        <v>0</v>
      </c>
      <c r="BU71">
        <v>0</v>
      </c>
      <c r="BV71">
        <f t="shared" si="89"/>
        <v>0</v>
      </c>
      <c r="BW71">
        <v>0</v>
      </c>
      <c r="BX71">
        <f t="shared" si="90"/>
        <v>0</v>
      </c>
      <c r="BY71" s="170">
        <v>0</v>
      </c>
      <c r="BZ71" s="170">
        <f t="shared" si="97"/>
        <v>0</v>
      </c>
      <c r="CA71" s="170">
        <v>0</v>
      </c>
      <c r="CB71" s="170">
        <f t="shared" si="91"/>
        <v>0</v>
      </c>
      <c r="CC71">
        <v>0</v>
      </c>
      <c r="CD71">
        <f t="shared" si="76"/>
        <v>0</v>
      </c>
      <c r="CE71">
        <v>0</v>
      </c>
      <c r="CF71">
        <f t="shared" si="77"/>
        <v>0</v>
      </c>
      <c r="CG71" s="170">
        <v>0</v>
      </c>
      <c r="CH71" s="170">
        <f t="shared" si="78"/>
        <v>0</v>
      </c>
    </row>
    <row r="72" spans="1:86" ht="28.9">
      <c r="A72" t="s">
        <v>579</v>
      </c>
      <c r="B72" t="s">
        <v>136</v>
      </c>
      <c r="C72" s="139">
        <v>0</v>
      </c>
      <c r="D72" s="139">
        <f t="shared" si="26"/>
        <v>0</v>
      </c>
      <c r="E72" s="139">
        <v>0</v>
      </c>
      <c r="F72" s="139">
        <f t="shared" si="27"/>
        <v>0</v>
      </c>
      <c r="G72">
        <v>0</v>
      </c>
      <c r="H72">
        <f t="shared" si="28"/>
        <v>0</v>
      </c>
      <c r="I72">
        <v>0</v>
      </c>
      <c r="J72">
        <f t="shared" si="2"/>
        <v>0</v>
      </c>
      <c r="K72" s="139">
        <v>0</v>
      </c>
      <c r="L72" s="139">
        <f t="shared" si="29"/>
        <v>0</v>
      </c>
      <c r="M72" s="139">
        <v>0</v>
      </c>
      <c r="N72" s="139">
        <f t="shared" si="30"/>
        <v>0</v>
      </c>
      <c r="O72">
        <v>0</v>
      </c>
      <c r="P72">
        <f t="shared" si="68"/>
        <v>0</v>
      </c>
      <c r="Q72">
        <v>0</v>
      </c>
      <c r="R72">
        <f t="shared" si="69"/>
        <v>0</v>
      </c>
      <c r="S72" s="139">
        <v>0</v>
      </c>
      <c r="T72" s="139">
        <f t="shared" si="70"/>
        <v>0</v>
      </c>
      <c r="Z72" s="154" t="s">
        <v>691</v>
      </c>
      <c r="AA72" s="154" t="s">
        <v>692</v>
      </c>
      <c r="AB72" s="154" t="s">
        <v>693</v>
      </c>
      <c r="AD72" t="s">
        <v>36</v>
      </c>
      <c r="AE72" t="s">
        <v>374</v>
      </c>
      <c r="AF72" t="s">
        <v>38</v>
      </c>
      <c r="BO72" t="s">
        <v>579</v>
      </c>
      <c r="BP72" t="s">
        <v>136</v>
      </c>
      <c r="BQ72" s="170">
        <v>0</v>
      </c>
      <c r="BR72" s="170">
        <f t="shared" si="88"/>
        <v>0</v>
      </c>
      <c r="BS72" s="170">
        <v>0</v>
      </c>
      <c r="BT72" s="170">
        <f t="shared" si="96"/>
        <v>0</v>
      </c>
      <c r="BU72">
        <v>0</v>
      </c>
      <c r="BV72">
        <f t="shared" si="89"/>
        <v>0</v>
      </c>
      <c r="BW72">
        <v>0</v>
      </c>
      <c r="BX72">
        <f t="shared" si="90"/>
        <v>0</v>
      </c>
      <c r="BY72" s="170">
        <v>0</v>
      </c>
      <c r="BZ72" s="170">
        <f t="shared" si="97"/>
        <v>0</v>
      </c>
      <c r="CA72" s="170">
        <v>0</v>
      </c>
      <c r="CB72" s="170">
        <f t="shared" si="91"/>
        <v>0</v>
      </c>
      <c r="CC72">
        <v>0</v>
      </c>
      <c r="CD72">
        <f t="shared" si="76"/>
        <v>0</v>
      </c>
      <c r="CE72">
        <v>0</v>
      </c>
      <c r="CF72">
        <f t="shared" si="77"/>
        <v>0</v>
      </c>
      <c r="CG72" s="170">
        <v>0</v>
      </c>
      <c r="CH72" s="170">
        <f t="shared" si="78"/>
        <v>0</v>
      </c>
    </row>
    <row r="73" spans="1:86">
      <c r="A73" t="s">
        <v>580</v>
      </c>
      <c r="B73" t="s">
        <v>136</v>
      </c>
      <c r="C73" s="139">
        <v>0</v>
      </c>
      <c r="D73" s="139">
        <f t="shared" si="26"/>
        <v>0</v>
      </c>
      <c r="E73" s="139">
        <v>0</v>
      </c>
      <c r="F73" s="139">
        <f t="shared" si="27"/>
        <v>0</v>
      </c>
      <c r="G73">
        <v>0</v>
      </c>
      <c r="H73">
        <f t="shared" si="28"/>
        <v>0</v>
      </c>
      <c r="I73">
        <v>0</v>
      </c>
      <c r="J73">
        <f t="shared" si="2"/>
        <v>0</v>
      </c>
      <c r="K73" s="139">
        <v>0</v>
      </c>
      <c r="L73" s="139">
        <f t="shared" si="29"/>
        <v>0</v>
      </c>
      <c r="M73" s="139">
        <v>0</v>
      </c>
      <c r="N73" s="139">
        <f t="shared" si="30"/>
        <v>0</v>
      </c>
      <c r="O73">
        <v>0</v>
      </c>
      <c r="P73">
        <f t="shared" si="68"/>
        <v>0</v>
      </c>
      <c r="Q73">
        <v>0</v>
      </c>
      <c r="R73">
        <f t="shared" si="69"/>
        <v>0</v>
      </c>
      <c r="S73" s="139">
        <v>0</v>
      </c>
      <c r="T73" s="139">
        <f t="shared" si="70"/>
        <v>0</v>
      </c>
      <c r="Y73" t="s">
        <v>376</v>
      </c>
      <c r="Z73" s="103">
        <f>Z44/Z69</f>
        <v>0.2715091554704317</v>
      </c>
      <c r="AA73" s="103">
        <f>AA44/AA69</f>
        <v>0.2442944539856205</v>
      </c>
      <c r="AB73" s="103">
        <f>AB44/AB69</f>
        <v>0.24631714286128964</v>
      </c>
      <c r="AD73" s="116">
        <v>142835.79200000002</v>
      </c>
      <c r="AE73" s="116">
        <v>230958.10900000003</v>
      </c>
      <c r="AF73" s="116">
        <v>24930.918699999998</v>
      </c>
      <c r="BO73" t="s">
        <v>580</v>
      </c>
      <c r="BP73" t="s">
        <v>136</v>
      </c>
      <c r="BQ73" s="170">
        <v>0</v>
      </c>
      <c r="BR73" s="170">
        <f t="shared" si="88"/>
        <v>0</v>
      </c>
      <c r="BS73" s="170">
        <v>0</v>
      </c>
      <c r="BT73" s="170">
        <f t="shared" si="96"/>
        <v>0</v>
      </c>
      <c r="BU73">
        <v>0</v>
      </c>
      <c r="BV73">
        <f t="shared" si="89"/>
        <v>0</v>
      </c>
      <c r="BW73">
        <v>0</v>
      </c>
      <c r="BX73">
        <f t="shared" si="90"/>
        <v>0</v>
      </c>
      <c r="BY73" s="170">
        <v>0</v>
      </c>
      <c r="BZ73" s="170">
        <f t="shared" si="97"/>
        <v>0</v>
      </c>
      <c r="CA73" s="170">
        <v>0</v>
      </c>
      <c r="CB73" s="170">
        <f t="shared" si="91"/>
        <v>0</v>
      </c>
      <c r="CC73">
        <v>0</v>
      </c>
      <c r="CD73">
        <f t="shared" si="76"/>
        <v>0</v>
      </c>
      <c r="CE73">
        <v>0</v>
      </c>
      <c r="CF73">
        <f t="shared" si="77"/>
        <v>0</v>
      </c>
      <c r="CG73" s="170">
        <v>0</v>
      </c>
      <c r="CH73" s="170">
        <f t="shared" si="78"/>
        <v>0</v>
      </c>
    </row>
    <row r="74" spans="1:86">
      <c r="A74" t="s">
        <v>581</v>
      </c>
      <c r="B74" t="s">
        <v>136</v>
      </c>
      <c r="C74" s="139">
        <v>0</v>
      </c>
      <c r="D74" s="139">
        <f t="shared" si="26"/>
        <v>0</v>
      </c>
      <c r="E74" s="139">
        <v>0</v>
      </c>
      <c r="F74" s="139">
        <f t="shared" si="27"/>
        <v>0</v>
      </c>
      <c r="G74">
        <v>0</v>
      </c>
      <c r="H74">
        <f t="shared" si="28"/>
        <v>0</v>
      </c>
      <c r="I74">
        <v>0</v>
      </c>
      <c r="J74">
        <f t="shared" si="2"/>
        <v>0</v>
      </c>
      <c r="K74" s="139">
        <v>0</v>
      </c>
      <c r="L74" s="139">
        <f t="shared" si="29"/>
        <v>0</v>
      </c>
      <c r="M74" s="139">
        <v>0</v>
      </c>
      <c r="N74" s="139">
        <f t="shared" si="30"/>
        <v>0</v>
      </c>
      <c r="O74">
        <v>0</v>
      </c>
      <c r="P74">
        <f t="shared" si="68"/>
        <v>0</v>
      </c>
      <c r="Q74">
        <v>0</v>
      </c>
      <c r="R74">
        <f t="shared" si="69"/>
        <v>0</v>
      </c>
      <c r="S74" s="139">
        <v>0</v>
      </c>
      <c r="T74" s="139">
        <f t="shared" si="70"/>
        <v>0</v>
      </c>
      <c r="Y74" t="s">
        <v>378</v>
      </c>
      <c r="Z74" s="103">
        <f>Z50/Z69</f>
        <v>0.14797695360722068</v>
      </c>
      <c r="AA74" s="103">
        <f>AA50/AA69</f>
        <v>0.259288711580416</v>
      </c>
      <c r="AB74" s="103">
        <f>AB50/AB69</f>
        <v>0.20139447198012628</v>
      </c>
      <c r="AD74" s="116">
        <v>77847.854999999996</v>
      </c>
      <c r="AE74" s="116">
        <v>245133.81099999999</v>
      </c>
      <c r="AF74" s="116">
        <v>20384.083499999997</v>
      </c>
      <c r="BO74" t="s">
        <v>581</v>
      </c>
      <c r="BP74" t="s">
        <v>136</v>
      </c>
      <c r="BQ74" s="170">
        <v>0</v>
      </c>
      <c r="BR74" s="170">
        <f t="shared" si="88"/>
        <v>0</v>
      </c>
      <c r="BS74" s="170">
        <v>0</v>
      </c>
      <c r="BT74" s="170">
        <f t="shared" si="96"/>
        <v>0</v>
      </c>
      <c r="BU74">
        <v>0</v>
      </c>
      <c r="BV74">
        <f t="shared" si="89"/>
        <v>0</v>
      </c>
      <c r="BW74">
        <v>0</v>
      </c>
      <c r="BX74">
        <f t="shared" si="90"/>
        <v>0</v>
      </c>
      <c r="BY74" s="170">
        <v>0</v>
      </c>
      <c r="BZ74" s="170">
        <f t="shared" si="97"/>
        <v>0</v>
      </c>
      <c r="CA74" s="170">
        <v>0</v>
      </c>
      <c r="CB74" s="170">
        <f t="shared" si="91"/>
        <v>0</v>
      </c>
      <c r="CC74">
        <v>0</v>
      </c>
      <c r="CD74">
        <f t="shared" si="76"/>
        <v>0</v>
      </c>
      <c r="CE74">
        <v>0</v>
      </c>
      <c r="CF74">
        <f t="shared" si="77"/>
        <v>0</v>
      </c>
      <c r="CG74" s="170">
        <v>0</v>
      </c>
      <c r="CH74" s="170">
        <f t="shared" si="78"/>
        <v>0</v>
      </c>
    </row>
    <row r="75" spans="1:86">
      <c r="A75" t="s">
        <v>582</v>
      </c>
      <c r="B75" t="s">
        <v>136</v>
      </c>
      <c r="C75" s="139">
        <v>0</v>
      </c>
      <c r="D75" s="139">
        <f t="shared" si="26"/>
        <v>0</v>
      </c>
      <c r="E75" s="139">
        <v>0</v>
      </c>
      <c r="F75" s="139">
        <f t="shared" si="27"/>
        <v>0</v>
      </c>
      <c r="G75">
        <v>0</v>
      </c>
      <c r="H75">
        <f t="shared" si="28"/>
        <v>0</v>
      </c>
      <c r="I75">
        <v>0</v>
      </c>
      <c r="J75">
        <f t="shared" si="2"/>
        <v>0</v>
      </c>
      <c r="K75" s="139">
        <v>0</v>
      </c>
      <c r="L75" s="139">
        <f t="shared" si="29"/>
        <v>0</v>
      </c>
      <c r="M75" s="139">
        <v>0</v>
      </c>
      <c r="N75" s="139">
        <f t="shared" si="30"/>
        <v>0</v>
      </c>
      <c r="O75">
        <v>0</v>
      </c>
      <c r="P75">
        <f t="shared" si="68"/>
        <v>0</v>
      </c>
      <c r="Q75">
        <v>0</v>
      </c>
      <c r="R75">
        <f t="shared" si="69"/>
        <v>0</v>
      </c>
      <c r="S75" s="139">
        <v>0</v>
      </c>
      <c r="T75" s="139">
        <f t="shared" si="70"/>
        <v>0</v>
      </c>
      <c r="Y75" t="s">
        <v>379</v>
      </c>
      <c r="Z75" s="103">
        <f>Z58/Z69</f>
        <v>0.23326275756490483</v>
      </c>
      <c r="AA75" s="103">
        <f>AA58/AA69</f>
        <v>0.21233105116837889</v>
      </c>
      <c r="AB75" s="103">
        <f>AB58/AB69</f>
        <v>0.4249540467743918</v>
      </c>
      <c r="AD75" s="116">
        <v>122715.091</v>
      </c>
      <c r="AE75" s="116">
        <v>200739.62900000002</v>
      </c>
      <c r="AF75" s="116">
        <v>43011.601499999997</v>
      </c>
      <c r="BO75" t="s">
        <v>582</v>
      </c>
      <c r="BP75" t="s">
        <v>136</v>
      </c>
      <c r="BQ75" s="170">
        <v>0</v>
      </c>
      <c r="BR75" s="170">
        <f t="shared" si="88"/>
        <v>0</v>
      </c>
      <c r="BS75" s="170">
        <v>0</v>
      </c>
      <c r="BT75" s="170">
        <f t="shared" si="96"/>
        <v>0</v>
      </c>
      <c r="BU75">
        <v>0</v>
      </c>
      <c r="BV75">
        <f t="shared" si="89"/>
        <v>0</v>
      </c>
      <c r="BW75">
        <v>0</v>
      </c>
      <c r="BX75">
        <f t="shared" si="90"/>
        <v>0</v>
      </c>
      <c r="BY75" s="170">
        <v>0</v>
      </c>
      <c r="BZ75" s="170">
        <f t="shared" si="97"/>
        <v>0</v>
      </c>
      <c r="CA75" s="170">
        <v>0</v>
      </c>
      <c r="CB75" s="170">
        <f t="shared" si="91"/>
        <v>0</v>
      </c>
      <c r="CC75">
        <v>0</v>
      </c>
      <c r="CD75">
        <f t="shared" si="76"/>
        <v>0</v>
      </c>
      <c r="CE75">
        <v>0</v>
      </c>
      <c r="CF75">
        <f t="shared" si="77"/>
        <v>0</v>
      </c>
      <c r="CG75" s="170">
        <v>0</v>
      </c>
      <c r="CH75" s="170">
        <f t="shared" si="78"/>
        <v>0</v>
      </c>
    </row>
    <row r="76" spans="1:86">
      <c r="A76" t="s">
        <v>583</v>
      </c>
      <c r="B76" t="s">
        <v>136</v>
      </c>
      <c r="C76" s="139">
        <v>0</v>
      </c>
      <c r="D76" s="139">
        <f t="shared" si="26"/>
        <v>0</v>
      </c>
      <c r="E76" s="139">
        <v>0</v>
      </c>
      <c r="F76" s="139">
        <f t="shared" si="27"/>
        <v>0</v>
      </c>
      <c r="G76">
        <v>0</v>
      </c>
      <c r="H76">
        <f t="shared" si="28"/>
        <v>0</v>
      </c>
      <c r="I76">
        <v>0</v>
      </c>
      <c r="J76">
        <f t="shared" si="2"/>
        <v>0</v>
      </c>
      <c r="K76" s="139">
        <v>0</v>
      </c>
      <c r="L76" s="139">
        <f t="shared" si="29"/>
        <v>0</v>
      </c>
      <c r="M76" s="139">
        <v>0</v>
      </c>
      <c r="N76" s="139">
        <f t="shared" si="30"/>
        <v>0</v>
      </c>
      <c r="O76">
        <v>0</v>
      </c>
      <c r="P76">
        <f t="shared" si="68"/>
        <v>0</v>
      </c>
      <c r="Q76">
        <v>0</v>
      </c>
      <c r="R76">
        <f t="shared" si="69"/>
        <v>0</v>
      </c>
      <c r="S76" s="139">
        <v>0</v>
      </c>
      <c r="T76" s="139">
        <f t="shared" si="70"/>
        <v>0</v>
      </c>
      <c r="Y76" t="s">
        <v>380</v>
      </c>
      <c r="Z76" s="103">
        <f>Z67/Z69</f>
        <v>0.34725113335744284</v>
      </c>
      <c r="AA76" s="103">
        <f>AA67/AA69</f>
        <v>0.28408578326558453</v>
      </c>
      <c r="AB76" s="103">
        <f>AB67/AB69</f>
        <v>0.12733433838419231</v>
      </c>
      <c r="AD76" s="116">
        <v>182682.20300000001</v>
      </c>
      <c r="AE76" s="116">
        <v>268577.179</v>
      </c>
      <c r="AF76" s="116">
        <v>12888.108400000001</v>
      </c>
      <c r="BO76" t="s">
        <v>583</v>
      </c>
      <c r="BP76" t="s">
        <v>136</v>
      </c>
      <c r="BQ76" s="170">
        <v>0</v>
      </c>
      <c r="BR76" s="170">
        <f t="shared" si="88"/>
        <v>0</v>
      </c>
      <c r="BS76" s="170">
        <v>0</v>
      </c>
      <c r="BT76" s="170">
        <f t="shared" si="96"/>
        <v>0</v>
      </c>
      <c r="BU76">
        <v>0</v>
      </c>
      <c r="BV76">
        <f t="shared" si="89"/>
        <v>0</v>
      </c>
      <c r="BW76">
        <v>0</v>
      </c>
      <c r="BX76">
        <f t="shared" si="90"/>
        <v>0</v>
      </c>
      <c r="BY76" s="170">
        <v>0</v>
      </c>
      <c r="BZ76" s="170">
        <f t="shared" si="97"/>
        <v>0</v>
      </c>
      <c r="CA76" s="170">
        <v>0</v>
      </c>
      <c r="CB76" s="170">
        <f t="shared" si="91"/>
        <v>0</v>
      </c>
      <c r="CC76">
        <v>0</v>
      </c>
      <c r="CD76">
        <f t="shared" si="76"/>
        <v>0</v>
      </c>
      <c r="CE76">
        <v>0</v>
      </c>
      <c r="CF76">
        <f t="shared" si="77"/>
        <v>0</v>
      </c>
      <c r="CG76" s="170">
        <v>0</v>
      </c>
      <c r="CH76" s="170">
        <f t="shared" si="78"/>
        <v>0</v>
      </c>
    </row>
    <row r="77" spans="1:86">
      <c r="A77" t="s">
        <v>584</v>
      </c>
      <c r="B77" t="s">
        <v>136</v>
      </c>
      <c r="C77" s="139">
        <v>0</v>
      </c>
      <c r="D77" s="139">
        <f t="shared" si="26"/>
        <v>0</v>
      </c>
      <c r="E77" s="139">
        <v>0</v>
      </c>
      <c r="F77" s="139">
        <f t="shared" si="27"/>
        <v>0</v>
      </c>
      <c r="G77">
        <v>0</v>
      </c>
      <c r="H77">
        <f t="shared" si="28"/>
        <v>0</v>
      </c>
      <c r="I77">
        <v>0</v>
      </c>
      <c r="J77">
        <f t="shared" si="2"/>
        <v>0</v>
      </c>
      <c r="K77" s="139">
        <v>0</v>
      </c>
      <c r="L77" s="139">
        <f t="shared" si="29"/>
        <v>0</v>
      </c>
      <c r="M77" s="139">
        <v>0</v>
      </c>
      <c r="N77" s="139">
        <f t="shared" si="30"/>
        <v>0</v>
      </c>
      <c r="O77">
        <v>0</v>
      </c>
      <c r="P77">
        <f t="shared" si="68"/>
        <v>0</v>
      </c>
      <c r="Q77">
        <v>0</v>
      </c>
      <c r="R77">
        <f t="shared" si="69"/>
        <v>0</v>
      </c>
      <c r="S77" s="139">
        <v>0</v>
      </c>
      <c r="T77" s="139">
        <f t="shared" si="70"/>
        <v>0</v>
      </c>
      <c r="Z77" s="120"/>
      <c r="AA77" s="120"/>
      <c r="AB77" s="120"/>
      <c r="BO77" t="s">
        <v>584</v>
      </c>
      <c r="BP77" t="s">
        <v>136</v>
      </c>
      <c r="BQ77" s="170">
        <v>0</v>
      </c>
      <c r="BR77" s="170">
        <f t="shared" si="88"/>
        <v>0</v>
      </c>
      <c r="BS77" s="170">
        <v>0</v>
      </c>
      <c r="BT77" s="170">
        <f t="shared" si="96"/>
        <v>0</v>
      </c>
      <c r="BU77">
        <v>0</v>
      </c>
      <c r="BV77">
        <f t="shared" si="89"/>
        <v>0</v>
      </c>
      <c r="BW77">
        <v>0</v>
      </c>
      <c r="BX77">
        <f t="shared" si="90"/>
        <v>0</v>
      </c>
      <c r="BY77" s="170">
        <v>0</v>
      </c>
      <c r="BZ77" s="170">
        <f t="shared" si="97"/>
        <v>0</v>
      </c>
      <c r="CA77" s="170">
        <v>0</v>
      </c>
      <c r="CB77" s="170">
        <f t="shared" si="91"/>
        <v>0</v>
      </c>
      <c r="CC77">
        <v>0</v>
      </c>
      <c r="CD77">
        <f t="shared" si="76"/>
        <v>0</v>
      </c>
      <c r="CE77">
        <v>0</v>
      </c>
      <c r="CF77">
        <f t="shared" si="77"/>
        <v>0</v>
      </c>
      <c r="CG77" s="170">
        <v>0</v>
      </c>
      <c r="CH77" s="170">
        <f t="shared" si="78"/>
        <v>0</v>
      </c>
    </row>
    <row r="78" spans="1:86">
      <c r="A78" t="s">
        <v>276</v>
      </c>
      <c r="B78" t="s">
        <v>136</v>
      </c>
      <c r="C78" s="139">
        <v>0</v>
      </c>
      <c r="D78" s="139">
        <f t="shared" si="26"/>
        <v>0</v>
      </c>
      <c r="E78" s="139">
        <v>0</v>
      </c>
      <c r="F78" s="139">
        <f t="shared" si="27"/>
        <v>0</v>
      </c>
      <c r="G78">
        <v>3.6</v>
      </c>
      <c r="H78">
        <f t="shared" si="28"/>
        <v>3.6</v>
      </c>
      <c r="I78">
        <v>0</v>
      </c>
      <c r="J78">
        <f t="shared" si="2"/>
        <v>0</v>
      </c>
      <c r="K78" s="139">
        <v>0</v>
      </c>
      <c r="L78" s="139">
        <f t="shared" si="29"/>
        <v>0</v>
      </c>
      <c r="M78" s="139">
        <v>3.6</v>
      </c>
      <c r="N78" s="139">
        <f t="shared" si="30"/>
        <v>3.6</v>
      </c>
      <c r="O78">
        <v>0</v>
      </c>
      <c r="P78">
        <f t="shared" si="68"/>
        <v>0</v>
      </c>
      <c r="Q78">
        <v>0</v>
      </c>
      <c r="R78">
        <f t="shared" si="69"/>
        <v>0</v>
      </c>
      <c r="S78" s="139">
        <v>3.6</v>
      </c>
      <c r="T78" s="139">
        <f t="shared" si="70"/>
        <v>3.6</v>
      </c>
      <c r="AF78" s="120"/>
      <c r="AI78" s="120"/>
      <c r="AL78" s="120"/>
      <c r="BO78" t="s">
        <v>276</v>
      </c>
      <c r="BP78" t="s">
        <v>136</v>
      </c>
      <c r="BQ78" s="170">
        <v>0</v>
      </c>
      <c r="BR78" s="170">
        <f t="shared" si="88"/>
        <v>0</v>
      </c>
      <c r="BS78" s="170">
        <v>0</v>
      </c>
      <c r="BT78" s="170">
        <f t="shared" si="96"/>
        <v>0</v>
      </c>
      <c r="BU78">
        <v>3.6</v>
      </c>
      <c r="BV78">
        <f t="shared" si="89"/>
        <v>3.6</v>
      </c>
      <c r="BW78">
        <v>0</v>
      </c>
      <c r="BX78">
        <f t="shared" si="90"/>
        <v>0</v>
      </c>
      <c r="BY78" s="170">
        <v>0</v>
      </c>
      <c r="BZ78" s="170">
        <f t="shared" si="97"/>
        <v>0</v>
      </c>
      <c r="CA78" s="170">
        <v>3.6</v>
      </c>
      <c r="CB78" s="170">
        <f t="shared" si="91"/>
        <v>3.6</v>
      </c>
      <c r="CC78">
        <v>0</v>
      </c>
      <c r="CD78">
        <f t="shared" si="76"/>
        <v>0</v>
      </c>
      <c r="CE78">
        <v>0</v>
      </c>
      <c r="CF78">
        <f t="shared" si="77"/>
        <v>0</v>
      </c>
      <c r="CG78" s="170">
        <v>3.6</v>
      </c>
      <c r="CH78" s="170">
        <f t="shared" si="78"/>
        <v>3.6</v>
      </c>
    </row>
    <row r="79" spans="1:86">
      <c r="A79" t="s">
        <v>585</v>
      </c>
      <c r="B79" t="s">
        <v>136</v>
      </c>
      <c r="C79" s="139">
        <v>0</v>
      </c>
      <c r="D79" s="139">
        <f t="shared" si="26"/>
        <v>0</v>
      </c>
      <c r="E79" s="139">
        <v>0</v>
      </c>
      <c r="F79" s="139">
        <f t="shared" si="27"/>
        <v>0</v>
      </c>
      <c r="G79">
        <v>0</v>
      </c>
      <c r="H79">
        <f t="shared" si="28"/>
        <v>0</v>
      </c>
      <c r="I79">
        <v>0</v>
      </c>
      <c r="J79">
        <f t="shared" si="2"/>
        <v>0</v>
      </c>
      <c r="K79" s="139">
        <v>0</v>
      </c>
      <c r="L79" s="139">
        <f t="shared" si="29"/>
        <v>0</v>
      </c>
      <c r="M79" s="139">
        <v>0</v>
      </c>
      <c r="N79" s="139">
        <f t="shared" si="30"/>
        <v>0</v>
      </c>
      <c r="O79">
        <v>0</v>
      </c>
      <c r="P79">
        <f t="shared" si="68"/>
        <v>0</v>
      </c>
      <c r="Q79">
        <v>0</v>
      </c>
      <c r="R79">
        <f t="shared" si="69"/>
        <v>0</v>
      </c>
      <c r="S79" s="139">
        <v>0</v>
      </c>
      <c r="T79" s="139">
        <f t="shared" si="70"/>
        <v>0</v>
      </c>
      <c r="Z79" s="16" t="s">
        <v>28</v>
      </c>
      <c r="AA79" s="16" t="s">
        <v>29</v>
      </c>
      <c r="AB79" s="16" t="s">
        <v>30</v>
      </c>
      <c r="AE79" s="321"/>
      <c r="AF79" s="321"/>
      <c r="AG79" s="321"/>
      <c r="AH79" s="321"/>
      <c r="AI79" s="321"/>
      <c r="AJ79" s="321"/>
      <c r="AK79" s="321"/>
      <c r="AL79" s="321"/>
      <c r="AM79" s="321"/>
      <c r="BO79" t="s">
        <v>585</v>
      </c>
      <c r="BP79" t="s">
        <v>136</v>
      </c>
      <c r="BQ79" s="170">
        <v>0</v>
      </c>
      <c r="BR79" s="170">
        <f t="shared" si="88"/>
        <v>0</v>
      </c>
      <c r="BS79" s="170">
        <v>0</v>
      </c>
      <c r="BT79" s="170">
        <f t="shared" si="96"/>
        <v>0</v>
      </c>
      <c r="BU79">
        <v>0</v>
      </c>
      <c r="BV79">
        <f t="shared" si="89"/>
        <v>0</v>
      </c>
      <c r="BW79">
        <v>0</v>
      </c>
      <c r="BX79">
        <f t="shared" si="90"/>
        <v>0</v>
      </c>
      <c r="BY79" s="170">
        <v>0</v>
      </c>
      <c r="BZ79" s="170">
        <f t="shared" si="97"/>
        <v>0</v>
      </c>
      <c r="CA79" s="170">
        <v>0</v>
      </c>
      <c r="CB79" s="170">
        <f t="shared" si="91"/>
        <v>0</v>
      </c>
      <c r="CC79">
        <v>0</v>
      </c>
      <c r="CD79">
        <f t="shared" si="76"/>
        <v>0</v>
      </c>
      <c r="CE79">
        <v>0</v>
      </c>
      <c r="CF79">
        <f t="shared" si="77"/>
        <v>0</v>
      </c>
      <c r="CG79" s="170">
        <v>0</v>
      </c>
      <c r="CH79" s="170">
        <f t="shared" si="78"/>
        <v>0</v>
      </c>
    </row>
    <row r="80" spans="1:86">
      <c r="A80" s="29" t="s">
        <v>586</v>
      </c>
      <c r="Y80" t="s">
        <v>375</v>
      </c>
      <c r="Z80" s="103">
        <v>1.9803852170955961E-2</v>
      </c>
      <c r="AA80" s="103">
        <v>3.8414133638137907E-2</v>
      </c>
      <c r="AB80" s="103">
        <v>0.94178201419090612</v>
      </c>
      <c r="BO80" t="s">
        <v>586</v>
      </c>
    </row>
    <row r="81" spans="1:87">
      <c r="A81" t="s">
        <v>587</v>
      </c>
      <c r="B81" t="s">
        <v>136</v>
      </c>
      <c r="C81" s="139">
        <v>0</v>
      </c>
      <c r="D81" s="139">
        <f t="shared" si="26"/>
        <v>0</v>
      </c>
      <c r="E81" s="139">
        <v>0</v>
      </c>
      <c r="F81" s="139">
        <f t="shared" si="27"/>
        <v>0</v>
      </c>
      <c r="G81">
        <v>0</v>
      </c>
      <c r="H81">
        <f>G81+30</f>
        <v>30</v>
      </c>
      <c r="I81">
        <v>0</v>
      </c>
      <c r="J81">
        <f t="shared" si="2"/>
        <v>0</v>
      </c>
      <c r="K81" s="139">
        <v>0</v>
      </c>
      <c r="L81" s="139">
        <f t="shared" si="29"/>
        <v>0</v>
      </c>
      <c r="M81" s="139">
        <v>0</v>
      </c>
      <c r="N81" s="139">
        <f>M81+30</f>
        <v>30</v>
      </c>
      <c r="O81">
        <v>0</v>
      </c>
      <c r="P81">
        <f t="shared" si="31"/>
        <v>0</v>
      </c>
      <c r="Q81">
        <v>0</v>
      </c>
      <c r="R81">
        <f t="shared" si="32"/>
        <v>0</v>
      </c>
      <c r="S81" s="139">
        <v>0</v>
      </c>
      <c r="T81" s="139">
        <f t="shared" si="33"/>
        <v>30</v>
      </c>
      <c r="W81" s="140">
        <f>Z81*Z84</f>
        <v>9343.6815215757561</v>
      </c>
      <c r="Y81" t="s">
        <v>377</v>
      </c>
      <c r="Z81">
        <v>125</v>
      </c>
      <c r="AA81">
        <v>10</v>
      </c>
      <c r="AB81">
        <v>3</v>
      </c>
      <c r="AE81" s="152"/>
      <c r="BO81" t="s">
        <v>587</v>
      </c>
      <c r="BP81" t="s">
        <v>136</v>
      </c>
      <c r="BQ81" s="170">
        <v>0</v>
      </c>
      <c r="BR81" s="170">
        <f t="shared" ref="BR81:BR89" si="99">BQ81</f>
        <v>0</v>
      </c>
      <c r="BS81" s="170">
        <v>0</v>
      </c>
      <c r="BT81" s="170">
        <f t="shared" ref="BT81:BT89" si="100">BS81</f>
        <v>0</v>
      </c>
      <c r="BU81">
        <v>0</v>
      </c>
      <c r="BV81">
        <f>BU81+30</f>
        <v>30</v>
      </c>
      <c r="BW81">
        <v>0</v>
      </c>
      <c r="BX81">
        <f t="shared" ref="BX81:BX89" si="101">BW81</f>
        <v>0</v>
      </c>
      <c r="BY81" s="170">
        <v>0</v>
      </c>
      <c r="BZ81" s="170">
        <f t="shared" ref="BZ81:BZ89" si="102">BY81</f>
        <v>0</v>
      </c>
      <c r="CA81" s="170">
        <v>0</v>
      </c>
      <c r="CB81" s="170">
        <f>CA81+30</f>
        <v>30</v>
      </c>
      <c r="CC81">
        <v>0</v>
      </c>
      <c r="CD81">
        <f t="shared" ref="CD81:CD89" si="103">BX81</f>
        <v>0</v>
      </c>
      <c r="CE81">
        <v>0</v>
      </c>
      <c r="CF81">
        <f t="shared" ref="CF81:CF89" si="104">BZ81</f>
        <v>0</v>
      </c>
      <c r="CG81" s="170">
        <v>0</v>
      </c>
      <c r="CH81" s="170">
        <f t="shared" ref="CH81:CH89" si="105">CB81</f>
        <v>30</v>
      </c>
    </row>
    <row r="82" spans="1:87">
      <c r="A82" t="s">
        <v>588</v>
      </c>
      <c r="B82" t="s">
        <v>136</v>
      </c>
      <c r="C82" s="139">
        <v>0</v>
      </c>
      <c r="D82" s="139">
        <f t="shared" si="26"/>
        <v>0</v>
      </c>
      <c r="E82" s="139">
        <v>0</v>
      </c>
      <c r="F82" s="139">
        <f t="shared" si="27"/>
        <v>0</v>
      </c>
      <c r="G82">
        <v>0</v>
      </c>
      <c r="H82">
        <f t="shared" si="28"/>
        <v>0</v>
      </c>
      <c r="I82">
        <v>0</v>
      </c>
      <c r="J82">
        <f t="shared" si="2"/>
        <v>0</v>
      </c>
      <c r="K82" s="139">
        <v>0</v>
      </c>
      <c r="L82" s="139">
        <f t="shared" si="29"/>
        <v>0</v>
      </c>
      <c r="M82" s="139">
        <v>0</v>
      </c>
      <c r="N82" s="139">
        <f t="shared" si="30"/>
        <v>0</v>
      </c>
      <c r="O82">
        <v>0</v>
      </c>
      <c r="P82">
        <f t="shared" si="31"/>
        <v>0</v>
      </c>
      <c r="Q82">
        <v>0</v>
      </c>
      <c r="R82">
        <f t="shared" si="32"/>
        <v>0</v>
      </c>
      <c r="S82" s="139">
        <v>0</v>
      </c>
      <c r="T82" s="139">
        <f t="shared" si="33"/>
        <v>0</v>
      </c>
      <c r="Z82" s="152">
        <f>Z80*$AC$69</f>
        <v>31145.605071919188</v>
      </c>
      <c r="AA82" s="152">
        <f t="shared" ref="AA82" si="106">AA80*$AC$69</f>
        <v>60414.076268860372</v>
      </c>
      <c r="AB82" s="152">
        <f>AB80*$AC$69</f>
        <v>1481144.6997592205</v>
      </c>
      <c r="AE82" s="152"/>
      <c r="AF82" s="152"/>
      <c r="AG82" s="152"/>
      <c r="BO82" t="s">
        <v>588</v>
      </c>
      <c r="BP82" t="s">
        <v>136</v>
      </c>
      <c r="BQ82" s="170">
        <v>0</v>
      </c>
      <c r="BR82" s="170">
        <f t="shared" si="99"/>
        <v>0</v>
      </c>
      <c r="BS82" s="170">
        <v>0</v>
      </c>
      <c r="BT82" s="170">
        <f t="shared" si="100"/>
        <v>0</v>
      </c>
      <c r="BU82">
        <v>0</v>
      </c>
      <c r="BV82">
        <f t="shared" ref="BV82:BV87" si="107">BU82</f>
        <v>0</v>
      </c>
      <c r="BW82">
        <v>0</v>
      </c>
      <c r="BX82">
        <f t="shared" si="101"/>
        <v>0</v>
      </c>
      <c r="BY82" s="170">
        <v>0</v>
      </c>
      <c r="BZ82" s="170">
        <f t="shared" si="102"/>
        <v>0</v>
      </c>
      <c r="CA82" s="170">
        <v>0</v>
      </c>
      <c r="CB82" s="170">
        <f t="shared" ref="CB82:CB87" si="108">CA82</f>
        <v>0</v>
      </c>
      <c r="CC82">
        <v>0</v>
      </c>
      <c r="CD82">
        <f t="shared" si="103"/>
        <v>0</v>
      </c>
      <c r="CE82">
        <v>0</v>
      </c>
      <c r="CF82">
        <f t="shared" si="104"/>
        <v>0</v>
      </c>
      <c r="CG82" s="170">
        <v>0</v>
      </c>
      <c r="CH82" s="170">
        <f t="shared" si="105"/>
        <v>0</v>
      </c>
    </row>
    <row r="83" spans="1:87">
      <c r="A83" t="s">
        <v>589</v>
      </c>
      <c r="B83" t="s">
        <v>136</v>
      </c>
      <c r="C83" s="139">
        <v>0</v>
      </c>
      <c r="D83" s="139">
        <f t="shared" si="26"/>
        <v>0</v>
      </c>
      <c r="E83" s="139">
        <v>0</v>
      </c>
      <c r="F83" s="139">
        <f t="shared" si="27"/>
        <v>0</v>
      </c>
      <c r="G83">
        <v>0</v>
      </c>
      <c r="H83">
        <f t="shared" si="28"/>
        <v>0</v>
      </c>
      <c r="I83">
        <v>0</v>
      </c>
      <c r="J83">
        <f t="shared" si="2"/>
        <v>0</v>
      </c>
      <c r="K83" s="139">
        <v>0</v>
      </c>
      <c r="L83" s="139">
        <f t="shared" si="29"/>
        <v>0</v>
      </c>
      <c r="M83" s="139">
        <v>0</v>
      </c>
      <c r="N83" s="139">
        <f t="shared" si="30"/>
        <v>0</v>
      </c>
      <c r="O83">
        <v>0</v>
      </c>
      <c r="P83">
        <f t="shared" si="31"/>
        <v>0</v>
      </c>
      <c r="Q83">
        <v>0</v>
      </c>
      <c r="R83">
        <f t="shared" si="32"/>
        <v>0</v>
      </c>
      <c r="S83" s="139">
        <v>0</v>
      </c>
      <c r="T83" s="139">
        <f t="shared" si="33"/>
        <v>0</v>
      </c>
      <c r="Y83" t="s">
        <v>694</v>
      </c>
      <c r="Z83" s="152">
        <f>Z82/Z81</f>
        <v>249.16484057535351</v>
      </c>
      <c r="AA83" s="152">
        <f t="shared" ref="AA83:AB83" si="109">AA82/AA81</f>
        <v>6041.4076268860372</v>
      </c>
      <c r="AB83" s="152">
        <f t="shared" si="109"/>
        <v>493714.89991974016</v>
      </c>
      <c r="AC83" s="152">
        <f>SUM(Z83:AB83)</f>
        <v>500005.47238720156</v>
      </c>
      <c r="AE83" s="152"/>
      <c r="AF83" s="152"/>
      <c r="AG83" s="152"/>
      <c r="BO83" t="s">
        <v>589</v>
      </c>
      <c r="BP83" t="s">
        <v>136</v>
      </c>
      <c r="BQ83" s="170">
        <v>0</v>
      </c>
      <c r="BR83" s="170">
        <f t="shared" si="99"/>
        <v>0</v>
      </c>
      <c r="BS83" s="170">
        <v>0</v>
      </c>
      <c r="BT83" s="170">
        <f t="shared" si="100"/>
        <v>0</v>
      </c>
      <c r="BU83">
        <v>0</v>
      </c>
      <c r="BV83">
        <f t="shared" si="107"/>
        <v>0</v>
      </c>
      <c r="BW83">
        <v>0</v>
      </c>
      <c r="BX83">
        <f t="shared" si="101"/>
        <v>0</v>
      </c>
      <c r="BY83" s="170">
        <v>0</v>
      </c>
      <c r="BZ83" s="170">
        <f t="shared" si="102"/>
        <v>0</v>
      </c>
      <c r="CA83" s="170">
        <v>0</v>
      </c>
      <c r="CB83" s="170">
        <f t="shared" si="108"/>
        <v>0</v>
      </c>
      <c r="CC83">
        <v>0</v>
      </c>
      <c r="CD83">
        <f t="shared" si="103"/>
        <v>0</v>
      </c>
      <c r="CE83">
        <v>0</v>
      </c>
      <c r="CF83">
        <f t="shared" si="104"/>
        <v>0</v>
      </c>
      <c r="CG83" s="170">
        <v>0</v>
      </c>
      <c r="CH83" s="170">
        <f t="shared" si="105"/>
        <v>0</v>
      </c>
    </row>
    <row r="84" spans="1:87">
      <c r="A84" t="s">
        <v>590</v>
      </c>
      <c r="B84" t="s">
        <v>136</v>
      </c>
      <c r="C84" s="139">
        <v>0</v>
      </c>
      <c r="D84" s="139">
        <f t="shared" si="26"/>
        <v>0</v>
      </c>
      <c r="E84" s="139">
        <v>20</v>
      </c>
      <c r="F84" s="139">
        <f t="shared" si="27"/>
        <v>20</v>
      </c>
      <c r="G84">
        <v>0</v>
      </c>
      <c r="H84">
        <f t="shared" si="28"/>
        <v>0</v>
      </c>
      <c r="I84">
        <v>0</v>
      </c>
      <c r="J84">
        <f t="shared" si="2"/>
        <v>0</v>
      </c>
      <c r="K84" s="139">
        <v>20</v>
      </c>
      <c r="L84" s="139">
        <f t="shared" si="29"/>
        <v>20</v>
      </c>
      <c r="M84" s="139">
        <v>0</v>
      </c>
      <c r="N84" s="139">
        <f t="shared" si="30"/>
        <v>0</v>
      </c>
      <c r="O84">
        <v>0</v>
      </c>
      <c r="P84">
        <f t="shared" si="31"/>
        <v>0</v>
      </c>
      <c r="Q84">
        <v>20</v>
      </c>
      <c r="R84">
        <f t="shared" si="32"/>
        <v>20</v>
      </c>
      <c r="S84" s="139">
        <v>0</v>
      </c>
      <c r="T84" s="139">
        <f t="shared" si="33"/>
        <v>0</v>
      </c>
      <c r="Y84" s="157" t="s">
        <v>695</v>
      </c>
      <c r="Z84" s="153">
        <f>Z83*$Z$85</f>
        <v>74.749452172606055</v>
      </c>
      <c r="AA84" s="153">
        <f>AA83*$Z$85</f>
        <v>1812.422288065811</v>
      </c>
      <c r="AB84" s="153">
        <f t="shared" ref="AB84" si="110">AB83*$Z$85</f>
        <v>148114.46997592205</v>
      </c>
      <c r="AC84" s="153">
        <f>SUM(Z84:AB84)</f>
        <v>150001.64171616046</v>
      </c>
      <c r="AE84" s="152"/>
      <c r="AF84" s="152"/>
      <c r="AG84" s="152"/>
      <c r="BO84" t="s">
        <v>590</v>
      </c>
      <c r="BP84" t="s">
        <v>136</v>
      </c>
      <c r="BQ84" s="170">
        <v>0</v>
      </c>
      <c r="BR84" s="170">
        <f t="shared" si="99"/>
        <v>0</v>
      </c>
      <c r="BS84" s="170">
        <v>20</v>
      </c>
      <c r="BT84" s="170">
        <f t="shared" si="100"/>
        <v>20</v>
      </c>
      <c r="BU84">
        <v>0</v>
      </c>
      <c r="BV84">
        <f t="shared" si="107"/>
        <v>0</v>
      </c>
      <c r="BW84">
        <v>0</v>
      </c>
      <c r="BX84">
        <f t="shared" si="101"/>
        <v>0</v>
      </c>
      <c r="BY84" s="170">
        <v>20</v>
      </c>
      <c r="BZ84" s="170">
        <f t="shared" si="102"/>
        <v>20</v>
      </c>
      <c r="CA84" s="170">
        <v>0</v>
      </c>
      <c r="CB84" s="170">
        <f t="shared" si="108"/>
        <v>0</v>
      </c>
      <c r="CC84">
        <v>0</v>
      </c>
      <c r="CD84">
        <f t="shared" si="103"/>
        <v>0</v>
      </c>
      <c r="CE84">
        <v>20</v>
      </c>
      <c r="CF84">
        <f t="shared" si="104"/>
        <v>20</v>
      </c>
      <c r="CG84" s="170">
        <v>0</v>
      </c>
      <c r="CH84" s="170">
        <f t="shared" si="105"/>
        <v>0</v>
      </c>
    </row>
    <row r="85" spans="1:87">
      <c r="A85" t="s">
        <v>591</v>
      </c>
      <c r="B85" t="s">
        <v>136</v>
      </c>
      <c r="C85" s="139">
        <v>0</v>
      </c>
      <c r="D85" s="139">
        <f t="shared" si="26"/>
        <v>0</v>
      </c>
      <c r="E85" s="139">
        <v>0</v>
      </c>
      <c r="F85" s="139">
        <f t="shared" si="27"/>
        <v>0</v>
      </c>
      <c r="G85">
        <v>0</v>
      </c>
      <c r="H85">
        <f t="shared" si="28"/>
        <v>0</v>
      </c>
      <c r="I85">
        <v>0</v>
      </c>
      <c r="J85">
        <f t="shared" si="2"/>
        <v>0</v>
      </c>
      <c r="K85" s="139">
        <v>0</v>
      </c>
      <c r="L85" s="139">
        <f t="shared" si="29"/>
        <v>0</v>
      </c>
      <c r="M85" s="139">
        <v>0</v>
      </c>
      <c r="N85" s="139">
        <f t="shared" si="30"/>
        <v>0</v>
      </c>
      <c r="O85">
        <v>0</v>
      </c>
      <c r="P85">
        <f t="shared" si="31"/>
        <v>0</v>
      </c>
      <c r="Q85">
        <v>0</v>
      </c>
      <c r="R85">
        <f t="shared" si="32"/>
        <v>0</v>
      </c>
      <c r="S85" s="139">
        <v>0</v>
      </c>
      <c r="T85" s="139">
        <f t="shared" si="33"/>
        <v>0</v>
      </c>
      <c r="Y85" s="157" t="s">
        <v>696</v>
      </c>
      <c r="Z85" s="157">
        <v>0.3</v>
      </c>
      <c r="AA85" s="157"/>
      <c r="AB85" s="157"/>
      <c r="AC85" s="157"/>
      <c r="AE85" s="152"/>
      <c r="AF85" s="152"/>
      <c r="AG85" s="152"/>
      <c r="BO85" t="s">
        <v>591</v>
      </c>
      <c r="BP85" t="s">
        <v>136</v>
      </c>
      <c r="BQ85" s="170">
        <v>0</v>
      </c>
      <c r="BR85" s="170">
        <f t="shared" si="99"/>
        <v>0</v>
      </c>
      <c r="BS85" s="170">
        <v>0</v>
      </c>
      <c r="BT85" s="170">
        <f t="shared" si="100"/>
        <v>0</v>
      </c>
      <c r="BU85">
        <v>0</v>
      </c>
      <c r="BV85">
        <f t="shared" si="107"/>
        <v>0</v>
      </c>
      <c r="BW85">
        <v>0</v>
      </c>
      <c r="BX85">
        <f t="shared" si="101"/>
        <v>0</v>
      </c>
      <c r="BY85" s="170">
        <v>0</v>
      </c>
      <c r="BZ85" s="170">
        <f t="shared" si="102"/>
        <v>0</v>
      </c>
      <c r="CA85" s="170">
        <v>0</v>
      </c>
      <c r="CB85" s="170">
        <f t="shared" si="108"/>
        <v>0</v>
      </c>
      <c r="CC85">
        <v>0</v>
      </c>
      <c r="CD85">
        <f t="shared" si="103"/>
        <v>0</v>
      </c>
      <c r="CE85">
        <v>0</v>
      </c>
      <c r="CF85">
        <f t="shared" si="104"/>
        <v>0</v>
      </c>
      <c r="CG85" s="170">
        <v>0</v>
      </c>
      <c r="CH85" s="170">
        <f t="shared" si="105"/>
        <v>0</v>
      </c>
    </row>
    <row r="86" spans="1:87">
      <c r="A86" t="s">
        <v>592</v>
      </c>
      <c r="B86" t="s">
        <v>136</v>
      </c>
      <c r="C86" s="139">
        <v>0</v>
      </c>
      <c r="D86" s="139">
        <f t="shared" si="26"/>
        <v>0</v>
      </c>
      <c r="E86" s="139">
        <v>0</v>
      </c>
      <c r="F86" s="139">
        <f t="shared" si="27"/>
        <v>0</v>
      </c>
      <c r="G86">
        <v>20</v>
      </c>
      <c r="H86">
        <f t="shared" si="28"/>
        <v>20</v>
      </c>
      <c r="I86">
        <v>0</v>
      </c>
      <c r="J86">
        <f t="shared" si="2"/>
        <v>0</v>
      </c>
      <c r="K86" s="139">
        <v>0</v>
      </c>
      <c r="L86" s="139">
        <f t="shared" si="29"/>
        <v>0</v>
      </c>
      <c r="M86" s="139">
        <v>20</v>
      </c>
      <c r="N86" s="139">
        <f t="shared" si="30"/>
        <v>20</v>
      </c>
      <c r="O86">
        <v>0</v>
      </c>
      <c r="P86">
        <f t="shared" si="31"/>
        <v>0</v>
      </c>
      <c r="Q86">
        <v>0</v>
      </c>
      <c r="R86">
        <f t="shared" si="32"/>
        <v>0</v>
      </c>
      <c r="S86" s="139">
        <v>20</v>
      </c>
      <c r="T86" s="139">
        <f t="shared" si="33"/>
        <v>20</v>
      </c>
      <c r="Y86" s="29" t="s">
        <v>697</v>
      </c>
      <c r="Z86" s="152">
        <f>Z84*Z81</f>
        <v>9343.6815215757561</v>
      </c>
      <c r="AA86" s="152">
        <f t="shared" ref="AA86:AB86" si="111">AA84*AA81</f>
        <v>18124.222880658112</v>
      </c>
      <c r="AB86" s="152">
        <f t="shared" si="111"/>
        <v>444343.40992776619</v>
      </c>
      <c r="AC86" s="152">
        <f>SUM(Z86:AB86)</f>
        <v>471811.31433000008</v>
      </c>
      <c r="AE86" s="152"/>
      <c r="AF86" s="152"/>
      <c r="AG86" s="152"/>
      <c r="BO86" t="s">
        <v>592</v>
      </c>
      <c r="BP86" t="s">
        <v>136</v>
      </c>
      <c r="BQ86" s="170">
        <v>0</v>
      </c>
      <c r="BR86" s="170">
        <f t="shared" si="99"/>
        <v>0</v>
      </c>
      <c r="BS86" s="170">
        <v>0</v>
      </c>
      <c r="BT86" s="170">
        <f t="shared" si="100"/>
        <v>0</v>
      </c>
      <c r="BU86">
        <v>20</v>
      </c>
      <c r="BV86">
        <f t="shared" si="107"/>
        <v>20</v>
      </c>
      <c r="BW86">
        <v>0</v>
      </c>
      <c r="BX86">
        <f t="shared" si="101"/>
        <v>0</v>
      </c>
      <c r="BY86" s="170">
        <v>0</v>
      </c>
      <c r="BZ86" s="170">
        <f t="shared" si="102"/>
        <v>0</v>
      </c>
      <c r="CA86" s="170">
        <v>20</v>
      </c>
      <c r="CB86" s="170">
        <f t="shared" si="108"/>
        <v>20</v>
      </c>
      <c r="CC86">
        <v>0</v>
      </c>
      <c r="CD86">
        <f t="shared" si="103"/>
        <v>0</v>
      </c>
      <c r="CE86">
        <v>0</v>
      </c>
      <c r="CF86">
        <f t="shared" si="104"/>
        <v>0</v>
      </c>
      <c r="CG86" s="170">
        <v>20</v>
      </c>
      <c r="CH86" s="170">
        <f t="shared" si="105"/>
        <v>20</v>
      </c>
    </row>
    <row r="87" spans="1:87">
      <c r="A87" t="s">
        <v>593</v>
      </c>
      <c r="B87" t="s">
        <v>136</v>
      </c>
      <c r="C87" s="139">
        <v>100</v>
      </c>
      <c r="D87" s="139">
        <f t="shared" si="26"/>
        <v>100</v>
      </c>
      <c r="E87" s="139">
        <v>50</v>
      </c>
      <c r="F87" s="139">
        <f t="shared" si="27"/>
        <v>50</v>
      </c>
      <c r="G87">
        <v>30</v>
      </c>
      <c r="H87">
        <f t="shared" si="28"/>
        <v>30</v>
      </c>
      <c r="I87">
        <v>100</v>
      </c>
      <c r="J87">
        <f t="shared" si="2"/>
        <v>100</v>
      </c>
      <c r="K87" s="139">
        <v>50</v>
      </c>
      <c r="L87" s="139">
        <f t="shared" si="29"/>
        <v>50</v>
      </c>
      <c r="M87" s="139">
        <v>30</v>
      </c>
      <c r="N87" s="139">
        <f t="shared" si="30"/>
        <v>30</v>
      </c>
      <c r="O87">
        <v>100</v>
      </c>
      <c r="P87">
        <f t="shared" si="31"/>
        <v>100</v>
      </c>
      <c r="Q87">
        <v>50</v>
      </c>
      <c r="R87">
        <f t="shared" si="32"/>
        <v>50</v>
      </c>
      <c r="S87" s="139">
        <v>30</v>
      </c>
      <c r="T87" s="139">
        <f t="shared" si="33"/>
        <v>30</v>
      </c>
      <c r="X87" s="337" t="s">
        <v>28</v>
      </c>
      <c r="Y87" s="337"/>
      <c r="Z87" s="337"/>
      <c r="AA87" s="337" t="s">
        <v>29</v>
      </c>
      <c r="AB87" s="337"/>
      <c r="AC87" s="337"/>
      <c r="AD87" s="337" t="s">
        <v>30</v>
      </c>
      <c r="AE87" s="337"/>
      <c r="AF87" s="337"/>
      <c r="BO87" t="s">
        <v>593</v>
      </c>
      <c r="BP87" t="s">
        <v>136</v>
      </c>
      <c r="BQ87" s="170">
        <v>100</v>
      </c>
      <c r="BR87" s="170">
        <f t="shared" si="99"/>
        <v>100</v>
      </c>
      <c r="BS87" s="170">
        <v>50</v>
      </c>
      <c r="BT87" s="170">
        <f t="shared" si="100"/>
        <v>50</v>
      </c>
      <c r="BU87">
        <v>30</v>
      </c>
      <c r="BV87">
        <f t="shared" si="107"/>
        <v>30</v>
      </c>
      <c r="BW87">
        <v>100</v>
      </c>
      <c r="BX87">
        <f t="shared" si="101"/>
        <v>100</v>
      </c>
      <c r="BY87" s="170">
        <v>50</v>
      </c>
      <c r="BZ87" s="170">
        <f t="shared" si="102"/>
        <v>50</v>
      </c>
      <c r="CA87" s="170">
        <v>30</v>
      </c>
      <c r="CB87" s="170">
        <f t="shared" si="108"/>
        <v>30</v>
      </c>
      <c r="CC87">
        <v>100</v>
      </c>
      <c r="CD87">
        <f t="shared" si="103"/>
        <v>100</v>
      </c>
      <c r="CE87">
        <v>50</v>
      </c>
      <c r="CF87">
        <f t="shared" si="104"/>
        <v>50</v>
      </c>
      <c r="CG87" s="170">
        <v>30</v>
      </c>
      <c r="CH87" s="170">
        <f t="shared" si="105"/>
        <v>30</v>
      </c>
    </row>
    <row r="88" spans="1:87">
      <c r="A88" t="s">
        <v>594</v>
      </c>
      <c r="B88" t="s">
        <v>136</v>
      </c>
      <c r="C88" s="139">
        <v>0</v>
      </c>
      <c r="D88" s="139">
        <f t="shared" si="26"/>
        <v>0</v>
      </c>
      <c r="E88" s="139">
        <v>30</v>
      </c>
      <c r="F88" s="139">
        <f t="shared" si="27"/>
        <v>30</v>
      </c>
      <c r="G88">
        <v>50</v>
      </c>
      <c r="H88">
        <f>G88-30</f>
        <v>20</v>
      </c>
      <c r="I88">
        <v>0</v>
      </c>
      <c r="J88">
        <f t="shared" si="2"/>
        <v>0</v>
      </c>
      <c r="K88" s="139">
        <v>30</v>
      </c>
      <c r="L88" s="139">
        <f t="shared" si="29"/>
        <v>30</v>
      </c>
      <c r="M88" s="139">
        <v>50</v>
      </c>
      <c r="N88" s="139">
        <f>M88-30</f>
        <v>20</v>
      </c>
      <c r="O88">
        <v>0</v>
      </c>
      <c r="P88">
        <f t="shared" si="31"/>
        <v>0</v>
      </c>
      <c r="Q88">
        <v>30</v>
      </c>
      <c r="R88">
        <f t="shared" si="32"/>
        <v>30</v>
      </c>
      <c r="S88" s="139">
        <v>50</v>
      </c>
      <c r="T88" s="139">
        <f t="shared" si="33"/>
        <v>20</v>
      </c>
      <c r="X88" s="174" t="s">
        <v>36</v>
      </c>
      <c r="Y88" s="174" t="s">
        <v>374</v>
      </c>
      <c r="Z88" s="174" t="s">
        <v>38</v>
      </c>
      <c r="AA88" s="174" t="s">
        <v>36</v>
      </c>
      <c r="AB88" s="174" t="s">
        <v>374</v>
      </c>
      <c r="AC88" s="174" t="s">
        <v>38</v>
      </c>
      <c r="AD88" s="174" t="s">
        <v>36</v>
      </c>
      <c r="AE88" s="174" t="s">
        <v>374</v>
      </c>
      <c r="AF88" s="174" t="s">
        <v>38</v>
      </c>
      <c r="BO88" t="s">
        <v>594</v>
      </c>
      <c r="BP88" t="s">
        <v>136</v>
      </c>
      <c r="BQ88" s="170">
        <v>0</v>
      </c>
      <c r="BR88" s="170">
        <f t="shared" si="99"/>
        <v>0</v>
      </c>
      <c r="BS88" s="170">
        <v>30</v>
      </c>
      <c r="BT88" s="170">
        <f t="shared" si="100"/>
        <v>30</v>
      </c>
      <c r="BU88">
        <v>50</v>
      </c>
      <c r="BV88">
        <f>BU88-30</f>
        <v>20</v>
      </c>
      <c r="BW88">
        <v>0</v>
      </c>
      <c r="BX88">
        <f t="shared" si="101"/>
        <v>0</v>
      </c>
      <c r="BY88" s="170">
        <v>30</v>
      </c>
      <c r="BZ88" s="170">
        <f t="shared" si="102"/>
        <v>30</v>
      </c>
      <c r="CA88" s="170">
        <v>50</v>
      </c>
      <c r="CB88" s="170">
        <f>CA88-30</f>
        <v>20</v>
      </c>
      <c r="CC88">
        <v>0</v>
      </c>
      <c r="CD88">
        <f t="shared" si="103"/>
        <v>0</v>
      </c>
      <c r="CE88">
        <v>30</v>
      </c>
      <c r="CF88">
        <f t="shared" si="104"/>
        <v>30</v>
      </c>
      <c r="CG88" s="170">
        <v>50</v>
      </c>
      <c r="CH88" s="170">
        <f t="shared" si="105"/>
        <v>20</v>
      </c>
    </row>
    <row r="89" spans="1:87">
      <c r="A89" t="s">
        <v>595</v>
      </c>
      <c r="B89" t="s">
        <v>136</v>
      </c>
      <c r="C89" s="139">
        <v>0</v>
      </c>
      <c r="D89" s="139">
        <f t="shared" si="26"/>
        <v>0</v>
      </c>
      <c r="E89" s="139">
        <v>0</v>
      </c>
      <c r="F89" s="139">
        <f t="shared" si="27"/>
        <v>0</v>
      </c>
      <c r="G89">
        <v>0</v>
      </c>
      <c r="H89">
        <f t="shared" si="28"/>
        <v>0</v>
      </c>
      <c r="I89">
        <v>0</v>
      </c>
      <c r="J89">
        <f t="shared" si="2"/>
        <v>0</v>
      </c>
      <c r="K89" s="139">
        <v>0</v>
      </c>
      <c r="L89" s="139">
        <f t="shared" si="29"/>
        <v>0</v>
      </c>
      <c r="M89" s="139">
        <v>0</v>
      </c>
      <c r="N89" s="139">
        <f t="shared" si="30"/>
        <v>0</v>
      </c>
      <c r="O89">
        <v>0</v>
      </c>
      <c r="P89">
        <f t="shared" si="31"/>
        <v>0</v>
      </c>
      <c r="Q89">
        <v>0</v>
      </c>
      <c r="R89">
        <f t="shared" si="32"/>
        <v>0</v>
      </c>
      <c r="S89" s="139">
        <v>0</v>
      </c>
      <c r="T89" s="139">
        <f t="shared" si="33"/>
        <v>0</v>
      </c>
      <c r="W89" s="188" t="s">
        <v>698</v>
      </c>
      <c r="X89" s="246">
        <f>$Z$86*Z71</f>
        <v>3125.5287556564213</v>
      </c>
      <c r="Y89" s="143">
        <f t="shared" ref="Y89:Z89" si="112">$Z$86*AA71</f>
        <v>5616.8204071330547</v>
      </c>
      <c r="Z89" s="143">
        <f t="shared" si="112"/>
        <v>601.33235878628022</v>
      </c>
      <c r="AA89" s="143">
        <f>$AA$86*Z71</f>
        <v>6062.6830716154027</v>
      </c>
      <c r="AB89" s="143">
        <f t="shared" ref="AB89:AC89" si="113">$AA$86*AA71</f>
        <v>10895.117166016193</v>
      </c>
      <c r="AC89" s="143">
        <f t="shared" si="113"/>
        <v>1166.422643026516</v>
      </c>
      <c r="AD89" s="143">
        <f>$AB$86*Z71</f>
        <v>148636.0704727282</v>
      </c>
      <c r="AE89" s="143">
        <f t="shared" ref="AE89:AF89" si="114">$AB$86*AA71</f>
        <v>267110.68082685082</v>
      </c>
      <c r="AF89" s="143">
        <f t="shared" si="114"/>
        <v>28596.658628187204</v>
      </c>
      <c r="AG89" s="140">
        <f>AE89+AF89</f>
        <v>295707.33945503802</v>
      </c>
      <c r="AH89" s="140">
        <f>AA89+AB89</f>
        <v>16957.800237631596</v>
      </c>
      <c r="BO89" t="s">
        <v>595</v>
      </c>
      <c r="BP89" t="s">
        <v>136</v>
      </c>
      <c r="BQ89" s="170">
        <v>0</v>
      </c>
      <c r="BR89" s="170">
        <f t="shared" si="99"/>
        <v>0</v>
      </c>
      <c r="BS89" s="170">
        <v>0</v>
      </c>
      <c r="BT89" s="170">
        <f t="shared" si="100"/>
        <v>0</v>
      </c>
      <c r="BU89">
        <v>0</v>
      </c>
      <c r="BV89">
        <f t="shared" ref="BV89" si="115">BU89</f>
        <v>0</v>
      </c>
      <c r="BW89">
        <v>0</v>
      </c>
      <c r="BX89">
        <f t="shared" si="101"/>
        <v>0</v>
      </c>
      <c r="BY89" s="170">
        <v>0</v>
      </c>
      <c r="BZ89" s="170">
        <f t="shared" si="102"/>
        <v>0</v>
      </c>
      <c r="CA89" s="170">
        <v>0</v>
      </c>
      <c r="CB89" s="170">
        <f t="shared" ref="CB89" si="116">CA89</f>
        <v>0</v>
      </c>
      <c r="CC89">
        <v>0</v>
      </c>
      <c r="CD89">
        <f t="shared" si="103"/>
        <v>0</v>
      </c>
      <c r="CE89">
        <v>0</v>
      </c>
      <c r="CF89">
        <f t="shared" si="104"/>
        <v>0</v>
      </c>
      <c r="CG89" s="170">
        <v>0</v>
      </c>
      <c r="CH89" s="170">
        <f t="shared" si="105"/>
        <v>0</v>
      </c>
    </row>
    <row r="90" spans="1:87">
      <c r="W90" s="188" t="s">
        <v>699</v>
      </c>
      <c r="X90" s="247">
        <f>X89*(AVERAGE($AD$37:$AD$43,$AD$45:$AD$49,$AD$51:$AD$57,$AD$59:$AD$66))</f>
        <v>1252.0885999845095</v>
      </c>
      <c r="Y90" s="152">
        <f>Y89*(AVERAGE($AF$37:$AF$43,$AF$45:$AF$49,$AF$51:$AF$57,$AF$59:$AF$66))</f>
        <v>2296.5328962487019</v>
      </c>
      <c r="Z90" s="152">
        <f>Z89*(AVERAGE($AH$37:$AH$43,$AH$45:$AH$49,$AH$51:$AH$57,$AH$59:$AH$66))</f>
        <v>271.22648287039061</v>
      </c>
      <c r="AA90" s="173">
        <f>AA89*(AVERAGE($AD$37:$AD$43,$AD$45:$AD$49,$AD$51:$AD$57,$AD$59:$AD$66))</f>
        <v>2428.7142921180566</v>
      </c>
      <c r="AB90" s="175">
        <f>AB89*(AVERAGE($AF$37:$AF$43,$AF$45:$AF$49,$AF$51:$AF$57,$AF$59:$AF$66))</f>
        <v>4454.6546206933772</v>
      </c>
      <c r="AC90" s="143">
        <f>AC89*(AVERAGE($AH$37:$AH$43,$AH$45:$AH$49,$AH$51:$AH$57,$AH$59:$AH$66))</f>
        <v>526.10624787765062</v>
      </c>
      <c r="AD90" s="143">
        <f>AD89*(AVERAGE($AD$37:$AD$43,$AD$45:$AD$49,$AD$51:$AD$57,$AD$59:$AD$66))</f>
        <v>59543.694502439925</v>
      </c>
      <c r="AE90" s="175">
        <f>AE89*(AVERAGE($AF$37:$AF$43,$AF$45:$AF$49,$AF$51:$AF$57,$AF$59:$AF$66))</f>
        <v>109212.76113425841</v>
      </c>
      <c r="AF90" s="175">
        <f>AF89*(AVERAGE($AH$37:$AH$43,$AH$45:$AH$49,$AH$51:$AH$57,$AH$59:$AH$66))</f>
        <v>12898.309941649171</v>
      </c>
    </row>
    <row r="91" spans="1:87">
      <c r="W91" s="188" t="s">
        <v>700</v>
      </c>
      <c r="X91" s="247">
        <f>X89*(AVERAGE($AE$37:$AE$43,$AE$45:$AE$49,$AE$51:$AE$57,$AE$59:$AE$66))</f>
        <v>31.85848563460608</v>
      </c>
      <c r="Y91" s="152">
        <f>Y89*(AVERAGE($AG$37:$AG$43,$AG$45:$AG$49,$AG$51:$AG$57,$AG$59:$AG$66))</f>
        <v>76.863336028659759</v>
      </c>
      <c r="Z91" s="152">
        <f>Z89*(AVERAGE($AI$37:$AI$43,$AI$45:$AI$49,$AI$51:$AI$57,$AI$59:$AI$66))</f>
        <v>6.4779924861701481</v>
      </c>
      <c r="AA91" s="173">
        <f>AA89*(AVERAGE($AE$37:$AE$43,$AE$45:$AE$49,$AE$51:$AE$57,$AE$59:$AE$66))</f>
        <v>61.796872351495608</v>
      </c>
      <c r="AB91" s="175">
        <f>AB89*(AVERAGE($AG$37:$AG$43,$AG$45:$AG$49,$AG$51:$AG$57,$AG$59:$AG$66))</f>
        <v>149.09414777435737</v>
      </c>
      <c r="AC91" s="143">
        <f>AC89*(AVERAGE($AI$37:$AI$43,$AI$45:$AI$49,$AI$51:$AI$57,$AI$59:$AI$66))</f>
        <v>12.565558807571177</v>
      </c>
      <c r="AD91" s="143">
        <f>AD89*(AVERAGE($AE$37:$AE$43,$AE$45:$AE$49,$AE$51:$AE$57,$AE$59:$AE$66))</f>
        <v>1515.0460885602058</v>
      </c>
      <c r="AE91" s="175">
        <f>AE89*(AVERAGE($AG$37:$AG$43,$AG$45:$AG$49,$AG$51:$AG$57,$AG$59:$AG$66))</f>
        <v>3655.2740748422452</v>
      </c>
      <c r="AF91" s="175">
        <f>AF89*(AVERAGE($AI$37:$AI$43,$AI$45:$AI$49,$AI$51:$AI$57,$AI$59:$AI$66))</f>
        <v>308.06414625162193</v>
      </c>
    </row>
    <row r="92" spans="1:87">
      <c r="W92" s="188" t="s">
        <v>23</v>
      </c>
      <c r="X92" s="227">
        <f>X90/X89</f>
        <v>0.40060056965354868</v>
      </c>
      <c r="Y92" s="121">
        <f t="shared" ref="Y92:AF92" si="117">Y90/Y89</f>
        <v>0.40886706887267232</v>
      </c>
      <c r="Z92" s="121">
        <f t="shared" si="117"/>
        <v>0.45104255393444964</v>
      </c>
      <c r="AA92" s="121">
        <f t="shared" si="117"/>
        <v>0.40060056965354868</v>
      </c>
      <c r="AB92" s="121">
        <f t="shared" si="117"/>
        <v>0.40886706887267232</v>
      </c>
      <c r="AC92" s="121">
        <f t="shared" si="117"/>
        <v>0.45104255393444964</v>
      </c>
      <c r="AD92" s="121">
        <f t="shared" si="117"/>
        <v>0.40060056965354868</v>
      </c>
      <c r="AE92" s="121">
        <f t="shared" si="117"/>
        <v>0.40886706887267232</v>
      </c>
      <c r="AF92" s="121">
        <f t="shared" si="117"/>
        <v>0.45104255393444964</v>
      </c>
    </row>
    <row r="93" spans="1:87">
      <c r="W93" s="188" t="s">
        <v>22</v>
      </c>
      <c r="X93" s="227">
        <f>X91/X89</f>
        <v>1.0192990730592457E-2</v>
      </c>
      <c r="Y93" s="121">
        <f t="shared" ref="Y93:AF93" si="118">Y91/Y89</f>
        <v>1.3684492374199383E-2</v>
      </c>
      <c r="Z93" s="121">
        <f t="shared" si="118"/>
        <v>1.0772732236204993E-2</v>
      </c>
      <c r="AA93" s="121">
        <f t="shared" si="118"/>
        <v>1.0192990730592457E-2</v>
      </c>
      <c r="AB93" s="121">
        <f t="shared" si="118"/>
        <v>1.3684492374199381E-2</v>
      </c>
      <c r="AC93" s="121">
        <f t="shared" si="118"/>
        <v>1.0772732236204993E-2</v>
      </c>
      <c r="AD93" s="121">
        <f t="shared" si="118"/>
        <v>1.0192990730592457E-2</v>
      </c>
      <c r="AE93" s="121">
        <f t="shared" si="118"/>
        <v>1.3684492374199383E-2</v>
      </c>
      <c r="AF93" s="121">
        <f t="shared" si="118"/>
        <v>1.0772732236204993E-2</v>
      </c>
    </row>
    <row r="94" spans="1:87">
      <c r="W94" s="188"/>
      <c r="X94" s="227"/>
      <c r="Y94" s="121"/>
      <c r="Z94" s="121"/>
      <c r="AA94" s="290">
        <f>AA89/AH89</f>
        <v>0.35751589160494468</v>
      </c>
      <c r="AB94" s="290">
        <f>AB89/AH89</f>
        <v>0.64248410839505532</v>
      </c>
      <c r="AC94" s="290"/>
      <c r="AD94" s="290"/>
      <c r="AE94" s="290">
        <f>AE89/AG89</f>
        <v>0.9032940518795094</v>
      </c>
      <c r="AF94" s="290">
        <f>AF89/AG89</f>
        <v>9.6705948120490576E-2</v>
      </c>
      <c r="BQ94"/>
      <c r="BU94" s="170"/>
      <c r="BY94"/>
      <c r="CC94" s="170"/>
      <c r="CG94"/>
      <c r="CI94" s="170"/>
    </row>
    <row r="95" spans="1:87" ht="43.15">
      <c r="W95" s="188" t="s">
        <v>701</v>
      </c>
      <c r="X95" s="248" t="s">
        <v>702</v>
      </c>
      <c r="Y95">
        <v>2020</v>
      </c>
      <c r="Z95">
        <v>2021</v>
      </c>
      <c r="AA95">
        <v>2022</v>
      </c>
      <c r="AB95">
        <v>2023</v>
      </c>
      <c r="AC95">
        <v>2024</v>
      </c>
      <c r="BQ95"/>
      <c r="BU95" s="170"/>
      <c r="BY95"/>
      <c r="CC95" s="170"/>
      <c r="CG95"/>
      <c r="CI95" s="170"/>
    </row>
    <row r="96" spans="1:87">
      <c r="W96" s="146" t="s">
        <v>703</v>
      </c>
      <c r="X96" s="146">
        <v>1.58</v>
      </c>
      <c r="Y96" s="140">
        <f>AE89</f>
        <v>267110.68082685082</v>
      </c>
      <c r="Z96" s="140">
        <f>Y96+((Y96*$X$96)/100)</f>
        <v>271331.02958391508</v>
      </c>
      <c r="AA96" s="140">
        <f>Z96+((Z96*$X$96)/100)</f>
        <v>275618.05985134095</v>
      </c>
      <c r="AB96" s="140">
        <f>AA96+((AA96*$X$96)/100)</f>
        <v>279972.82519699214</v>
      </c>
      <c r="AC96" s="140">
        <f>AB96+((AB96*$X$96)/100)</f>
        <v>284396.39583510463</v>
      </c>
      <c r="AE96" s="140"/>
      <c r="AF96" s="140"/>
      <c r="BQ96"/>
      <c r="BU96" s="170"/>
      <c r="BY96"/>
      <c r="CC96" s="170"/>
      <c r="CG96"/>
      <c r="CI96" s="170"/>
    </row>
    <row r="97" spans="2:87">
      <c r="W97" s="146" t="s">
        <v>704</v>
      </c>
      <c r="X97" s="146">
        <v>1.48</v>
      </c>
      <c r="Y97" s="140">
        <f>AF89</f>
        <v>28596.658628187204</v>
      </c>
      <c r="Z97" s="140">
        <f>Y97+((Y97*$X$97)/100)</f>
        <v>29019.889175884375</v>
      </c>
      <c r="AA97" s="140">
        <f>Z97+((Z97*$X$97)/100)</f>
        <v>29449.383535687462</v>
      </c>
      <c r="AB97" s="140">
        <f>AA97+((AA97*$X$97)/100)</f>
        <v>29885.234412015638</v>
      </c>
      <c r="AC97" s="140">
        <f>AB97+((AB97*$X$97)/100)</f>
        <v>30327.53588131347</v>
      </c>
      <c r="BQ97"/>
      <c r="BU97" s="170"/>
      <c r="BY97"/>
      <c r="CC97" s="170"/>
      <c r="CG97"/>
      <c r="CI97" s="170"/>
    </row>
    <row r="98" spans="2:87">
      <c r="W98" s="146" t="s">
        <v>705</v>
      </c>
      <c r="X98" s="146">
        <v>1.35</v>
      </c>
      <c r="Y98" s="140">
        <f>AB89</f>
        <v>10895.117166016193</v>
      </c>
      <c r="Z98" s="140">
        <f>Y98+((Y98*$X$98)/100)</f>
        <v>11042.201247757412</v>
      </c>
      <c r="AA98" s="140">
        <f>Z98+((Z98*$X$98)/100)</f>
        <v>11191.270964602138</v>
      </c>
      <c r="AB98" s="140">
        <f>AA98+((AA98*$X$98)/100)</f>
        <v>11342.353122624267</v>
      </c>
      <c r="AC98" s="140">
        <f>AB98+((AB98*$X$98)/100)</f>
        <v>11495.474889779694</v>
      </c>
      <c r="BQ98"/>
      <c r="BU98" s="170"/>
      <c r="BY98"/>
      <c r="CC98" s="170"/>
      <c r="CG98"/>
      <c r="CI98" s="170"/>
    </row>
    <row r="99" spans="2:87">
      <c r="W99" s="146" t="s">
        <v>706</v>
      </c>
      <c r="X99" s="146">
        <v>1.35</v>
      </c>
      <c r="Y99" s="140">
        <f>AA89</f>
        <v>6062.6830716154027</v>
      </c>
      <c r="Z99" s="140">
        <f>Y99+((Y99*$X$99)/100)</f>
        <v>6144.5292930822106</v>
      </c>
      <c r="AA99" s="140">
        <f>Z99+((Z99*$X$99)/100)</f>
        <v>6227.4804385388206</v>
      </c>
      <c r="AB99" s="140">
        <f>AA99+((AA99*$X$99)/100)</f>
        <v>6311.551424459095</v>
      </c>
      <c r="AC99" s="140">
        <f>AB99+((AB99*$X$99)/100)</f>
        <v>6396.7573686892929</v>
      </c>
      <c r="BQ99"/>
      <c r="BU99" s="170"/>
      <c r="BY99"/>
      <c r="CC99" s="170"/>
      <c r="CG99"/>
      <c r="CI99" s="170"/>
    </row>
    <row r="100" spans="2:87">
      <c r="W100" s="146" t="s">
        <v>707</v>
      </c>
      <c r="X100" s="146">
        <v>1.1599999999999999</v>
      </c>
      <c r="Y100" s="140">
        <f>X89</f>
        <v>3125.5287556564213</v>
      </c>
      <c r="Z100" s="140">
        <f>Y100+((Y100*$X$100)/100)</f>
        <v>3161.7848892220359</v>
      </c>
      <c r="AA100" s="140">
        <f>Z100+((Z100*$X$100)/100)</f>
        <v>3198.4615939370115</v>
      </c>
      <c r="AB100" s="140">
        <f>AA100+((AA100*$X$100)/100)</f>
        <v>3235.5637484266808</v>
      </c>
      <c r="AC100" s="140">
        <f>AB100+((AB100*$X$100)/100)</f>
        <v>3273.0962879084304</v>
      </c>
    </row>
    <row r="101" spans="2:87">
      <c r="W101" s="161"/>
      <c r="X101" s="161"/>
    </row>
    <row r="102" spans="2:87">
      <c r="B102" s="103"/>
      <c r="C102" s="208"/>
      <c r="D102" s="208"/>
      <c r="E102" s="208"/>
      <c r="F102" s="208"/>
      <c r="W102" s="161"/>
      <c r="X102" s="161"/>
      <c r="AG102">
        <v>9</v>
      </c>
      <c r="AH102">
        <v>10</v>
      </c>
      <c r="AI102">
        <v>11</v>
      </c>
      <c r="AJ102">
        <v>12</v>
      </c>
      <c r="AK102">
        <v>13</v>
      </c>
      <c r="AL102">
        <v>14</v>
      </c>
      <c r="AM102">
        <v>15</v>
      </c>
      <c r="AN102">
        <v>16</v>
      </c>
      <c r="AO102">
        <v>17</v>
      </c>
      <c r="AP102">
        <v>18</v>
      </c>
      <c r="AQ102">
        <v>19</v>
      </c>
      <c r="AR102">
        <v>20</v>
      </c>
    </row>
    <row r="103" spans="2:87" ht="43.15">
      <c r="W103" s="188" t="s">
        <v>708</v>
      </c>
      <c r="X103" s="248" t="s">
        <v>702</v>
      </c>
      <c r="Y103">
        <v>1</v>
      </c>
      <c r="Z103">
        <v>2</v>
      </c>
      <c r="AA103">
        <v>3</v>
      </c>
      <c r="AB103">
        <v>4</v>
      </c>
      <c r="AC103">
        <v>5</v>
      </c>
      <c r="AD103">
        <v>6</v>
      </c>
      <c r="AE103">
        <v>7</v>
      </c>
      <c r="AF103">
        <v>8</v>
      </c>
      <c r="AG103" s="140">
        <f>AF104+((AF104*$X$104)/100)</f>
        <v>322396.08267810458</v>
      </c>
      <c r="AH103" s="140">
        <f t="shared" ref="AH103:AR103" si="119">AG103+((AG103*$X$104)/100)</f>
        <v>327489.94078441861</v>
      </c>
      <c r="AI103" s="140">
        <f t="shared" si="119"/>
        <v>332664.28184881242</v>
      </c>
      <c r="AJ103" s="140">
        <f t="shared" si="119"/>
        <v>337920.37750202365</v>
      </c>
      <c r="AK103" s="140">
        <f t="shared" si="119"/>
        <v>343259.51946655562</v>
      </c>
      <c r="AL103" s="140">
        <f t="shared" si="119"/>
        <v>348683.01987412717</v>
      </c>
      <c r="AM103" s="140">
        <f t="shared" si="119"/>
        <v>354192.21158813837</v>
      </c>
      <c r="AN103" s="140">
        <f t="shared" si="119"/>
        <v>359788.44853123097</v>
      </c>
      <c r="AO103" s="140">
        <f t="shared" si="119"/>
        <v>365473.10601802444</v>
      </c>
      <c r="AP103" s="140">
        <f t="shared" si="119"/>
        <v>371247.58109310921</v>
      </c>
      <c r="AQ103" s="140">
        <f t="shared" si="119"/>
        <v>377113.29287438036</v>
      </c>
      <c r="AR103" s="151">
        <f t="shared" si="119"/>
        <v>383071.68290179555</v>
      </c>
    </row>
    <row r="104" spans="2:87">
      <c r="B104" s="143"/>
      <c r="W104" s="146" t="s">
        <v>703</v>
      </c>
      <c r="X104" s="146">
        <v>1.58</v>
      </c>
      <c r="Y104" s="140">
        <f>AC96</f>
        <v>284396.39583510463</v>
      </c>
      <c r="Z104" s="140">
        <f t="shared" ref="Z104:AF104" si="120">Y104+((Y104*$X$104)/100)</f>
        <v>288889.85888929927</v>
      </c>
      <c r="AA104" s="140">
        <f t="shared" si="120"/>
        <v>293454.31865975022</v>
      </c>
      <c r="AB104" s="140">
        <f t="shared" si="120"/>
        <v>298090.89689457428</v>
      </c>
      <c r="AC104" s="140">
        <f t="shared" si="120"/>
        <v>302800.73306550854</v>
      </c>
      <c r="AD104" s="140">
        <f t="shared" si="120"/>
        <v>307584.98464794358</v>
      </c>
      <c r="AE104" s="140">
        <f t="shared" si="120"/>
        <v>312444.82740538107</v>
      </c>
      <c r="AF104" s="140">
        <f t="shared" si="120"/>
        <v>317381.45567838609</v>
      </c>
      <c r="AG104" s="140">
        <f>AF105+((AF105*$X$105)/100)</f>
        <v>34109.927287912265</v>
      </c>
      <c r="AH104" s="140">
        <f t="shared" ref="AH104:AR104" si="121">AG104+((AG104*$X$105)/100)</f>
        <v>34614.754211773368</v>
      </c>
      <c r="AI104" s="140">
        <f t="shared" si="121"/>
        <v>35127.052574107613</v>
      </c>
      <c r="AJ104" s="140">
        <f t="shared" si="121"/>
        <v>35646.932952204406</v>
      </c>
      <c r="AK104" s="140">
        <f t="shared" si="121"/>
        <v>36174.507559897029</v>
      </c>
      <c r="AL104" s="140">
        <f t="shared" si="121"/>
        <v>36709.890271783508</v>
      </c>
      <c r="AM104" s="140">
        <f t="shared" si="121"/>
        <v>37253.196647805904</v>
      </c>
      <c r="AN104" s="140">
        <f t="shared" si="121"/>
        <v>37804.543958193433</v>
      </c>
      <c r="AO104" s="140">
        <f t="shared" si="121"/>
        <v>38364.051208774697</v>
      </c>
      <c r="AP104" s="140">
        <f t="shared" si="121"/>
        <v>38931.839166664562</v>
      </c>
      <c r="AQ104" s="140">
        <f t="shared" si="121"/>
        <v>39508.0303863312</v>
      </c>
      <c r="AR104" s="151">
        <f t="shared" si="121"/>
        <v>40092.749236048905</v>
      </c>
    </row>
    <row r="105" spans="2:87">
      <c r="B105" s="143"/>
      <c r="W105" s="146" t="s">
        <v>704</v>
      </c>
      <c r="X105" s="146">
        <v>1.48</v>
      </c>
      <c r="Y105" s="140">
        <f>AC97</f>
        <v>30327.53588131347</v>
      </c>
      <c r="Z105" s="140">
        <f t="shared" ref="Z105:AF105" si="122">Y105+((Y105*$X$105)/100)</f>
        <v>30776.38341235691</v>
      </c>
      <c r="AA105" s="140">
        <f t="shared" si="122"/>
        <v>31231.873886859794</v>
      </c>
      <c r="AB105" s="140">
        <f t="shared" si="122"/>
        <v>31694.105620385319</v>
      </c>
      <c r="AC105" s="140">
        <f t="shared" si="122"/>
        <v>32163.178383567021</v>
      </c>
      <c r="AD105" s="140">
        <f t="shared" si="122"/>
        <v>32639.193423643814</v>
      </c>
      <c r="AE105" s="140">
        <f t="shared" si="122"/>
        <v>33122.253486313741</v>
      </c>
      <c r="AF105" s="140">
        <f t="shared" si="122"/>
        <v>33612.462837911182</v>
      </c>
      <c r="AG105" s="140">
        <f>AF106+((AF106*$X$106)/100)</f>
        <v>12797.258462482519</v>
      </c>
      <c r="AH105" s="140">
        <f t="shared" ref="AH105:AR105" si="123">AG105+((AG105*$X$106)/100)</f>
        <v>12970.021451726034</v>
      </c>
      <c r="AI105" s="140">
        <f t="shared" si="123"/>
        <v>13145.116741324335</v>
      </c>
      <c r="AJ105" s="140">
        <f t="shared" si="123"/>
        <v>13322.575817332214</v>
      </c>
      <c r="AK105" s="140">
        <f t="shared" si="123"/>
        <v>13502.430590866199</v>
      </c>
      <c r="AL105" s="140">
        <f t="shared" si="123"/>
        <v>13684.713403842892</v>
      </c>
      <c r="AM105" s="140">
        <f t="shared" si="123"/>
        <v>13869.457034794772</v>
      </c>
      <c r="AN105" s="140">
        <f t="shared" si="123"/>
        <v>14056.694704764501</v>
      </c>
      <c r="AO105" s="140">
        <f t="shared" si="123"/>
        <v>14246.460083278822</v>
      </c>
      <c r="AP105" s="140">
        <f t="shared" si="123"/>
        <v>14438.787294403086</v>
      </c>
      <c r="AQ105" s="140">
        <f t="shared" si="123"/>
        <v>14633.710922877528</v>
      </c>
      <c r="AR105" s="151">
        <f t="shared" si="123"/>
        <v>14831.266020336374</v>
      </c>
    </row>
    <row r="106" spans="2:87">
      <c r="B106" s="143"/>
      <c r="W106" s="146" t="s">
        <v>705</v>
      </c>
      <c r="X106" s="146">
        <v>1.35</v>
      </c>
      <c r="Y106" s="140">
        <f>AC98</f>
        <v>11495.474889779694</v>
      </c>
      <c r="Z106" s="140">
        <f t="shared" ref="Z106:AF106" si="124">Y106+((Y106*$X$106)/100)</f>
        <v>11650.663800791721</v>
      </c>
      <c r="AA106" s="140">
        <f t="shared" si="124"/>
        <v>11807.947762102409</v>
      </c>
      <c r="AB106" s="140">
        <f t="shared" si="124"/>
        <v>11967.355056890792</v>
      </c>
      <c r="AC106" s="140">
        <f t="shared" si="124"/>
        <v>12128.914350158819</v>
      </c>
      <c r="AD106" s="140">
        <f t="shared" si="124"/>
        <v>12292.654693885963</v>
      </c>
      <c r="AE106" s="140">
        <f t="shared" si="124"/>
        <v>12458.605532253423</v>
      </c>
      <c r="AF106" s="140">
        <f t="shared" si="124"/>
        <v>12626.796706938845</v>
      </c>
      <c r="AG106" s="140">
        <f>AF107+((AF107*$X$107)/100)</f>
        <v>7121.1462035106306</v>
      </c>
      <c r="AH106" s="140">
        <f t="shared" ref="AH106:AR106" si="125">AG106+((AG106*$X$107)/100)</f>
        <v>7217.2816772580245</v>
      </c>
      <c r="AI106" s="140">
        <f t="shared" si="125"/>
        <v>7314.7149799010076</v>
      </c>
      <c r="AJ106" s="140">
        <f t="shared" si="125"/>
        <v>7413.4636321296712</v>
      </c>
      <c r="AK106" s="140">
        <f t="shared" si="125"/>
        <v>7513.5453911634213</v>
      </c>
      <c r="AL106" s="140">
        <f t="shared" si="125"/>
        <v>7614.9782539441276</v>
      </c>
      <c r="AM106" s="140">
        <f t="shared" si="125"/>
        <v>7717.7804603723735</v>
      </c>
      <c r="AN106" s="140">
        <f t="shared" si="125"/>
        <v>7821.9704965874007</v>
      </c>
      <c r="AO106" s="140">
        <f t="shared" si="125"/>
        <v>7927.5670982913307</v>
      </c>
      <c r="AP106" s="140">
        <f t="shared" si="125"/>
        <v>8034.5892541182639</v>
      </c>
      <c r="AQ106" s="140">
        <f t="shared" si="125"/>
        <v>8143.0562090488602</v>
      </c>
      <c r="AR106" s="151">
        <f t="shared" si="125"/>
        <v>8252.9874678710203</v>
      </c>
    </row>
    <row r="107" spans="2:87">
      <c r="B107" s="143"/>
      <c r="W107" s="146" t="s">
        <v>706</v>
      </c>
      <c r="X107" s="146">
        <v>1.35</v>
      </c>
      <c r="Y107" s="140">
        <f>AC99</f>
        <v>6396.7573686892929</v>
      </c>
      <c r="Z107" s="140">
        <f t="shared" ref="Z107:AF107" si="126">Y107+((Y107*$X$107)/100)</f>
        <v>6483.1135931665985</v>
      </c>
      <c r="AA107" s="140">
        <f t="shared" si="126"/>
        <v>6570.6356266743478</v>
      </c>
      <c r="AB107" s="140">
        <f t="shared" si="126"/>
        <v>6659.3392076344517</v>
      </c>
      <c r="AC107" s="140">
        <f t="shared" si="126"/>
        <v>6749.2402869375164</v>
      </c>
      <c r="AD107" s="140">
        <f t="shared" si="126"/>
        <v>6840.3550308111726</v>
      </c>
      <c r="AE107" s="140">
        <f t="shared" si="126"/>
        <v>6932.6998237271237</v>
      </c>
      <c r="AF107" s="140">
        <f t="shared" si="126"/>
        <v>7026.2912713474398</v>
      </c>
      <c r="AG107" s="140">
        <f>AF108+((AF108*$X$108)/100)</f>
        <v>3589.4618919707318</v>
      </c>
      <c r="AH107" s="140">
        <f t="shared" ref="AH107:AR107" si="127">AG107+((AG107*$X$108)/100)</f>
        <v>3631.0996499175922</v>
      </c>
      <c r="AI107" s="140">
        <f t="shared" si="127"/>
        <v>3673.2204058566363</v>
      </c>
      <c r="AJ107" s="140">
        <f t="shared" si="127"/>
        <v>3715.8297625645732</v>
      </c>
      <c r="AK107" s="140">
        <f t="shared" si="127"/>
        <v>3758.9333878103221</v>
      </c>
      <c r="AL107" s="140">
        <f t="shared" si="127"/>
        <v>3802.5370151089219</v>
      </c>
      <c r="AM107" s="140">
        <f t="shared" si="127"/>
        <v>3846.6464444841854</v>
      </c>
      <c r="AN107" s="140">
        <f t="shared" si="127"/>
        <v>3891.267543240202</v>
      </c>
      <c r="AO107" s="140">
        <f t="shared" si="127"/>
        <v>3936.4062467417884</v>
      </c>
      <c r="AP107" s="140">
        <f t="shared" si="127"/>
        <v>3982.0685592039931</v>
      </c>
      <c r="AQ107" s="140">
        <f t="shared" si="127"/>
        <v>4028.2605544907592</v>
      </c>
      <c r="AR107" s="151">
        <f t="shared" si="127"/>
        <v>4074.9883769228518</v>
      </c>
    </row>
    <row r="108" spans="2:87">
      <c r="B108" s="143"/>
      <c r="C108" s="207"/>
      <c r="D108" s="207"/>
      <c r="E108" s="207"/>
      <c r="F108" s="207"/>
      <c r="W108" s="146" t="s">
        <v>707</v>
      </c>
      <c r="X108" s="146">
        <v>1.1599999999999999</v>
      </c>
      <c r="Y108" s="140">
        <f>AC100</f>
        <v>3273.0962879084304</v>
      </c>
      <c r="Z108" s="140">
        <f t="shared" ref="Z108:AF108" si="128">Y108+((Y108*$X$108)/100)</f>
        <v>3311.0642048481682</v>
      </c>
      <c r="AA108" s="140">
        <f t="shared" si="128"/>
        <v>3349.4725496244068</v>
      </c>
      <c r="AB108" s="140">
        <f t="shared" si="128"/>
        <v>3388.3264312000501</v>
      </c>
      <c r="AC108" s="140">
        <f t="shared" si="128"/>
        <v>3427.6310178019708</v>
      </c>
      <c r="AD108" s="140">
        <f t="shared" si="128"/>
        <v>3467.3915376084738</v>
      </c>
      <c r="AE108" s="140">
        <f t="shared" si="128"/>
        <v>3507.6132794447321</v>
      </c>
      <c r="AF108" s="140">
        <f t="shared" si="128"/>
        <v>3548.301593486291</v>
      </c>
      <c r="AR108" s="140">
        <f>SUM(AR103:AR107)</f>
        <v>450323.6740029747</v>
      </c>
    </row>
    <row r="109" spans="2:87">
      <c r="B109" s="143"/>
      <c r="C109" s="207"/>
      <c r="D109" s="207"/>
      <c r="E109" s="207"/>
      <c r="F109" s="207"/>
      <c r="G109" s="152"/>
      <c r="H109" s="152"/>
      <c r="W109" s="161"/>
      <c r="X109" s="161"/>
    </row>
    <row r="110" spans="2:87">
      <c r="B110" s="120"/>
      <c r="C110" s="209"/>
      <c r="D110" s="209"/>
      <c r="E110" s="209"/>
      <c r="F110" s="209"/>
      <c r="W110" s="161"/>
      <c r="X110" s="161"/>
      <c r="AG110">
        <v>9</v>
      </c>
      <c r="AH110">
        <v>10</v>
      </c>
      <c r="AI110">
        <v>11</v>
      </c>
      <c r="AJ110">
        <v>12</v>
      </c>
      <c r="AK110">
        <v>13</v>
      </c>
      <c r="AL110">
        <v>14</v>
      </c>
      <c r="AM110">
        <v>15</v>
      </c>
      <c r="AN110">
        <v>16</v>
      </c>
      <c r="AO110">
        <v>17</v>
      </c>
      <c r="AP110">
        <v>18</v>
      </c>
      <c r="AQ110">
        <v>19</v>
      </c>
      <c r="AR110">
        <v>20</v>
      </c>
    </row>
    <row r="111" spans="2:87" ht="43.15">
      <c r="W111" s="188" t="s">
        <v>709</v>
      </c>
      <c r="X111" s="248" t="s">
        <v>702</v>
      </c>
      <c r="Y111">
        <v>1</v>
      </c>
      <c r="Z111">
        <v>2</v>
      </c>
      <c r="AA111">
        <v>3</v>
      </c>
      <c r="AB111">
        <v>4</v>
      </c>
      <c r="AC111">
        <v>5</v>
      </c>
      <c r="AD111">
        <v>6</v>
      </c>
      <c r="AE111">
        <v>7</v>
      </c>
      <c r="AF111">
        <v>8</v>
      </c>
      <c r="AG111" s="140">
        <f>AF112+((AF112*$X$112)/100)</f>
        <v>306014.51248659455</v>
      </c>
      <c r="AH111" s="140">
        <f t="shared" ref="AH111:AR111" si="129">AG111+((AG111*$X$112)/100)</f>
        <v>308829.84600147122</v>
      </c>
      <c r="AI111" s="140">
        <f t="shared" si="129"/>
        <v>311671.08058468474</v>
      </c>
      <c r="AJ111" s="140">
        <f t="shared" si="129"/>
        <v>314538.45452606381</v>
      </c>
      <c r="AK111" s="140">
        <f t="shared" si="129"/>
        <v>317432.20830770361</v>
      </c>
      <c r="AL111" s="140">
        <f t="shared" si="129"/>
        <v>320352.58462413447</v>
      </c>
      <c r="AM111" s="140">
        <f t="shared" si="129"/>
        <v>323299.8284026765</v>
      </c>
      <c r="AN111" s="140">
        <f t="shared" si="129"/>
        <v>326274.18682398112</v>
      </c>
      <c r="AO111" s="140">
        <f t="shared" si="129"/>
        <v>329275.90934276173</v>
      </c>
      <c r="AP111" s="140">
        <f t="shared" si="129"/>
        <v>332305.24770871515</v>
      </c>
      <c r="AQ111" s="140">
        <f t="shared" si="129"/>
        <v>335362.4559876353</v>
      </c>
      <c r="AR111" s="151">
        <f t="shared" si="129"/>
        <v>338447.79058272153</v>
      </c>
    </row>
    <row r="112" spans="2:87">
      <c r="W112" s="146" t="s">
        <v>703</v>
      </c>
      <c r="X112" s="146">
        <v>0.92</v>
      </c>
      <c r="Y112" s="140">
        <f>AC96</f>
        <v>284396.39583510463</v>
      </c>
      <c r="Z112" s="140">
        <f t="shared" ref="Z112:AF112" si="130">Y112+((Y112*$X$112)/100)</f>
        <v>287012.84267678758</v>
      </c>
      <c r="AA112" s="140">
        <f t="shared" si="130"/>
        <v>289653.36082941404</v>
      </c>
      <c r="AB112" s="140">
        <f t="shared" si="130"/>
        <v>292318.17174904468</v>
      </c>
      <c r="AC112" s="140">
        <f t="shared" si="130"/>
        <v>295007.49892913591</v>
      </c>
      <c r="AD112" s="140">
        <f t="shared" si="130"/>
        <v>297721.56791928393</v>
      </c>
      <c r="AE112" s="140">
        <f t="shared" si="130"/>
        <v>300460.60634414136</v>
      </c>
      <c r="AF112" s="140">
        <f t="shared" si="130"/>
        <v>303224.84392250748</v>
      </c>
      <c r="AG112" s="140">
        <f>AF113+((AF113*$X$113)/100)</f>
        <v>33075.216648977592</v>
      </c>
      <c r="AH112" s="140">
        <f t="shared" ref="AH112:AR112" si="131">AG112+((AG112*$X$113)/100)</f>
        <v>33435.736510451447</v>
      </c>
      <c r="AI112" s="140">
        <f t="shared" si="131"/>
        <v>33800.18603841537</v>
      </c>
      <c r="AJ112" s="140">
        <f t="shared" si="131"/>
        <v>34168.608066234097</v>
      </c>
      <c r="AK112" s="140">
        <f t="shared" si="131"/>
        <v>34541.04589415605</v>
      </c>
      <c r="AL112" s="140">
        <f t="shared" si="131"/>
        <v>34917.543294402349</v>
      </c>
      <c r="AM112" s="140">
        <f t="shared" si="131"/>
        <v>35298.144516311331</v>
      </c>
      <c r="AN112" s="140">
        <f t="shared" si="131"/>
        <v>35682.894291539124</v>
      </c>
      <c r="AO112" s="140">
        <f t="shared" si="131"/>
        <v>36071.837839316897</v>
      </c>
      <c r="AP112" s="140">
        <f t="shared" si="131"/>
        <v>36465.020871765453</v>
      </c>
      <c r="AQ112" s="140">
        <f t="shared" si="131"/>
        <v>36862.489599267697</v>
      </c>
      <c r="AR112" s="151">
        <f t="shared" si="131"/>
        <v>37264.290735899718</v>
      </c>
    </row>
    <row r="113" spans="23:44">
      <c r="W113" s="146" t="s">
        <v>704</v>
      </c>
      <c r="X113" s="146">
        <v>1.0900000000000001</v>
      </c>
      <c r="Y113" s="140">
        <f>AC97</f>
        <v>30327.53588131347</v>
      </c>
      <c r="Z113" s="140">
        <f t="shared" ref="Z113:AF113" si="132">Y113+((Y113*$X$113)/100)</f>
        <v>30658.106022419786</v>
      </c>
      <c r="AA113" s="140">
        <f t="shared" si="132"/>
        <v>30992.279378064162</v>
      </c>
      <c r="AB113" s="140">
        <f t="shared" si="132"/>
        <v>31330.095223285061</v>
      </c>
      <c r="AC113" s="140">
        <f t="shared" si="132"/>
        <v>31671.59326121887</v>
      </c>
      <c r="AD113" s="140">
        <f t="shared" si="132"/>
        <v>32016.813627766154</v>
      </c>
      <c r="AE113" s="140">
        <f t="shared" si="132"/>
        <v>32365.796896308806</v>
      </c>
      <c r="AF113" s="140">
        <f t="shared" si="132"/>
        <v>32718.584082478574</v>
      </c>
      <c r="AG113" s="140">
        <f>AF114+((AF114*$X$114)/100)</f>
        <v>12457.815250218606</v>
      </c>
      <c r="AH113" s="140">
        <f t="shared" ref="AH113:AR113" si="133">AG113+((AG113*$X$114)/100)</f>
        <v>12583.639184245814</v>
      </c>
      <c r="AI113" s="140">
        <f t="shared" si="133"/>
        <v>12710.733940006698</v>
      </c>
      <c r="AJ113" s="140">
        <f t="shared" si="133"/>
        <v>12839.112352800765</v>
      </c>
      <c r="AK113" s="140">
        <f t="shared" si="133"/>
        <v>12968.787387564053</v>
      </c>
      <c r="AL113" s="140">
        <f t="shared" si="133"/>
        <v>13099.772140178449</v>
      </c>
      <c r="AM113" s="140">
        <f t="shared" si="133"/>
        <v>13232.079838794252</v>
      </c>
      <c r="AN113" s="140">
        <f t="shared" si="133"/>
        <v>13365.723845166074</v>
      </c>
      <c r="AO113" s="140">
        <f t="shared" si="133"/>
        <v>13500.717656002251</v>
      </c>
      <c r="AP113" s="140">
        <f t="shared" si="133"/>
        <v>13637.074904327874</v>
      </c>
      <c r="AQ113" s="140">
        <f t="shared" si="133"/>
        <v>13774.809360861585</v>
      </c>
      <c r="AR113" s="151">
        <f t="shared" si="133"/>
        <v>13913.934935406287</v>
      </c>
    </row>
    <row r="114" spans="23:44">
      <c r="W114" s="146" t="s">
        <v>705</v>
      </c>
      <c r="X114" s="146">
        <v>1.01</v>
      </c>
      <c r="Y114" s="140">
        <f>AC98</f>
        <v>11495.474889779694</v>
      </c>
      <c r="Z114" s="140">
        <f t="shared" ref="Z114:AF114" si="134">Y114+((Y114*$X$114)/100)</f>
        <v>11611.579186166469</v>
      </c>
      <c r="AA114" s="140">
        <f t="shared" si="134"/>
        <v>11728.856135946751</v>
      </c>
      <c r="AB114" s="140">
        <f t="shared" si="134"/>
        <v>11847.317582919814</v>
      </c>
      <c r="AC114" s="140">
        <f t="shared" si="134"/>
        <v>11966.975490507304</v>
      </c>
      <c r="AD114" s="140">
        <f t="shared" si="134"/>
        <v>12087.841942961428</v>
      </c>
      <c r="AE114" s="140">
        <f t="shared" si="134"/>
        <v>12209.929146585338</v>
      </c>
      <c r="AF114" s="140">
        <f t="shared" si="134"/>
        <v>12333.24943096585</v>
      </c>
      <c r="AG114" s="140">
        <f>AF115+((AF115*$X$115)/100)</f>
        <v>6954.2519489147708</v>
      </c>
      <c r="AH114" s="140">
        <f t="shared" ref="AH114:AR114" si="135">AG114+((AG114*$X$115)/100)</f>
        <v>7027.271594378376</v>
      </c>
      <c r="AI114" s="140">
        <f t="shared" si="135"/>
        <v>7101.0579461193493</v>
      </c>
      <c r="AJ114" s="140">
        <f t="shared" si="135"/>
        <v>7175.6190545536028</v>
      </c>
      <c r="AK114" s="140">
        <f t="shared" si="135"/>
        <v>7250.9630546264161</v>
      </c>
      <c r="AL114" s="140">
        <f t="shared" si="135"/>
        <v>7327.0981666999933</v>
      </c>
      <c r="AM114" s="140">
        <f t="shared" si="135"/>
        <v>7404.0326974503432</v>
      </c>
      <c r="AN114" s="140">
        <f t="shared" si="135"/>
        <v>7481.7750407735721</v>
      </c>
      <c r="AO114" s="140">
        <f t="shared" si="135"/>
        <v>7560.3336787016942</v>
      </c>
      <c r="AP114" s="140">
        <f t="shared" si="135"/>
        <v>7639.7171823280623</v>
      </c>
      <c r="AQ114" s="140">
        <f t="shared" si="135"/>
        <v>7719.934212742507</v>
      </c>
      <c r="AR114" s="151">
        <f t="shared" si="135"/>
        <v>7800.9935219763038</v>
      </c>
    </row>
    <row r="115" spans="23:44">
      <c r="W115" s="146" t="s">
        <v>706</v>
      </c>
      <c r="X115" s="146">
        <v>1.05</v>
      </c>
      <c r="Y115" s="140">
        <f>AC99</f>
        <v>6396.7573686892929</v>
      </c>
      <c r="Z115" s="140">
        <f t="shared" ref="Z115:AF115" si="136">Y115+((Y115*$X$115)/100)</f>
        <v>6463.9233210605307</v>
      </c>
      <c r="AA115" s="140">
        <f t="shared" si="136"/>
        <v>6531.794515931666</v>
      </c>
      <c r="AB115" s="140">
        <f t="shared" si="136"/>
        <v>6600.3783583489485</v>
      </c>
      <c r="AC115" s="140">
        <f t="shared" si="136"/>
        <v>6669.6823311116123</v>
      </c>
      <c r="AD115" s="140">
        <f t="shared" si="136"/>
        <v>6739.713995588284</v>
      </c>
      <c r="AE115" s="140">
        <f t="shared" si="136"/>
        <v>6810.4809925419613</v>
      </c>
      <c r="AF115" s="140">
        <f t="shared" si="136"/>
        <v>6881.991042963652</v>
      </c>
      <c r="AG115" s="140">
        <f>AF116+((AF116*$X$116)/100)</f>
        <v>3541.4878743906543</v>
      </c>
      <c r="AH115" s="140">
        <f t="shared" ref="AH115:AR115" si="137">AG115+((AG115*$X$116)/100)</f>
        <v>3576.5486043471219</v>
      </c>
      <c r="AI115" s="140">
        <f t="shared" si="137"/>
        <v>3611.9564355301586</v>
      </c>
      <c r="AJ115" s="140">
        <f t="shared" si="137"/>
        <v>3647.7148042419071</v>
      </c>
      <c r="AK115" s="140">
        <f t="shared" si="137"/>
        <v>3683.8271808039021</v>
      </c>
      <c r="AL115" s="140">
        <f t="shared" si="137"/>
        <v>3720.2970698938607</v>
      </c>
      <c r="AM115" s="140">
        <f t="shared" si="137"/>
        <v>3757.12801088581</v>
      </c>
      <c r="AN115" s="140">
        <f t="shared" si="137"/>
        <v>3794.3235781935796</v>
      </c>
      <c r="AO115" s="140">
        <f t="shared" si="137"/>
        <v>3831.8873816176961</v>
      </c>
      <c r="AP115" s="140">
        <f t="shared" si="137"/>
        <v>3869.8230666957111</v>
      </c>
      <c r="AQ115" s="140">
        <f t="shared" si="137"/>
        <v>3908.1343150559987</v>
      </c>
      <c r="AR115" s="151">
        <f t="shared" si="137"/>
        <v>3946.824844775053</v>
      </c>
    </row>
    <row r="116" spans="23:44">
      <c r="W116" s="146" t="s">
        <v>707</v>
      </c>
      <c r="X116" s="146">
        <v>0.99</v>
      </c>
      <c r="Y116" s="140">
        <f>AC100</f>
        <v>3273.0962879084304</v>
      </c>
      <c r="Z116" s="140">
        <f t="shared" ref="Z116:AF116" si="138">Y116+((Y116*$X$116)/100)</f>
        <v>3305.4999411587237</v>
      </c>
      <c r="AA116" s="140">
        <f t="shared" si="138"/>
        <v>3338.2243905761952</v>
      </c>
      <c r="AB116" s="140">
        <f t="shared" si="138"/>
        <v>3371.2728120428997</v>
      </c>
      <c r="AC116" s="140">
        <f t="shared" si="138"/>
        <v>3404.6484128821244</v>
      </c>
      <c r="AD116" s="140">
        <f t="shared" si="138"/>
        <v>3438.3544321696572</v>
      </c>
      <c r="AE116" s="140">
        <f t="shared" si="138"/>
        <v>3472.394141048137</v>
      </c>
      <c r="AF116" s="140">
        <f t="shared" si="138"/>
        <v>3506.7708430445136</v>
      </c>
      <c r="AR116" s="140">
        <f>SUM(AR111:AR115)</f>
        <v>401373.83462077886</v>
      </c>
    </row>
    <row r="121" spans="23:44" ht="43.15" customHeight="1"/>
    <row r="122" spans="23:44">
      <c r="W122" s="9"/>
      <c r="X122" s="326" t="s">
        <v>702</v>
      </c>
      <c r="Y122" s="326"/>
    </row>
    <row r="123" spans="23:44">
      <c r="W123" s="174" t="s">
        <v>710</v>
      </c>
      <c r="X123" s="25" t="s">
        <v>491</v>
      </c>
      <c r="Y123" s="25" t="s">
        <v>603</v>
      </c>
    </row>
    <row r="124" spans="23:44">
      <c r="W124" s="245" t="s">
        <v>703</v>
      </c>
      <c r="X124" s="245"/>
      <c r="Y124" s="245"/>
    </row>
    <row r="125" spans="23:44">
      <c r="W125" s="245" t="s">
        <v>704</v>
      </c>
      <c r="X125" s="245"/>
      <c r="Y125" s="245"/>
    </row>
    <row r="126" spans="23:44">
      <c r="W126" s="245" t="s">
        <v>705</v>
      </c>
      <c r="X126" s="245"/>
      <c r="Y126" s="245"/>
    </row>
    <row r="127" spans="23:44">
      <c r="W127" s="245" t="s">
        <v>706</v>
      </c>
      <c r="X127" s="245"/>
      <c r="Y127" s="245"/>
    </row>
    <row r="128" spans="23:44">
      <c r="W128" s="245" t="s">
        <v>707</v>
      </c>
      <c r="X128" s="245"/>
      <c r="Y128" s="245"/>
    </row>
  </sheetData>
  <mergeCells count="17">
    <mergeCell ref="X122:Y122"/>
    <mergeCell ref="C3:H3"/>
    <mergeCell ref="I3:N3"/>
    <mergeCell ref="O3:T3"/>
    <mergeCell ref="BQ3:BV3"/>
    <mergeCell ref="BW3:CB3"/>
    <mergeCell ref="CC3:CH3"/>
    <mergeCell ref="BP1:CH1"/>
    <mergeCell ref="X87:Z87"/>
    <mergeCell ref="AA87:AC87"/>
    <mergeCell ref="AD87:AF87"/>
    <mergeCell ref="AD35:AE35"/>
    <mergeCell ref="AF35:AG35"/>
    <mergeCell ref="AK79:AM79"/>
    <mergeCell ref="AE79:AG79"/>
    <mergeCell ref="AH79:AJ79"/>
    <mergeCell ref="AH35:AI3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19F4B-045E-46D5-9510-12A76B9800A9}">
  <dimension ref="A1:BE87"/>
  <sheetViews>
    <sheetView workbookViewId="0">
      <pane xSplit="6" ySplit="1" topLeftCell="R2" activePane="bottomRight" state="frozen"/>
      <selection pane="bottomRight" activeCell="AF2" sqref="AF2"/>
      <selection pane="bottomLeft" activeCell="A2" sqref="A2"/>
      <selection pane="topRight" activeCell="G1" sqref="G1"/>
    </sheetView>
  </sheetViews>
  <sheetFormatPr defaultColWidth="8.85546875" defaultRowHeight="14.45"/>
  <cols>
    <col min="1" max="4" width="4.28515625" customWidth="1"/>
    <col min="5" max="5" width="13.140625" customWidth="1"/>
    <col min="6" max="6" width="47.5703125" customWidth="1"/>
    <col min="7" max="8" width="15" bestFit="1" customWidth="1"/>
    <col min="10" max="10" width="15" bestFit="1" customWidth="1"/>
    <col min="12" max="12" width="15" bestFit="1" customWidth="1"/>
    <col min="14" max="14" width="15" bestFit="1" customWidth="1"/>
    <col min="16" max="16" width="15" bestFit="1" customWidth="1"/>
    <col min="18" max="18" width="15" bestFit="1" customWidth="1"/>
    <col min="20" max="20" width="15" bestFit="1" customWidth="1"/>
    <col min="22" max="22" width="15" bestFit="1" customWidth="1"/>
    <col min="25" max="26" width="13.5703125" bestFit="1" customWidth="1"/>
    <col min="28" max="28" width="13.5703125" bestFit="1" customWidth="1"/>
    <col min="30" max="32" width="13.5703125" bestFit="1" customWidth="1"/>
    <col min="34" max="34" width="13.5703125" bestFit="1" customWidth="1"/>
    <col min="36" max="36" width="13.5703125" bestFit="1" customWidth="1"/>
    <col min="38" max="38" width="13.5703125" bestFit="1" customWidth="1"/>
    <col min="40" max="40" width="13.5703125" bestFit="1" customWidth="1"/>
    <col min="41" max="41" width="10" bestFit="1" customWidth="1"/>
    <col min="42" max="42" width="13.5703125" bestFit="1" customWidth="1"/>
    <col min="43" max="43" width="10" bestFit="1" customWidth="1"/>
    <col min="44" max="44" width="13.5703125" bestFit="1" customWidth="1"/>
    <col min="45" max="45" width="10" bestFit="1" customWidth="1"/>
    <col min="46" max="46" width="13.5703125" bestFit="1" customWidth="1"/>
    <col min="47" max="47" width="10" bestFit="1" customWidth="1"/>
    <col min="48" max="48" width="15" bestFit="1" customWidth="1"/>
    <col min="49" max="49" width="10" bestFit="1" customWidth="1"/>
    <col min="50" max="50" width="15" bestFit="1" customWidth="1"/>
    <col min="51" max="51" width="10" bestFit="1" customWidth="1"/>
    <col min="52" max="52" width="13.5703125" bestFit="1" customWidth="1"/>
    <col min="54" max="54" width="13.5703125" bestFit="1" customWidth="1"/>
    <col min="56" max="56" width="13.7109375" bestFit="1" customWidth="1"/>
  </cols>
  <sheetData>
    <row r="1" spans="1:57" s="29" customFormat="1" ht="28.9">
      <c r="A1" s="29" t="s">
        <v>381</v>
      </c>
      <c r="B1" s="29" t="s">
        <v>382</v>
      </c>
      <c r="C1" s="29" t="s">
        <v>383</v>
      </c>
      <c r="D1" s="29" t="s">
        <v>384</v>
      </c>
      <c r="E1" s="29" t="s">
        <v>394</v>
      </c>
      <c r="F1" s="29" t="s">
        <v>386</v>
      </c>
      <c r="G1" s="218" t="s">
        <v>534</v>
      </c>
      <c r="H1" s="218" t="s">
        <v>535</v>
      </c>
      <c r="I1" s="219" t="s">
        <v>389</v>
      </c>
      <c r="J1" s="218" t="s">
        <v>536</v>
      </c>
      <c r="K1" s="219" t="s">
        <v>389</v>
      </c>
      <c r="L1" s="223" t="s">
        <v>537</v>
      </c>
      <c r="M1" s="224"/>
      <c r="N1" s="223" t="s">
        <v>538</v>
      </c>
      <c r="O1" s="224"/>
      <c r="P1" s="225" t="s">
        <v>539</v>
      </c>
      <c r="R1" s="229" t="s">
        <v>540</v>
      </c>
      <c r="S1" s="230"/>
      <c r="T1" s="229" t="s">
        <v>541</v>
      </c>
      <c r="U1" s="230"/>
      <c r="V1" s="231" t="s">
        <v>542</v>
      </c>
      <c r="W1" s="230"/>
      <c r="Y1" s="233" t="s">
        <v>543</v>
      </c>
      <c r="Z1" s="233" t="s">
        <v>544</v>
      </c>
      <c r="AA1" s="234" t="s">
        <v>389</v>
      </c>
      <c r="AB1" s="233" t="s">
        <v>545</v>
      </c>
      <c r="AC1" s="234"/>
      <c r="AD1" s="235" t="s">
        <v>546</v>
      </c>
      <c r="AE1" s="237" t="s">
        <v>547</v>
      </c>
      <c r="AF1" s="237" t="s">
        <v>548</v>
      </c>
      <c r="AG1" s="236"/>
    </row>
    <row r="2" spans="1:57">
      <c r="A2" t="s">
        <v>407</v>
      </c>
      <c r="B2">
        <v>0</v>
      </c>
      <c r="C2" t="s">
        <v>408</v>
      </c>
      <c r="D2" t="s">
        <v>408</v>
      </c>
      <c r="E2" t="s">
        <v>410</v>
      </c>
      <c r="F2" t="s">
        <v>409</v>
      </c>
      <c r="G2" s="159">
        <v>44204994.539999999</v>
      </c>
      <c r="H2" s="159">
        <v>44234838.200000003</v>
      </c>
      <c r="I2" s="121">
        <v>6.9999999999999999E-4</v>
      </c>
      <c r="J2" s="159">
        <v>44231640.82</v>
      </c>
      <c r="K2" s="121">
        <v>5.9999999999999995E-4</v>
      </c>
      <c r="L2" s="159">
        <v>15224269.02</v>
      </c>
      <c r="M2" s="121"/>
      <c r="N2" s="159">
        <v>15289621.529999999</v>
      </c>
      <c r="O2" s="121"/>
      <c r="P2" s="159">
        <v>15291349.98</v>
      </c>
      <c r="Q2" s="121"/>
      <c r="R2" s="159">
        <v>15422463.060000001</v>
      </c>
      <c r="S2" s="121"/>
      <c r="T2" s="159">
        <v>15545325.16</v>
      </c>
      <c r="U2" s="121"/>
      <c r="V2" s="159">
        <v>15569115.91</v>
      </c>
      <c r="W2" s="121"/>
      <c r="Y2" s="159">
        <v>26280860.989999998</v>
      </c>
      <c r="Z2" s="159">
        <v>30209712.66</v>
      </c>
      <c r="AA2" s="121">
        <v>0.14949999999999999</v>
      </c>
      <c r="AB2" s="159">
        <v>28031901.050000001</v>
      </c>
      <c r="AC2" s="121">
        <v>6.6600000000000006E-2</v>
      </c>
      <c r="AD2" s="159">
        <v>16301149.83</v>
      </c>
      <c r="AE2" s="159">
        <v>16720406.82</v>
      </c>
      <c r="AF2" s="159">
        <v>16879342.739999998</v>
      </c>
      <c r="AG2" s="121"/>
      <c r="AH2" s="159"/>
      <c r="AI2" s="121"/>
      <c r="AJ2" s="159"/>
      <c r="AK2" s="121"/>
      <c r="AL2" s="159"/>
      <c r="AM2" s="121"/>
      <c r="AN2" s="159"/>
      <c r="AO2" s="121"/>
      <c r="AP2" s="159"/>
      <c r="AQ2" s="121"/>
      <c r="AR2" s="159"/>
      <c r="AS2" s="121"/>
      <c r="AT2" s="159"/>
      <c r="AU2" s="121"/>
      <c r="AV2" s="159"/>
      <c r="AW2" s="121"/>
      <c r="AX2" s="159"/>
      <c r="AY2" s="121"/>
      <c r="AZ2" s="159"/>
      <c r="BA2" s="121"/>
      <c r="BB2" s="159"/>
      <c r="BC2" s="121"/>
      <c r="BD2" s="159"/>
      <c r="BE2" s="121"/>
    </row>
    <row r="3" spans="1:57">
      <c r="A3" t="s">
        <v>407</v>
      </c>
      <c r="B3">
        <v>0</v>
      </c>
      <c r="C3" t="s">
        <v>408</v>
      </c>
      <c r="D3" t="s">
        <v>408</v>
      </c>
      <c r="E3" t="s">
        <v>410</v>
      </c>
      <c r="F3" t="s">
        <v>411</v>
      </c>
      <c r="G3" s="159">
        <v>2522297.4700000002</v>
      </c>
      <c r="H3" s="159">
        <v>2524030.96</v>
      </c>
      <c r="I3" s="121">
        <v>6.9999999999999999E-4</v>
      </c>
      <c r="J3" s="159">
        <v>2523678.8199999998</v>
      </c>
      <c r="K3" s="121">
        <v>5.0000000000000001E-4</v>
      </c>
      <c r="L3" s="159">
        <v>766349.79</v>
      </c>
      <c r="M3" s="121"/>
      <c r="N3" s="159">
        <v>770342.39</v>
      </c>
      <c r="O3" s="121"/>
      <c r="P3" s="159">
        <v>770347.87</v>
      </c>
      <c r="Q3" s="121"/>
      <c r="R3" s="159">
        <v>778892</v>
      </c>
      <c r="S3" s="121"/>
      <c r="T3" s="159">
        <v>786523.98</v>
      </c>
      <c r="U3" s="121"/>
      <c r="V3" s="159">
        <v>787203.89</v>
      </c>
      <c r="W3" s="121"/>
      <c r="Y3" s="159">
        <v>1500141.58</v>
      </c>
      <c r="Z3" s="159">
        <v>1760472.4</v>
      </c>
      <c r="AA3" s="121">
        <v>0.17349999999999999</v>
      </c>
      <c r="AB3" s="159">
        <v>1507079.35</v>
      </c>
      <c r="AC3" s="121">
        <v>4.5999999999999999E-3</v>
      </c>
      <c r="AD3" s="159">
        <v>1062072.46</v>
      </c>
      <c r="AE3" s="159">
        <v>1161723.07</v>
      </c>
      <c r="AF3" s="159">
        <v>1156321.1000000001</v>
      </c>
      <c r="AG3" s="121"/>
      <c r="AH3" s="159"/>
      <c r="AI3" s="121"/>
      <c r="AJ3" s="159"/>
      <c r="AK3" s="121"/>
      <c r="AL3" s="159"/>
      <c r="AM3" s="121"/>
      <c r="AN3" s="159"/>
      <c r="AO3" s="121"/>
      <c r="AP3" s="159"/>
      <c r="AQ3" s="121"/>
      <c r="AR3" s="159"/>
      <c r="AS3" s="121"/>
      <c r="AT3" s="159"/>
      <c r="AU3" s="121"/>
      <c r="AV3" s="159"/>
      <c r="AW3" s="121"/>
      <c r="AX3" s="159"/>
      <c r="AY3" s="121"/>
      <c r="AZ3" s="159"/>
      <c r="BA3" s="121"/>
      <c r="BB3" s="159"/>
      <c r="BC3" s="121"/>
      <c r="BD3" s="159"/>
      <c r="BE3" s="121"/>
    </row>
    <row r="4" spans="1:57">
      <c r="A4" t="s">
        <v>407</v>
      </c>
      <c r="B4">
        <v>0</v>
      </c>
      <c r="C4" t="s">
        <v>408</v>
      </c>
      <c r="D4" t="s">
        <v>408</v>
      </c>
      <c r="E4" t="s">
        <v>413</v>
      </c>
      <c r="F4" t="s">
        <v>412</v>
      </c>
      <c r="G4" s="159">
        <v>1176.02</v>
      </c>
      <c r="H4" s="159">
        <v>1176.08</v>
      </c>
      <c r="I4" s="121">
        <v>0</v>
      </c>
      <c r="J4" s="159">
        <v>1176.32</v>
      </c>
      <c r="K4" s="121">
        <v>2.9999999999999997E-4</v>
      </c>
      <c r="L4" s="159">
        <v>1031.7</v>
      </c>
      <c r="M4" s="121"/>
      <c r="N4" s="159">
        <v>1032.3900000000001</v>
      </c>
      <c r="O4" s="121"/>
      <c r="P4" s="159">
        <v>1034.08</v>
      </c>
      <c r="Q4" s="121"/>
      <c r="R4" s="159">
        <v>1034.8800000000001</v>
      </c>
      <c r="S4" s="121"/>
      <c r="T4" s="159">
        <v>1036.46</v>
      </c>
      <c r="U4" s="121"/>
      <c r="V4" s="159">
        <v>1040.49</v>
      </c>
      <c r="W4" s="121"/>
      <c r="Y4" s="159">
        <v>1160.1500000000001</v>
      </c>
      <c r="Z4" s="159">
        <v>1185.5999999999999</v>
      </c>
      <c r="AA4" s="121">
        <v>2.1899999999999999E-2</v>
      </c>
      <c r="AB4" s="159">
        <v>1163.2</v>
      </c>
      <c r="AC4" s="121">
        <v>2.5999999999999999E-3</v>
      </c>
      <c r="AD4" s="159">
        <v>1062.8499999999999</v>
      </c>
      <c r="AE4" s="159">
        <v>1072.76</v>
      </c>
      <c r="AF4" s="159">
        <v>1090.3</v>
      </c>
      <c r="AG4" s="121"/>
      <c r="AH4" s="159"/>
      <c r="AI4" s="121"/>
      <c r="AJ4" s="159"/>
      <c r="AK4" s="121"/>
      <c r="AL4" s="159"/>
      <c r="AM4" s="121"/>
      <c r="AN4" s="159"/>
      <c r="AO4" s="121"/>
      <c r="AP4" s="159"/>
      <c r="AQ4" s="121"/>
      <c r="AR4" s="159"/>
      <c r="AS4" s="121"/>
      <c r="AT4" s="159"/>
      <c r="AU4" s="121"/>
      <c r="AV4" s="159"/>
      <c r="AW4" s="121"/>
      <c r="AX4" s="159"/>
      <c r="AY4" s="121"/>
      <c r="AZ4" s="159"/>
      <c r="BA4" s="121"/>
      <c r="BB4" s="159"/>
      <c r="BC4" s="121"/>
      <c r="BD4" s="159"/>
      <c r="BE4" s="121"/>
    </row>
    <row r="5" spans="1:57">
      <c r="A5" t="s">
        <v>407</v>
      </c>
      <c r="B5">
        <v>0</v>
      </c>
      <c r="C5" t="s">
        <v>408</v>
      </c>
      <c r="D5" t="s">
        <v>408</v>
      </c>
      <c r="E5" t="s">
        <v>415</v>
      </c>
      <c r="F5" t="s">
        <v>414</v>
      </c>
      <c r="G5" s="159">
        <v>4085928.71</v>
      </c>
      <c r="H5" s="159">
        <v>4088247.77</v>
      </c>
      <c r="I5" s="121">
        <v>5.9999999999999995E-4</v>
      </c>
      <c r="J5" s="159">
        <v>4090375.52</v>
      </c>
      <c r="K5" s="121">
        <v>1.1000000000000001E-3</v>
      </c>
      <c r="L5" s="159">
        <v>614526.24</v>
      </c>
      <c r="M5" s="121"/>
      <c r="N5" s="159">
        <v>624224.82999999996</v>
      </c>
      <c r="O5" s="121"/>
      <c r="P5" s="159">
        <v>631566.54</v>
      </c>
      <c r="Q5" s="121"/>
      <c r="R5" s="159">
        <v>642402.68000000005</v>
      </c>
      <c r="S5" s="121"/>
      <c r="T5" s="159">
        <v>660189.30000000005</v>
      </c>
      <c r="U5" s="121"/>
      <c r="V5" s="159">
        <v>711668.93</v>
      </c>
      <c r="W5" s="121"/>
      <c r="Y5" s="159">
        <v>2096158.59</v>
      </c>
      <c r="Z5" s="159">
        <v>2623824.84</v>
      </c>
      <c r="AA5" s="121">
        <v>0.25169999999999998</v>
      </c>
      <c r="AB5" s="159">
        <v>3757189.01</v>
      </c>
      <c r="AC5" s="121">
        <v>0.79239999999999999</v>
      </c>
      <c r="AD5" s="159">
        <v>759479.56</v>
      </c>
      <c r="AE5" s="159">
        <v>816913.43</v>
      </c>
      <c r="AF5" s="159">
        <v>1381554.37</v>
      </c>
      <c r="AG5" s="121"/>
      <c r="AH5" s="159"/>
      <c r="AI5" s="121"/>
      <c r="AJ5" s="159"/>
      <c r="AK5" s="121"/>
      <c r="AL5" s="159"/>
      <c r="AM5" s="121"/>
      <c r="AN5" s="159"/>
      <c r="AO5" s="121"/>
      <c r="AP5" s="159"/>
      <c r="AQ5" s="121"/>
      <c r="AR5" s="159"/>
      <c r="AS5" s="121"/>
      <c r="AT5" s="159"/>
      <c r="AU5" s="121"/>
      <c r="AV5" s="159"/>
      <c r="AW5" s="121"/>
      <c r="AX5" s="159"/>
      <c r="AY5" s="121"/>
      <c r="AZ5" s="159"/>
      <c r="BA5" s="121"/>
      <c r="BB5" s="159"/>
      <c r="BC5" s="121"/>
      <c r="BD5" s="159"/>
      <c r="BE5" s="121"/>
    </row>
    <row r="6" spans="1:57">
      <c r="A6" t="s">
        <v>407</v>
      </c>
      <c r="B6">
        <v>0</v>
      </c>
      <c r="C6" t="s">
        <v>408</v>
      </c>
      <c r="D6" t="s">
        <v>408</v>
      </c>
      <c r="E6" t="s">
        <v>415</v>
      </c>
      <c r="F6" t="s">
        <v>416</v>
      </c>
      <c r="G6" s="159">
        <v>1438170.12</v>
      </c>
      <c r="H6" s="159">
        <v>1438971.98</v>
      </c>
      <c r="I6" s="121">
        <v>5.9999999999999995E-4</v>
      </c>
      <c r="J6" s="159">
        <v>1439603.01</v>
      </c>
      <c r="K6" s="121">
        <v>1E-3</v>
      </c>
      <c r="L6" s="159">
        <v>428416.65</v>
      </c>
      <c r="M6" s="121"/>
      <c r="N6" s="159">
        <v>431853.58</v>
      </c>
      <c r="O6" s="121"/>
      <c r="P6" s="159">
        <v>434724.44</v>
      </c>
      <c r="Q6" s="121"/>
      <c r="R6" s="159">
        <v>438515.78</v>
      </c>
      <c r="S6" s="121"/>
      <c r="T6" s="159">
        <v>444882.92</v>
      </c>
      <c r="U6" s="121"/>
      <c r="V6" s="159">
        <v>451177.4</v>
      </c>
      <c r="W6" s="121"/>
      <c r="Y6" s="159">
        <v>998778</v>
      </c>
      <c r="Z6" s="159">
        <v>1201546.1499999999</v>
      </c>
      <c r="AA6" s="121">
        <v>0.20300000000000001</v>
      </c>
      <c r="AB6" s="159">
        <v>1334113.93</v>
      </c>
      <c r="AC6" s="121">
        <v>0.3357</v>
      </c>
      <c r="AD6" s="159">
        <v>485026.84</v>
      </c>
      <c r="AE6" s="159">
        <v>507067</v>
      </c>
      <c r="AF6" s="159">
        <v>540407.25</v>
      </c>
      <c r="AG6" s="121"/>
      <c r="AH6" s="159"/>
      <c r="AI6" s="121"/>
      <c r="AJ6" s="159"/>
      <c r="AK6" s="121"/>
      <c r="AL6" s="159"/>
      <c r="AM6" s="121"/>
      <c r="AN6" s="159"/>
      <c r="AO6" s="121"/>
      <c r="AP6" s="159"/>
      <c r="AQ6" s="121"/>
      <c r="AR6" s="159"/>
      <c r="AS6" s="121"/>
      <c r="AT6" s="159"/>
      <c r="AU6" s="121"/>
      <c r="AV6" s="159"/>
      <c r="AW6" s="121"/>
      <c r="AX6" s="159"/>
      <c r="AY6" s="121"/>
      <c r="AZ6" s="159"/>
      <c r="BA6" s="121"/>
      <c r="BB6" s="159"/>
      <c r="BC6" s="121"/>
      <c r="BD6" s="159"/>
      <c r="BE6" s="121"/>
    </row>
    <row r="7" spans="1:57">
      <c r="A7" t="s">
        <v>407</v>
      </c>
      <c r="B7">
        <v>0</v>
      </c>
      <c r="C7" t="s">
        <v>408</v>
      </c>
      <c r="D7" t="s">
        <v>408</v>
      </c>
      <c r="E7" t="s">
        <v>415</v>
      </c>
      <c r="F7" t="s">
        <v>417</v>
      </c>
      <c r="G7" s="159">
        <v>63674162.630000003</v>
      </c>
      <c r="H7" s="159">
        <v>63677100.130000003</v>
      </c>
      <c r="I7" s="121">
        <v>0</v>
      </c>
      <c r="J7" s="159">
        <v>63678582.939999998</v>
      </c>
      <c r="K7" s="121">
        <v>1E-4</v>
      </c>
      <c r="L7" s="159">
        <v>12064742.51</v>
      </c>
      <c r="M7" s="121"/>
      <c r="N7" s="159">
        <v>12101944.890000001</v>
      </c>
      <c r="O7" s="121"/>
      <c r="P7" s="159">
        <v>12118875.880000001</v>
      </c>
      <c r="Q7" s="121"/>
      <c r="R7" s="159">
        <v>12169909.59</v>
      </c>
      <c r="S7" s="121"/>
      <c r="T7" s="159">
        <v>12237622.74</v>
      </c>
      <c r="U7" s="121"/>
      <c r="V7" s="159">
        <v>12284944.939999999</v>
      </c>
      <c r="W7" s="121"/>
      <c r="Y7" s="159">
        <v>31631383.629999999</v>
      </c>
      <c r="Z7" s="159">
        <v>38490151.020000003</v>
      </c>
      <c r="AA7" s="121">
        <v>0.21679999999999999</v>
      </c>
      <c r="AB7" s="159">
        <v>37736301.960000001</v>
      </c>
      <c r="AC7" s="121">
        <v>0.193</v>
      </c>
      <c r="AD7" s="159">
        <v>14036751.82</v>
      </c>
      <c r="AE7" s="159">
        <v>14712996.5</v>
      </c>
      <c r="AF7" s="159">
        <v>15681335.75</v>
      </c>
      <c r="AG7" s="121"/>
      <c r="AH7" s="159"/>
      <c r="AI7" s="121"/>
      <c r="AJ7" s="159"/>
      <c r="AK7" s="121"/>
      <c r="AL7" s="159"/>
      <c r="AM7" s="121"/>
      <c r="AN7" s="159"/>
      <c r="AO7" s="121"/>
      <c r="AP7" s="159"/>
      <c r="AQ7" s="121"/>
      <c r="AR7" s="159"/>
      <c r="AS7" s="121"/>
      <c r="AT7" s="159"/>
      <c r="AU7" s="121"/>
      <c r="AV7" s="159"/>
      <c r="AW7" s="121"/>
      <c r="AX7" s="159"/>
      <c r="AY7" s="121"/>
      <c r="AZ7" s="159"/>
      <c r="BA7" s="121"/>
      <c r="BB7" s="159"/>
      <c r="BC7" s="121"/>
      <c r="BD7" s="159"/>
      <c r="BE7" s="121"/>
    </row>
    <row r="8" spans="1:57">
      <c r="A8" t="s">
        <v>407</v>
      </c>
      <c r="B8">
        <v>0</v>
      </c>
      <c r="C8" t="s">
        <v>408</v>
      </c>
      <c r="D8" t="s">
        <v>408</v>
      </c>
      <c r="E8" t="s">
        <v>415</v>
      </c>
      <c r="F8" t="s">
        <v>418</v>
      </c>
      <c r="G8" s="159">
        <v>1002620.93</v>
      </c>
      <c r="H8" s="159">
        <v>1002661.91</v>
      </c>
      <c r="I8" s="121">
        <v>0</v>
      </c>
      <c r="J8" s="159">
        <v>1002682.59</v>
      </c>
      <c r="K8" s="121">
        <v>1E-4</v>
      </c>
      <c r="L8" s="159">
        <v>216955.9</v>
      </c>
      <c r="M8" s="121"/>
      <c r="N8" s="159">
        <v>217179.34</v>
      </c>
      <c r="O8" s="121"/>
      <c r="P8" s="159">
        <v>217316.56</v>
      </c>
      <c r="Q8" s="121"/>
      <c r="R8" s="159">
        <v>217536.72</v>
      </c>
      <c r="S8" s="121"/>
      <c r="T8" s="159">
        <v>217928.66</v>
      </c>
      <c r="U8" s="121"/>
      <c r="V8" s="159">
        <v>218311.77</v>
      </c>
      <c r="W8" s="121"/>
      <c r="Y8" s="159">
        <v>253778.75</v>
      </c>
      <c r="Z8" s="159">
        <v>266873.08</v>
      </c>
      <c r="AA8" s="121">
        <v>5.16E-2</v>
      </c>
      <c r="AB8" s="159">
        <v>273352.11</v>
      </c>
      <c r="AC8" s="121">
        <v>7.7100000000000002E-2</v>
      </c>
      <c r="AD8" s="159">
        <v>223607.28</v>
      </c>
      <c r="AE8" s="159">
        <v>225996.9</v>
      </c>
      <c r="AF8" s="159">
        <v>227492.31</v>
      </c>
      <c r="AG8" s="121"/>
      <c r="AH8" s="159"/>
      <c r="AI8" s="121"/>
      <c r="AJ8" s="159"/>
      <c r="AK8" s="121"/>
      <c r="AL8" s="159"/>
      <c r="AM8" s="121"/>
      <c r="AN8" s="159"/>
      <c r="AO8" s="121"/>
      <c r="AP8" s="159"/>
      <c r="AQ8" s="121"/>
      <c r="AR8" s="159"/>
      <c r="AS8" s="121"/>
      <c r="AT8" s="159"/>
      <c r="AU8" s="121"/>
      <c r="AV8" s="159"/>
      <c r="AW8" s="121"/>
      <c r="AX8" s="159"/>
      <c r="AY8" s="121"/>
      <c r="AZ8" s="159"/>
      <c r="BA8" s="121"/>
      <c r="BB8" s="159"/>
      <c r="BC8" s="121"/>
      <c r="BD8" s="159"/>
      <c r="BE8" s="121"/>
    </row>
    <row r="9" spans="1:57">
      <c r="A9" t="s">
        <v>407</v>
      </c>
      <c r="B9">
        <v>0</v>
      </c>
      <c r="C9" t="s">
        <v>408</v>
      </c>
      <c r="D9" t="s">
        <v>408</v>
      </c>
      <c r="E9" t="s">
        <v>415</v>
      </c>
      <c r="F9" t="s">
        <v>419</v>
      </c>
      <c r="G9" s="159">
        <v>4221694.8</v>
      </c>
      <c r="H9" s="159">
        <v>4221746.51</v>
      </c>
      <c r="I9" s="121">
        <v>0</v>
      </c>
      <c r="J9" s="159">
        <v>4221772.6100000003</v>
      </c>
      <c r="K9" s="121">
        <v>0</v>
      </c>
      <c r="L9" s="159">
        <v>570288.97</v>
      </c>
      <c r="M9" s="121"/>
      <c r="N9" s="159">
        <v>571982.49</v>
      </c>
      <c r="O9" s="121"/>
      <c r="P9" s="159">
        <v>573022.48</v>
      </c>
      <c r="Q9" s="121"/>
      <c r="R9" s="159">
        <v>574691.13</v>
      </c>
      <c r="S9" s="121"/>
      <c r="T9" s="159">
        <v>577661.69999999995</v>
      </c>
      <c r="U9" s="121"/>
      <c r="V9" s="159">
        <v>580565.39</v>
      </c>
      <c r="W9" s="121"/>
      <c r="Y9" s="159">
        <v>849377.63</v>
      </c>
      <c r="Z9" s="159">
        <v>948622.47</v>
      </c>
      <c r="AA9" s="121">
        <v>0.1168</v>
      </c>
      <c r="AB9" s="159">
        <v>997728.55</v>
      </c>
      <c r="AC9" s="121">
        <v>0.17469999999999999</v>
      </c>
      <c r="AD9" s="159">
        <v>602189.32999999996</v>
      </c>
      <c r="AE9" s="159">
        <v>614339.78</v>
      </c>
      <c r="AF9" s="159">
        <v>627376.35</v>
      </c>
      <c r="AG9" s="121"/>
      <c r="AH9" s="159"/>
      <c r="AI9" s="121"/>
      <c r="AJ9" s="159"/>
      <c r="AK9" s="121"/>
      <c r="AL9" s="159"/>
      <c r="AM9" s="121"/>
      <c r="AN9" s="159"/>
      <c r="AO9" s="121"/>
      <c r="AP9" s="159"/>
      <c r="AQ9" s="121"/>
      <c r="AR9" s="159"/>
      <c r="AS9" s="121"/>
      <c r="AT9" s="159"/>
      <c r="AU9" s="121"/>
      <c r="AV9" s="159"/>
      <c r="AW9" s="121"/>
      <c r="AX9" s="159"/>
      <c r="AY9" s="121"/>
      <c r="AZ9" s="159"/>
      <c r="BA9" s="121"/>
      <c r="BB9" s="159"/>
      <c r="BC9" s="121"/>
      <c r="BD9" s="159"/>
      <c r="BE9" s="121"/>
    </row>
    <row r="10" spans="1:57">
      <c r="A10" t="s">
        <v>407</v>
      </c>
      <c r="B10">
        <v>0</v>
      </c>
      <c r="C10" t="s">
        <v>408</v>
      </c>
      <c r="D10" t="s">
        <v>408</v>
      </c>
      <c r="E10" t="s">
        <v>421</v>
      </c>
      <c r="F10" t="s">
        <v>420</v>
      </c>
      <c r="G10" s="159">
        <v>208479.45</v>
      </c>
      <c r="H10" s="159">
        <v>208623.45</v>
      </c>
      <c r="I10" s="121">
        <v>6.9999999999999999E-4</v>
      </c>
      <c r="J10" s="159">
        <v>208607.59</v>
      </c>
      <c r="K10" s="121">
        <v>5.9999999999999995E-4</v>
      </c>
      <c r="L10" s="159">
        <v>67315.399999999994</v>
      </c>
      <c r="M10" s="121"/>
      <c r="N10" s="159">
        <v>67640.69</v>
      </c>
      <c r="O10" s="121"/>
      <c r="P10" s="159">
        <v>67645.119999999995</v>
      </c>
      <c r="Q10" s="121"/>
      <c r="R10" s="159">
        <v>68292.25</v>
      </c>
      <c r="S10" s="121"/>
      <c r="T10" s="159">
        <v>68900.990000000005</v>
      </c>
      <c r="U10" s="121"/>
      <c r="V10" s="159">
        <v>69021.36</v>
      </c>
      <c r="W10" s="121"/>
      <c r="Y10" s="159">
        <v>123037.16</v>
      </c>
      <c r="Z10" s="159">
        <v>142832.44</v>
      </c>
      <c r="AA10" s="121">
        <v>0.16089999999999999</v>
      </c>
      <c r="AB10" s="159">
        <v>140817.93</v>
      </c>
      <c r="AC10" s="121">
        <v>0.14449999999999999</v>
      </c>
      <c r="AD10" s="159">
        <v>72595.460000000006</v>
      </c>
      <c r="AE10" s="159">
        <v>74656.5</v>
      </c>
      <c r="AF10" s="159">
        <v>76846.55</v>
      </c>
      <c r="AG10" s="121"/>
      <c r="AH10" s="159"/>
      <c r="AI10" s="121"/>
      <c r="AJ10" s="159"/>
      <c r="AK10" s="121"/>
      <c r="AL10" s="159"/>
      <c r="AM10" s="121"/>
      <c r="AN10" s="159"/>
      <c r="AO10" s="121"/>
      <c r="AP10" s="159"/>
      <c r="AQ10" s="121"/>
      <c r="AR10" s="159"/>
      <c r="AS10" s="121"/>
      <c r="AT10" s="159"/>
      <c r="AU10" s="121"/>
      <c r="AV10" s="159"/>
      <c r="AW10" s="121"/>
      <c r="AX10" s="159"/>
      <c r="AY10" s="121"/>
      <c r="AZ10" s="159"/>
      <c r="BA10" s="121"/>
      <c r="BB10" s="159"/>
      <c r="BC10" s="121"/>
      <c r="BD10" s="159"/>
      <c r="BE10" s="121"/>
    </row>
    <row r="11" spans="1:57">
      <c r="A11" t="s">
        <v>407</v>
      </c>
      <c r="B11">
        <v>0</v>
      </c>
      <c r="C11" t="s">
        <v>408</v>
      </c>
      <c r="D11" t="s">
        <v>408</v>
      </c>
      <c r="E11" t="s">
        <v>421</v>
      </c>
      <c r="F11" t="s">
        <v>422</v>
      </c>
      <c r="G11" s="159">
        <v>690912.65</v>
      </c>
      <c r="H11" s="159">
        <v>692348.28</v>
      </c>
      <c r="I11" s="121">
        <v>2.0999999999999999E-3</v>
      </c>
      <c r="J11" s="159">
        <v>692927.49</v>
      </c>
      <c r="K11" s="121">
        <v>2.8999999999999998E-3</v>
      </c>
      <c r="L11" s="159">
        <v>227089.47</v>
      </c>
      <c r="M11" s="121"/>
      <c r="N11" s="159">
        <v>230124.49</v>
      </c>
      <c r="O11" s="121"/>
      <c r="P11" s="159">
        <v>229438.17</v>
      </c>
      <c r="Q11" s="121"/>
      <c r="R11" s="159">
        <v>233348.49</v>
      </c>
      <c r="S11" s="121"/>
      <c r="T11" s="159">
        <v>238200.92</v>
      </c>
      <c r="U11" s="121"/>
      <c r="V11" s="159">
        <v>241570.1</v>
      </c>
      <c r="W11" s="121"/>
      <c r="Y11" s="159">
        <v>498839.85</v>
      </c>
      <c r="Z11" s="159">
        <v>599956.78</v>
      </c>
      <c r="AA11" s="121">
        <v>0.20269999999999999</v>
      </c>
      <c r="AB11" s="159">
        <v>644542.05000000005</v>
      </c>
      <c r="AC11" s="121">
        <v>0.29210000000000003</v>
      </c>
      <c r="AD11" s="159">
        <v>245729.99</v>
      </c>
      <c r="AE11" s="159">
        <v>255131.87</v>
      </c>
      <c r="AF11" s="159">
        <v>269627.62</v>
      </c>
      <c r="AG11" s="121"/>
      <c r="AH11" s="159"/>
      <c r="AI11" s="121"/>
      <c r="AJ11" s="159"/>
      <c r="AK11" s="121"/>
      <c r="AL11" s="159"/>
      <c r="AM11" s="121"/>
      <c r="AN11" s="159"/>
      <c r="AO11" s="121"/>
      <c r="AP11" s="159"/>
      <c r="AQ11" s="121"/>
      <c r="AR11" s="159"/>
      <c r="AS11" s="121"/>
      <c r="AT11" s="159"/>
      <c r="AU11" s="121"/>
      <c r="AV11" s="159"/>
      <c r="AW11" s="121"/>
      <c r="AX11" s="159"/>
      <c r="AY11" s="121"/>
      <c r="AZ11" s="159"/>
      <c r="BA11" s="121"/>
      <c r="BB11" s="159"/>
      <c r="BC11" s="121"/>
      <c r="BD11" s="159"/>
      <c r="BE11" s="121"/>
    </row>
    <row r="12" spans="1:57">
      <c r="A12" t="s">
        <v>407</v>
      </c>
      <c r="B12">
        <v>0</v>
      </c>
      <c r="C12" t="s">
        <v>408</v>
      </c>
      <c r="D12" t="s">
        <v>408</v>
      </c>
      <c r="E12" t="s">
        <v>424</v>
      </c>
      <c r="F12" t="s">
        <v>423</v>
      </c>
      <c r="G12">
        <v>131.18</v>
      </c>
      <c r="H12">
        <v>131.16</v>
      </c>
      <c r="I12" s="121">
        <v>-2.0000000000000001E-4</v>
      </c>
      <c r="J12">
        <v>131.05000000000001</v>
      </c>
      <c r="K12" s="121">
        <v>-1E-3</v>
      </c>
      <c r="L12">
        <v>251.75</v>
      </c>
      <c r="M12" s="121"/>
      <c r="N12">
        <v>250.78</v>
      </c>
      <c r="O12" s="121"/>
      <c r="P12">
        <v>249.58</v>
      </c>
      <c r="Q12" s="121"/>
      <c r="R12">
        <v>248.81</v>
      </c>
      <c r="S12" s="121"/>
      <c r="T12">
        <v>247.05</v>
      </c>
      <c r="U12" s="121"/>
      <c r="V12">
        <v>244.6</v>
      </c>
      <c r="W12" s="121"/>
      <c r="Y12">
        <v>171.03</v>
      </c>
      <c r="Z12">
        <v>159.03</v>
      </c>
      <c r="AA12" s="121">
        <v>-7.0099999999999996E-2</v>
      </c>
      <c r="AB12">
        <v>144</v>
      </c>
      <c r="AC12" s="121">
        <v>-0.158</v>
      </c>
      <c r="AD12">
        <v>238.47</v>
      </c>
      <c r="AE12">
        <v>233.86</v>
      </c>
      <c r="AF12">
        <v>223.55</v>
      </c>
      <c r="AG12" s="121"/>
      <c r="AI12" s="121"/>
      <c r="AK12" s="121"/>
      <c r="AM12" s="121"/>
      <c r="AO12" s="121"/>
      <c r="AQ12" s="121"/>
      <c r="AS12" s="121"/>
      <c r="AU12" s="121"/>
      <c r="AW12" s="121"/>
      <c r="AY12" s="121"/>
      <c r="BA12" s="121"/>
      <c r="BC12" s="121"/>
      <c r="BE12" s="121"/>
    </row>
    <row r="13" spans="1:57">
      <c r="A13" t="s">
        <v>407</v>
      </c>
      <c r="B13">
        <v>1</v>
      </c>
      <c r="C13" t="s">
        <v>408</v>
      </c>
      <c r="D13" t="s">
        <v>408</v>
      </c>
      <c r="E13" t="s">
        <v>426</v>
      </c>
      <c r="F13" t="s">
        <v>425</v>
      </c>
      <c r="G13">
        <v>0</v>
      </c>
      <c r="H13">
        <v>0</v>
      </c>
      <c r="I13" s="121">
        <v>0</v>
      </c>
      <c r="J13">
        <v>0</v>
      </c>
      <c r="K13" s="121">
        <v>0</v>
      </c>
      <c r="L13">
        <v>0</v>
      </c>
      <c r="M13" s="121"/>
      <c r="N13">
        <v>0</v>
      </c>
      <c r="O13" s="121"/>
      <c r="P13">
        <v>0</v>
      </c>
      <c r="Q13" s="121"/>
      <c r="R13">
        <v>0</v>
      </c>
      <c r="S13" s="121"/>
      <c r="T13">
        <v>0</v>
      </c>
      <c r="U13" s="121"/>
      <c r="V13">
        <v>0</v>
      </c>
      <c r="W13" s="121"/>
      <c r="Y13">
        <v>0</v>
      </c>
      <c r="Z13">
        <v>0</v>
      </c>
      <c r="AA13" s="121">
        <v>0</v>
      </c>
      <c r="AB13">
        <v>0</v>
      </c>
      <c r="AC13" s="121">
        <v>0</v>
      </c>
      <c r="AD13">
        <v>0</v>
      </c>
      <c r="AE13">
        <v>0</v>
      </c>
      <c r="AF13">
        <v>0</v>
      </c>
      <c r="AG13" s="121"/>
      <c r="AI13" s="121"/>
      <c r="AK13" s="121"/>
      <c r="AM13" s="121"/>
      <c r="AO13" s="121"/>
      <c r="AQ13" s="121"/>
      <c r="AS13" s="121"/>
      <c r="AU13" s="121"/>
      <c r="AW13" s="121"/>
      <c r="AY13" s="121"/>
      <c r="BA13" s="121"/>
      <c r="BC13" s="121"/>
      <c r="BE13" s="121"/>
    </row>
    <row r="14" spans="1:57">
      <c r="A14" t="s">
        <v>407</v>
      </c>
      <c r="B14">
        <v>0</v>
      </c>
      <c r="C14" t="s">
        <v>408</v>
      </c>
      <c r="D14" t="s">
        <v>408</v>
      </c>
      <c r="E14" t="s">
        <v>421</v>
      </c>
      <c r="F14" t="s">
        <v>427</v>
      </c>
      <c r="G14">
        <v>999.28</v>
      </c>
      <c r="H14" s="159">
        <v>1000.29</v>
      </c>
      <c r="I14" s="121">
        <v>1E-3</v>
      </c>
      <c r="J14">
        <v>998.83</v>
      </c>
      <c r="K14" s="121">
        <v>-5.0000000000000001E-4</v>
      </c>
      <c r="L14">
        <v>294.64</v>
      </c>
      <c r="M14" s="121"/>
      <c r="N14">
        <v>296.69</v>
      </c>
      <c r="O14" s="121"/>
      <c r="P14">
        <v>294.52999999999997</v>
      </c>
      <c r="Q14" s="121"/>
      <c r="R14">
        <v>303.16000000000003</v>
      </c>
      <c r="S14" s="121"/>
      <c r="T14">
        <v>307.68</v>
      </c>
      <c r="U14" s="121"/>
      <c r="V14">
        <v>300.02</v>
      </c>
      <c r="W14" s="121"/>
      <c r="Y14">
        <v>673.26</v>
      </c>
      <c r="Z14">
        <v>807.56</v>
      </c>
      <c r="AA14" s="121">
        <v>0.19950000000000001</v>
      </c>
      <c r="AB14">
        <v>646.54999999999995</v>
      </c>
      <c r="AC14" s="121">
        <v>-3.9699999999999999E-2</v>
      </c>
      <c r="AD14">
        <v>328.12</v>
      </c>
      <c r="AE14">
        <v>341.16</v>
      </c>
      <c r="AF14">
        <v>338.68</v>
      </c>
      <c r="AG14" s="121"/>
      <c r="AI14" s="121"/>
      <c r="AK14" s="121"/>
      <c r="AM14" s="121"/>
      <c r="AO14" s="121"/>
      <c r="AQ14" s="121"/>
      <c r="AS14" s="121"/>
      <c r="AU14" s="121"/>
      <c r="AV14" s="159"/>
      <c r="AW14" s="121"/>
      <c r="AX14" s="159"/>
      <c r="AY14" s="121"/>
      <c r="BA14" s="121"/>
      <c r="BC14" s="121"/>
      <c r="BE14" s="121"/>
    </row>
    <row r="15" spans="1:57">
      <c r="A15" t="s">
        <v>407</v>
      </c>
      <c r="B15">
        <v>0</v>
      </c>
      <c r="C15" t="s">
        <v>408</v>
      </c>
      <c r="D15" t="s">
        <v>408</v>
      </c>
      <c r="E15" t="s">
        <v>421</v>
      </c>
      <c r="F15" t="s">
        <v>428</v>
      </c>
      <c r="G15" s="159">
        <v>325626.05</v>
      </c>
      <c r="H15" s="159">
        <v>325832.11</v>
      </c>
      <c r="I15" s="121">
        <v>5.9999999999999995E-4</v>
      </c>
      <c r="J15" s="159">
        <v>325917.53000000003</v>
      </c>
      <c r="K15" s="121">
        <v>8.9999999999999998E-4</v>
      </c>
      <c r="L15" s="159">
        <v>104419.2</v>
      </c>
      <c r="M15" s="121"/>
      <c r="N15" s="159">
        <v>104947.99</v>
      </c>
      <c r="O15" s="121"/>
      <c r="P15" s="159">
        <v>105085.47</v>
      </c>
      <c r="Q15" s="121"/>
      <c r="R15" s="159">
        <v>105738.58</v>
      </c>
      <c r="S15" s="121"/>
      <c r="T15" s="159">
        <v>106650.2</v>
      </c>
      <c r="U15" s="121"/>
      <c r="V15" s="159">
        <v>107486.32</v>
      </c>
      <c r="W15" s="121"/>
      <c r="Y15" s="159">
        <v>178802.98</v>
      </c>
      <c r="Z15" s="159">
        <v>205341.31</v>
      </c>
      <c r="AA15" s="121">
        <v>0.1484</v>
      </c>
      <c r="AB15" s="159">
        <v>211018.08</v>
      </c>
      <c r="AC15" s="121">
        <v>0.1802</v>
      </c>
      <c r="AD15" s="159">
        <v>111351.48</v>
      </c>
      <c r="AE15" s="159">
        <v>114170.33</v>
      </c>
      <c r="AF15" s="159">
        <v>115263.12</v>
      </c>
      <c r="AG15" s="121"/>
      <c r="AH15" s="159"/>
      <c r="AI15" s="121"/>
      <c r="AJ15" s="159"/>
      <c r="AK15" s="121"/>
      <c r="AL15" s="159"/>
      <c r="AM15" s="121"/>
      <c r="AN15" s="159"/>
      <c r="AO15" s="121"/>
      <c r="AP15" s="159"/>
      <c r="AQ15" s="121"/>
      <c r="AR15" s="159"/>
      <c r="AS15" s="121"/>
      <c r="AT15" s="159"/>
      <c r="AU15" s="121"/>
      <c r="AV15" s="159"/>
      <c r="AW15" s="121"/>
      <c r="AX15" s="159"/>
      <c r="AY15" s="121"/>
      <c r="AZ15" s="159"/>
      <c r="BA15" s="121"/>
      <c r="BB15" s="159"/>
      <c r="BC15" s="121"/>
      <c r="BD15" s="159"/>
      <c r="BE15" s="121"/>
    </row>
    <row r="16" spans="1:57">
      <c r="A16" t="s">
        <v>407</v>
      </c>
      <c r="B16">
        <v>0</v>
      </c>
      <c r="C16" t="s">
        <v>408</v>
      </c>
      <c r="D16" t="s">
        <v>408</v>
      </c>
      <c r="E16" t="s">
        <v>430</v>
      </c>
      <c r="F16" t="s">
        <v>429</v>
      </c>
      <c r="G16" s="159">
        <v>1211910.1299999999</v>
      </c>
      <c r="H16" s="159">
        <v>1212629.55</v>
      </c>
      <c r="I16" s="121">
        <v>5.9999999999999995E-4</v>
      </c>
      <c r="J16" s="159">
        <v>1212317.96</v>
      </c>
      <c r="K16" s="121">
        <v>2.9999999999999997E-4</v>
      </c>
      <c r="L16" s="159">
        <v>459655.5</v>
      </c>
      <c r="M16" s="121"/>
      <c r="N16" s="159">
        <v>461353.36</v>
      </c>
      <c r="O16" s="121"/>
      <c r="P16" s="159">
        <v>460708.99</v>
      </c>
      <c r="Q16" s="121"/>
      <c r="R16" s="159">
        <v>464234.89</v>
      </c>
      <c r="S16" s="121"/>
      <c r="T16" s="159">
        <v>467261.5</v>
      </c>
      <c r="U16" s="121"/>
      <c r="V16" s="159">
        <v>466407</v>
      </c>
      <c r="W16" s="121"/>
      <c r="Y16" s="159">
        <v>719662.86</v>
      </c>
      <c r="Z16" s="159">
        <v>812249.53</v>
      </c>
      <c r="AA16" s="121">
        <v>0.12870000000000001</v>
      </c>
      <c r="AB16" s="159">
        <v>773240.01</v>
      </c>
      <c r="AC16" s="121">
        <v>7.4399999999999994E-2</v>
      </c>
      <c r="AD16" s="159">
        <v>484923.58</v>
      </c>
      <c r="AE16" s="159">
        <v>494943.49</v>
      </c>
      <c r="AF16" s="159">
        <v>492505.07</v>
      </c>
      <c r="AG16" s="121"/>
      <c r="AH16" s="159"/>
      <c r="AI16" s="121"/>
      <c r="AJ16" s="159"/>
      <c r="AK16" s="121"/>
      <c r="AL16" s="159"/>
      <c r="AM16" s="121"/>
      <c r="AN16" s="159"/>
      <c r="AO16" s="121"/>
      <c r="AP16" s="159"/>
      <c r="AQ16" s="121"/>
      <c r="AR16" s="159"/>
      <c r="AS16" s="121"/>
      <c r="AT16" s="159"/>
      <c r="AU16" s="121"/>
      <c r="AV16" s="159"/>
      <c r="AW16" s="121"/>
      <c r="AX16" s="159"/>
      <c r="AY16" s="121"/>
      <c r="AZ16" s="159"/>
      <c r="BA16" s="121"/>
      <c r="BB16" s="159"/>
      <c r="BC16" s="121"/>
      <c r="BD16" s="159"/>
      <c r="BE16" s="121"/>
    </row>
    <row r="17" spans="1:57">
      <c r="A17" t="s">
        <v>407</v>
      </c>
      <c r="B17">
        <v>0</v>
      </c>
      <c r="C17" t="s">
        <v>408</v>
      </c>
      <c r="D17" t="s">
        <v>408</v>
      </c>
      <c r="E17" t="s">
        <v>410</v>
      </c>
      <c r="F17" t="s">
        <v>431</v>
      </c>
      <c r="G17" s="159">
        <v>46727292.009999998</v>
      </c>
      <c r="H17" s="159">
        <v>46758869.170000002</v>
      </c>
      <c r="I17" s="121">
        <v>6.9999999999999999E-4</v>
      </c>
      <c r="J17" s="159">
        <v>46755319.640000001</v>
      </c>
      <c r="K17" s="121">
        <v>5.9999999999999995E-4</v>
      </c>
      <c r="L17" s="159">
        <v>15990618.810000001</v>
      </c>
      <c r="M17" s="121"/>
      <c r="N17" s="159">
        <v>16059963.93</v>
      </c>
      <c r="O17" s="121"/>
      <c r="P17" s="159">
        <v>16061697.85</v>
      </c>
      <c r="Q17" s="121"/>
      <c r="R17" s="159">
        <v>16201355.060000001</v>
      </c>
      <c r="S17" s="121"/>
      <c r="T17" s="159">
        <v>16331849.130000001</v>
      </c>
      <c r="U17" s="121"/>
      <c r="V17" s="159">
        <v>16356319.810000001</v>
      </c>
      <c r="W17" s="121"/>
      <c r="Y17" s="159">
        <v>27781002.57</v>
      </c>
      <c r="Z17" s="159">
        <v>31970185.059999999</v>
      </c>
      <c r="AA17" s="121">
        <v>0.15079999999999999</v>
      </c>
      <c r="AB17" s="159">
        <v>29538980.399999999</v>
      </c>
      <c r="AC17" s="121">
        <v>6.3299999999999995E-2</v>
      </c>
      <c r="AD17" s="159">
        <v>17363222.300000001</v>
      </c>
      <c r="AE17" s="159">
        <v>17882129.890000001</v>
      </c>
      <c r="AF17" s="159">
        <v>18035663.850000001</v>
      </c>
      <c r="AG17" s="121"/>
      <c r="AH17" s="159"/>
      <c r="AI17" s="121"/>
      <c r="AJ17" s="159"/>
      <c r="AK17" s="121"/>
      <c r="AL17" s="159"/>
      <c r="AM17" s="121"/>
      <c r="AN17" s="159"/>
      <c r="AO17" s="121"/>
      <c r="AP17" s="159"/>
      <c r="AQ17" s="121"/>
      <c r="AR17" s="159"/>
      <c r="AS17" s="121"/>
      <c r="AT17" s="159"/>
      <c r="AU17" s="121"/>
      <c r="AV17" s="159"/>
      <c r="AW17" s="121"/>
      <c r="AX17" s="159"/>
      <c r="AY17" s="121"/>
      <c r="AZ17" s="159"/>
      <c r="BA17" s="121"/>
      <c r="BB17" s="159"/>
      <c r="BC17" s="121"/>
      <c r="BD17" s="159"/>
      <c r="BE17" s="121"/>
    </row>
    <row r="18" spans="1:57">
      <c r="A18" t="s">
        <v>407</v>
      </c>
      <c r="B18">
        <v>0</v>
      </c>
      <c r="C18" t="s">
        <v>408</v>
      </c>
      <c r="D18" t="s">
        <v>408</v>
      </c>
      <c r="E18" t="s">
        <v>415</v>
      </c>
      <c r="F18" t="s">
        <v>432</v>
      </c>
      <c r="G18" s="159">
        <v>74422577.189999998</v>
      </c>
      <c r="H18" s="159">
        <v>74428728.299999997</v>
      </c>
      <c r="I18" s="121">
        <v>1E-4</v>
      </c>
      <c r="J18" s="159">
        <v>74433016.680000007</v>
      </c>
      <c r="K18" s="121">
        <v>1E-4</v>
      </c>
      <c r="L18" s="159">
        <v>13894930.27</v>
      </c>
      <c r="M18" s="121"/>
      <c r="N18" s="159">
        <v>13947185.130000001</v>
      </c>
      <c r="O18" s="121"/>
      <c r="P18" s="159">
        <v>13975505.9</v>
      </c>
      <c r="Q18" s="121"/>
      <c r="R18" s="159">
        <v>14043055.9</v>
      </c>
      <c r="S18" s="121"/>
      <c r="T18" s="159">
        <v>14138285.32</v>
      </c>
      <c r="U18" s="121"/>
      <c r="V18" s="159">
        <v>14246668.43</v>
      </c>
      <c r="W18" s="121"/>
      <c r="Y18" s="159">
        <v>35829476.600000001</v>
      </c>
      <c r="Z18" s="159">
        <v>43531017.560000002</v>
      </c>
      <c r="AA18" s="121">
        <v>0.21490000000000001</v>
      </c>
      <c r="AB18" s="159">
        <v>44098685.57</v>
      </c>
      <c r="AC18" s="121">
        <v>0.23080000000000001</v>
      </c>
      <c r="AD18" s="159">
        <v>16107054.83</v>
      </c>
      <c r="AE18" s="159">
        <v>16877314.609999999</v>
      </c>
      <c r="AF18" s="159">
        <v>18458166.030000001</v>
      </c>
      <c r="AG18" s="121"/>
      <c r="AH18" s="159"/>
      <c r="AI18" s="121"/>
      <c r="AJ18" s="159"/>
      <c r="AK18" s="121"/>
      <c r="AL18" s="159"/>
      <c r="AM18" s="121"/>
      <c r="AN18" s="159"/>
      <c r="AO18" s="121"/>
      <c r="AP18" s="159"/>
      <c r="AQ18" s="121"/>
      <c r="AR18" s="159"/>
      <c r="AS18" s="121"/>
      <c r="AT18" s="159"/>
      <c r="AU18" s="121"/>
      <c r="AV18" s="159"/>
      <c r="AW18" s="121"/>
      <c r="AX18" s="159"/>
      <c r="AY18" s="121"/>
      <c r="AZ18" s="159"/>
      <c r="BA18" s="121"/>
      <c r="BB18" s="159"/>
      <c r="BC18" s="121"/>
      <c r="BD18" s="159"/>
      <c r="BE18" s="121"/>
    </row>
    <row r="19" spans="1:57">
      <c r="A19" t="s">
        <v>407</v>
      </c>
      <c r="B19">
        <v>0</v>
      </c>
      <c r="C19" t="s">
        <v>408</v>
      </c>
      <c r="D19" t="s">
        <v>408</v>
      </c>
      <c r="E19" t="s">
        <v>434</v>
      </c>
      <c r="F19" t="s">
        <v>433</v>
      </c>
      <c r="G19" s="159">
        <v>1425228178.27</v>
      </c>
      <c r="H19" s="159">
        <v>1426143440.96</v>
      </c>
      <c r="I19" s="121">
        <v>5.9999999999999995E-4</v>
      </c>
      <c r="J19" s="159">
        <v>1426074813.0899999</v>
      </c>
      <c r="K19" s="121">
        <v>5.9999999999999995E-4</v>
      </c>
      <c r="L19" s="159">
        <v>474228517.94999999</v>
      </c>
      <c r="M19" s="121"/>
      <c r="N19" s="159">
        <v>476298007.08999997</v>
      </c>
      <c r="O19" s="121"/>
      <c r="P19" s="159">
        <v>476410088.22000003</v>
      </c>
      <c r="Q19" s="121"/>
      <c r="R19" s="159">
        <v>480429037.95999998</v>
      </c>
      <c r="S19" s="121"/>
      <c r="T19" s="159">
        <v>484297713.30000001</v>
      </c>
      <c r="U19" s="121"/>
      <c r="V19" s="159">
        <v>485292973.63999999</v>
      </c>
      <c r="W19" s="121"/>
      <c r="Y19" s="159">
        <v>834913558.85000002</v>
      </c>
      <c r="Z19" s="159">
        <v>963004655.91999996</v>
      </c>
      <c r="AA19" s="121">
        <v>0.15340000000000001</v>
      </c>
      <c r="AB19" s="159">
        <v>899435599.41999996</v>
      </c>
      <c r="AC19" s="121">
        <v>7.7299999999999994E-2</v>
      </c>
      <c r="AD19" s="159">
        <v>515402588.80000001</v>
      </c>
      <c r="AE19" s="159">
        <v>530956458.12</v>
      </c>
      <c r="AF19" s="159">
        <v>536980383.01999998</v>
      </c>
      <c r="AG19" s="121"/>
      <c r="AH19" s="159"/>
      <c r="AI19" s="121"/>
      <c r="AJ19" s="159"/>
      <c r="AK19" s="121"/>
      <c r="AL19" s="159"/>
      <c r="AM19" s="121"/>
      <c r="AN19" s="159"/>
      <c r="AO19" s="121"/>
      <c r="AP19" s="159"/>
      <c r="AQ19" s="121"/>
      <c r="AR19" s="159"/>
      <c r="AS19" s="121"/>
      <c r="AT19" s="159"/>
      <c r="AU19" s="121"/>
      <c r="AV19" s="159"/>
      <c r="AW19" s="121"/>
      <c r="AX19" s="159"/>
      <c r="AY19" s="121"/>
      <c r="AZ19" s="159"/>
      <c r="BA19" s="121"/>
      <c r="BB19" s="159"/>
      <c r="BC19" s="121"/>
      <c r="BD19" s="159"/>
      <c r="BE19" s="121"/>
    </row>
    <row r="20" spans="1:57">
      <c r="A20" t="s">
        <v>407</v>
      </c>
      <c r="B20">
        <v>0</v>
      </c>
      <c r="C20" t="s">
        <v>408</v>
      </c>
      <c r="D20" t="s">
        <v>408</v>
      </c>
      <c r="E20" t="s">
        <v>421</v>
      </c>
      <c r="F20" t="s">
        <v>435</v>
      </c>
      <c r="G20" s="159">
        <v>326625.34000000003</v>
      </c>
      <c r="H20" s="159">
        <v>326832.40000000002</v>
      </c>
      <c r="I20" s="121">
        <v>5.9999999999999995E-4</v>
      </c>
      <c r="J20" s="159">
        <v>326916.36</v>
      </c>
      <c r="K20" s="121">
        <v>8.9999999999999998E-4</v>
      </c>
      <c r="L20" s="159">
        <v>104713.85</v>
      </c>
      <c r="M20" s="121"/>
      <c r="N20" s="159">
        <v>105244.67</v>
      </c>
      <c r="O20" s="121"/>
      <c r="P20" s="159">
        <v>105380</v>
      </c>
      <c r="Q20" s="121"/>
      <c r="R20" s="159">
        <v>106041.74</v>
      </c>
      <c r="S20" s="121"/>
      <c r="T20" s="159">
        <v>106957.88</v>
      </c>
      <c r="U20" s="121"/>
      <c r="V20" s="159">
        <v>107786.34</v>
      </c>
      <c r="W20" s="121"/>
      <c r="Y20" s="159">
        <v>179476.24</v>
      </c>
      <c r="Z20" s="159">
        <v>206148.87</v>
      </c>
      <c r="AA20" s="121">
        <v>0.14860000000000001</v>
      </c>
      <c r="AB20" s="159">
        <v>211664.63</v>
      </c>
      <c r="AC20" s="121">
        <v>0.17929999999999999</v>
      </c>
      <c r="AD20" s="159">
        <v>111679.6</v>
      </c>
      <c r="AE20" s="159">
        <v>114511.49</v>
      </c>
      <c r="AF20" s="159">
        <v>115601.81</v>
      </c>
      <c r="AG20" s="121"/>
      <c r="AH20" s="159"/>
      <c r="AI20" s="121"/>
      <c r="AJ20" s="159"/>
      <c r="AK20" s="121"/>
      <c r="AL20" s="159"/>
      <c r="AM20" s="121"/>
      <c r="AN20" s="159"/>
      <c r="AO20" s="121"/>
      <c r="AP20" s="159"/>
      <c r="AQ20" s="121"/>
      <c r="AR20" s="159"/>
      <c r="AS20" s="121"/>
      <c r="AT20" s="159"/>
      <c r="AU20" s="121"/>
      <c r="AV20" s="159"/>
      <c r="AW20" s="121"/>
      <c r="AX20" s="159"/>
      <c r="AY20" s="121"/>
      <c r="AZ20" s="159"/>
      <c r="BA20" s="121"/>
      <c r="BB20" s="159"/>
      <c r="BC20" s="121"/>
      <c r="BD20" s="159"/>
      <c r="BE20" s="121"/>
    </row>
    <row r="21" spans="1:57">
      <c r="A21" t="s">
        <v>407</v>
      </c>
      <c r="B21">
        <v>0</v>
      </c>
      <c r="C21" t="s">
        <v>436</v>
      </c>
      <c r="D21" t="s">
        <v>437</v>
      </c>
      <c r="E21" t="s">
        <v>410</v>
      </c>
      <c r="F21" t="s">
        <v>409</v>
      </c>
      <c r="G21" s="159">
        <v>121836</v>
      </c>
      <c r="H21" s="159">
        <v>151680.66</v>
      </c>
      <c r="I21" s="121">
        <v>0.24490000000000001</v>
      </c>
      <c r="J21" s="159">
        <v>148483.28</v>
      </c>
      <c r="K21" s="121">
        <v>0.21870000000000001</v>
      </c>
      <c r="L21" s="159">
        <v>225184.51</v>
      </c>
      <c r="M21" s="121"/>
      <c r="N21" s="159">
        <v>290537.02</v>
      </c>
      <c r="O21" s="121"/>
      <c r="P21" s="159">
        <v>292265.46000000002</v>
      </c>
      <c r="Q21" s="121"/>
      <c r="R21" s="159">
        <v>423378.55</v>
      </c>
      <c r="S21" s="121"/>
      <c r="T21" s="159">
        <v>546240.64</v>
      </c>
      <c r="U21" s="121"/>
      <c r="V21" s="159">
        <v>570031.4</v>
      </c>
      <c r="W21" s="121"/>
      <c r="Y21" s="159">
        <v>11281776.48</v>
      </c>
      <c r="Z21" s="159">
        <v>15210628.140000001</v>
      </c>
      <c r="AA21" s="121">
        <v>0.34820000000000001</v>
      </c>
      <c r="AB21" s="159">
        <v>13032816.539999999</v>
      </c>
      <c r="AC21" s="121">
        <v>0.1552</v>
      </c>
      <c r="AD21" s="159">
        <v>1302065.32</v>
      </c>
      <c r="AE21" s="159">
        <v>1721322.31</v>
      </c>
      <c r="AF21" s="159">
        <v>1880258.23</v>
      </c>
      <c r="AG21" s="121"/>
      <c r="AH21" s="159"/>
      <c r="AI21" s="121"/>
      <c r="AJ21" s="159"/>
      <c r="AK21" s="121"/>
      <c r="AL21" s="159"/>
      <c r="AM21" s="121"/>
      <c r="AN21" s="159"/>
      <c r="AO21" s="121"/>
      <c r="AP21" s="159"/>
      <c r="AQ21" s="121"/>
      <c r="AR21" s="159"/>
      <c r="AS21" s="121"/>
      <c r="AT21" s="159"/>
      <c r="AU21" s="121"/>
      <c r="AV21" s="159"/>
      <c r="AW21" s="121"/>
      <c r="AX21" s="159"/>
      <c r="AY21" s="121"/>
      <c r="AZ21" s="159"/>
      <c r="BA21" s="121"/>
      <c r="BB21" s="159"/>
      <c r="BC21" s="121"/>
      <c r="BD21" s="159"/>
      <c r="BE21" s="121"/>
    </row>
    <row r="22" spans="1:57">
      <c r="A22" t="s">
        <v>407</v>
      </c>
      <c r="B22">
        <v>0</v>
      </c>
      <c r="C22" t="s">
        <v>436</v>
      </c>
      <c r="D22" t="s">
        <v>437</v>
      </c>
      <c r="E22" t="s">
        <v>410</v>
      </c>
      <c r="F22" t="s">
        <v>411</v>
      </c>
      <c r="G22" s="159">
        <v>7076</v>
      </c>
      <c r="H22" s="159">
        <v>8810.49</v>
      </c>
      <c r="I22" s="121">
        <v>0.24490000000000001</v>
      </c>
      <c r="J22" s="159">
        <v>8458.35</v>
      </c>
      <c r="K22" s="121">
        <v>0.19520000000000001</v>
      </c>
      <c r="L22" s="159">
        <v>13757.29</v>
      </c>
      <c r="M22" s="121"/>
      <c r="N22" s="159">
        <v>17749.89</v>
      </c>
      <c r="O22" s="121"/>
      <c r="P22" s="159">
        <v>17755.37</v>
      </c>
      <c r="Q22" s="121"/>
      <c r="R22" s="159">
        <v>26299.5</v>
      </c>
      <c r="S22" s="121"/>
      <c r="T22" s="159">
        <v>33931.480000000003</v>
      </c>
      <c r="U22" s="121"/>
      <c r="V22" s="159">
        <v>34611.39</v>
      </c>
      <c r="W22" s="121"/>
      <c r="Y22" s="159">
        <v>747549.08</v>
      </c>
      <c r="Z22" s="159">
        <v>1007879.9</v>
      </c>
      <c r="AA22" s="121">
        <v>0.34820000000000001</v>
      </c>
      <c r="AB22" s="159">
        <v>754486.85</v>
      </c>
      <c r="AC22" s="121">
        <v>9.2999999999999992E-3</v>
      </c>
      <c r="AD22" s="159">
        <v>309479.96000000002</v>
      </c>
      <c r="AE22" s="159">
        <v>409130.57</v>
      </c>
      <c r="AF22" s="159">
        <v>403728.6</v>
      </c>
      <c r="AG22" s="121"/>
      <c r="AH22" s="159"/>
      <c r="AI22" s="121"/>
      <c r="AJ22" s="159"/>
      <c r="AK22" s="121"/>
      <c r="AL22" s="159"/>
      <c r="AM22" s="121"/>
      <c r="AN22" s="159"/>
      <c r="AO22" s="121"/>
      <c r="AP22" s="159"/>
      <c r="AQ22" s="121"/>
      <c r="AR22" s="159"/>
      <c r="AS22" s="121"/>
      <c r="AT22" s="159"/>
      <c r="AU22" s="121"/>
      <c r="AV22" s="159"/>
      <c r="AW22" s="121"/>
      <c r="AX22" s="159"/>
      <c r="AY22" s="121"/>
      <c r="AZ22" s="159"/>
      <c r="BA22" s="121"/>
      <c r="BB22" s="159"/>
      <c r="BC22" s="121"/>
      <c r="BD22" s="159"/>
      <c r="BE22" s="121"/>
    </row>
    <row r="23" spans="1:57">
      <c r="A23" t="s">
        <v>407</v>
      </c>
      <c r="B23">
        <v>0</v>
      </c>
      <c r="C23" t="s">
        <v>436</v>
      </c>
      <c r="D23" t="s">
        <v>437</v>
      </c>
      <c r="E23" t="s">
        <v>415</v>
      </c>
      <c r="F23" t="s">
        <v>439</v>
      </c>
      <c r="G23">
        <v>0</v>
      </c>
      <c r="H23">
        <v>0</v>
      </c>
      <c r="I23" s="121">
        <v>0</v>
      </c>
      <c r="J23">
        <v>0</v>
      </c>
      <c r="K23" s="121">
        <v>0</v>
      </c>
      <c r="L23">
        <v>0</v>
      </c>
      <c r="M23" s="121"/>
      <c r="N23">
        <v>0</v>
      </c>
      <c r="O23" s="121"/>
      <c r="P23">
        <v>0</v>
      </c>
      <c r="Q23" s="121"/>
      <c r="R23">
        <v>0</v>
      </c>
      <c r="S23" s="121"/>
      <c r="T23">
        <v>0</v>
      </c>
      <c r="U23" s="121"/>
      <c r="V23">
        <v>0</v>
      </c>
      <c r="W23" s="121"/>
      <c r="Y23">
        <v>0</v>
      </c>
      <c r="Z23">
        <v>0</v>
      </c>
      <c r="AA23" s="121">
        <v>0</v>
      </c>
      <c r="AB23">
        <v>0</v>
      </c>
      <c r="AC23" s="121">
        <v>0</v>
      </c>
      <c r="AD23">
        <v>0</v>
      </c>
      <c r="AE23">
        <v>0</v>
      </c>
      <c r="AF23">
        <v>0</v>
      </c>
      <c r="AG23" s="121"/>
      <c r="AI23" s="121"/>
      <c r="AK23" s="121"/>
      <c r="AM23" s="121"/>
      <c r="AO23" s="121"/>
      <c r="AQ23" s="121"/>
      <c r="AS23" s="121"/>
      <c r="AU23" s="121"/>
      <c r="AW23" s="121"/>
      <c r="AY23" s="121"/>
      <c r="BA23" s="121"/>
      <c r="BC23" s="121"/>
      <c r="BE23" s="121"/>
    </row>
    <row r="24" spans="1:57">
      <c r="A24" t="s">
        <v>407</v>
      </c>
      <c r="B24">
        <v>0</v>
      </c>
      <c r="C24" t="s">
        <v>436</v>
      </c>
      <c r="D24" t="s">
        <v>437</v>
      </c>
      <c r="E24" t="s">
        <v>415</v>
      </c>
      <c r="F24" t="s">
        <v>414</v>
      </c>
      <c r="G24" s="159">
        <v>9466.86</v>
      </c>
      <c r="H24" s="159">
        <v>11785.93</v>
      </c>
      <c r="I24" s="121">
        <v>0.245</v>
      </c>
      <c r="J24" s="159">
        <v>13913.68</v>
      </c>
      <c r="K24" s="121">
        <v>0.46970000000000001</v>
      </c>
      <c r="L24" s="159">
        <v>33417.56</v>
      </c>
      <c r="M24" s="121"/>
      <c r="N24" s="159">
        <v>43116.15</v>
      </c>
      <c r="O24" s="121"/>
      <c r="P24" s="159">
        <v>50457.86</v>
      </c>
      <c r="Q24" s="121"/>
      <c r="R24" s="159">
        <v>61294</v>
      </c>
      <c r="S24" s="121"/>
      <c r="T24" s="159">
        <v>79080.62</v>
      </c>
      <c r="U24" s="121"/>
      <c r="V24" s="159">
        <v>130560.26</v>
      </c>
      <c r="W24" s="121"/>
      <c r="Y24" s="159">
        <v>1515049.91</v>
      </c>
      <c r="Z24" s="159">
        <v>2042716.1599999999</v>
      </c>
      <c r="AA24" s="121">
        <v>0.3483</v>
      </c>
      <c r="AB24" s="159">
        <v>3176080.33</v>
      </c>
      <c r="AC24" s="121">
        <v>1.0964</v>
      </c>
      <c r="AD24" s="159">
        <v>178370.89</v>
      </c>
      <c r="AE24" s="159">
        <v>235804.75</v>
      </c>
      <c r="AF24" s="159">
        <v>800445.69</v>
      </c>
      <c r="AG24" s="121"/>
      <c r="AH24" s="159"/>
      <c r="AI24" s="121"/>
      <c r="AJ24" s="159"/>
      <c r="AK24" s="121"/>
      <c r="AL24" s="159"/>
      <c r="AM24" s="121"/>
      <c r="AN24" s="159"/>
      <c r="AO24" s="121"/>
      <c r="AP24" s="159"/>
      <c r="AQ24" s="121"/>
      <c r="AR24" s="159"/>
      <c r="AS24" s="121"/>
      <c r="AT24" s="159"/>
      <c r="AU24" s="121"/>
      <c r="AV24" s="159"/>
      <c r="AW24" s="121"/>
      <c r="AX24" s="159"/>
      <c r="AY24" s="121"/>
      <c r="AZ24" s="159"/>
      <c r="BA24" s="121"/>
      <c r="BB24" s="159"/>
      <c r="BC24" s="121"/>
      <c r="BD24" s="159"/>
      <c r="BE24" s="121"/>
    </row>
    <row r="25" spans="1:57">
      <c r="A25" t="s">
        <v>407</v>
      </c>
      <c r="B25">
        <v>0</v>
      </c>
      <c r="C25" t="s">
        <v>436</v>
      </c>
      <c r="D25" t="s">
        <v>437</v>
      </c>
      <c r="E25" t="s">
        <v>415</v>
      </c>
      <c r="F25" t="s">
        <v>416</v>
      </c>
      <c r="G25" s="159">
        <v>3273.41</v>
      </c>
      <c r="H25" s="159">
        <v>4075.28</v>
      </c>
      <c r="I25" s="121">
        <v>0.245</v>
      </c>
      <c r="J25" s="159">
        <v>4706.3100000000004</v>
      </c>
      <c r="K25" s="121">
        <v>0.43769999999999998</v>
      </c>
      <c r="L25" s="159">
        <v>11842.37</v>
      </c>
      <c r="M25" s="121"/>
      <c r="N25" s="159">
        <v>15279.3</v>
      </c>
      <c r="O25" s="121"/>
      <c r="P25" s="159">
        <v>18150.16</v>
      </c>
      <c r="Q25" s="121"/>
      <c r="R25" s="159">
        <v>21941.5</v>
      </c>
      <c r="S25" s="121"/>
      <c r="T25" s="159">
        <v>28308.639999999999</v>
      </c>
      <c r="U25" s="121"/>
      <c r="V25" s="159">
        <v>34603.129999999997</v>
      </c>
      <c r="W25" s="121"/>
      <c r="Y25" s="159">
        <v>582203.73</v>
      </c>
      <c r="Z25" s="159">
        <v>784971.88</v>
      </c>
      <c r="AA25" s="121">
        <v>0.3483</v>
      </c>
      <c r="AB25" s="159">
        <v>917539.65</v>
      </c>
      <c r="AC25" s="121">
        <v>0.57599999999999996</v>
      </c>
      <c r="AD25" s="159">
        <v>68452.56</v>
      </c>
      <c r="AE25" s="159">
        <v>90493.72</v>
      </c>
      <c r="AF25" s="159">
        <v>123832.98</v>
      </c>
      <c r="AG25" s="121"/>
      <c r="AH25" s="159"/>
      <c r="AI25" s="121"/>
      <c r="AJ25" s="159"/>
      <c r="AK25" s="121"/>
      <c r="AL25" s="159"/>
      <c r="AM25" s="121"/>
      <c r="AN25" s="159"/>
      <c r="AO25" s="121"/>
      <c r="AP25" s="159"/>
      <c r="AQ25" s="121"/>
      <c r="AR25" s="159"/>
      <c r="AS25" s="121"/>
      <c r="AT25" s="159"/>
      <c r="AU25" s="121"/>
      <c r="AV25" s="159"/>
      <c r="AW25" s="121"/>
      <c r="AX25" s="159"/>
      <c r="AY25" s="121"/>
      <c r="AZ25" s="159"/>
      <c r="BA25" s="121"/>
      <c r="BB25" s="159"/>
      <c r="BC25" s="121"/>
      <c r="BD25" s="159"/>
      <c r="BE25" s="121"/>
    </row>
    <row r="26" spans="1:57">
      <c r="A26" t="s">
        <v>407</v>
      </c>
      <c r="B26">
        <v>0</v>
      </c>
      <c r="C26" t="s">
        <v>436</v>
      </c>
      <c r="D26" t="s">
        <v>437</v>
      </c>
      <c r="E26" t="s">
        <v>415</v>
      </c>
      <c r="F26" t="s">
        <v>417</v>
      </c>
      <c r="G26" s="159">
        <v>11990.25</v>
      </c>
      <c r="H26" s="159">
        <v>14927.74</v>
      </c>
      <c r="I26" s="121">
        <v>0.245</v>
      </c>
      <c r="J26" s="159">
        <v>16410.560000000001</v>
      </c>
      <c r="K26" s="121">
        <v>0.36870000000000003</v>
      </c>
      <c r="L26" s="159">
        <v>128182.67</v>
      </c>
      <c r="M26" s="121"/>
      <c r="N26" s="159">
        <v>165385.04999999999</v>
      </c>
      <c r="O26" s="121"/>
      <c r="P26" s="159">
        <v>182316.04</v>
      </c>
      <c r="Q26" s="121"/>
      <c r="R26" s="159">
        <v>233349.75</v>
      </c>
      <c r="S26" s="121"/>
      <c r="T26" s="159">
        <v>301062.90000000002</v>
      </c>
      <c r="U26" s="121"/>
      <c r="V26" s="159">
        <v>348385.1</v>
      </c>
      <c r="W26" s="121"/>
      <c r="Y26" s="159">
        <v>19694823.789999999</v>
      </c>
      <c r="Z26" s="159">
        <v>26553591.18</v>
      </c>
      <c r="AA26" s="121">
        <v>0.3483</v>
      </c>
      <c r="AB26" s="159">
        <v>25799742.120000001</v>
      </c>
      <c r="AC26" s="121">
        <v>0.31</v>
      </c>
      <c r="AD26" s="159">
        <v>2100191.98</v>
      </c>
      <c r="AE26" s="159">
        <v>2776436.66</v>
      </c>
      <c r="AF26" s="159">
        <v>3744775.91</v>
      </c>
      <c r="AG26" s="121"/>
      <c r="AH26" s="159"/>
      <c r="AI26" s="121"/>
      <c r="AJ26" s="159"/>
      <c r="AK26" s="121"/>
      <c r="AL26" s="159"/>
      <c r="AM26" s="121"/>
      <c r="AN26" s="159"/>
      <c r="AO26" s="121"/>
      <c r="AP26" s="159"/>
      <c r="AQ26" s="121"/>
      <c r="AR26" s="159"/>
      <c r="AS26" s="121"/>
      <c r="AT26" s="159"/>
      <c r="AU26" s="121"/>
      <c r="AV26" s="159"/>
      <c r="AW26" s="121"/>
      <c r="AX26" s="159"/>
      <c r="AY26" s="121"/>
      <c r="AZ26" s="159"/>
      <c r="BA26" s="121"/>
      <c r="BB26" s="159"/>
      <c r="BC26" s="121"/>
      <c r="BD26" s="159"/>
      <c r="BE26" s="121"/>
    </row>
    <row r="27" spans="1:57">
      <c r="A27" t="s">
        <v>407</v>
      </c>
      <c r="B27">
        <v>0</v>
      </c>
      <c r="C27" t="s">
        <v>436</v>
      </c>
      <c r="D27" t="s">
        <v>437</v>
      </c>
      <c r="E27" t="s">
        <v>415</v>
      </c>
      <c r="F27" t="s">
        <v>418</v>
      </c>
      <c r="G27">
        <v>167.26</v>
      </c>
      <c r="H27">
        <v>208.23</v>
      </c>
      <c r="I27" s="121">
        <v>0.245</v>
      </c>
      <c r="J27">
        <v>228.91</v>
      </c>
      <c r="K27" s="121">
        <v>0.36859999999999998</v>
      </c>
      <c r="L27">
        <v>769.87</v>
      </c>
      <c r="M27" s="121"/>
      <c r="N27">
        <v>993.32</v>
      </c>
      <c r="O27" s="121"/>
      <c r="P27" s="159">
        <v>1130.53</v>
      </c>
      <c r="Q27" s="121"/>
      <c r="R27" s="159">
        <v>1350.69</v>
      </c>
      <c r="S27" s="121"/>
      <c r="T27" s="159">
        <v>1742.63</v>
      </c>
      <c r="U27" s="121"/>
      <c r="V27" s="159">
        <v>2125.7399999999998</v>
      </c>
      <c r="W27" s="121"/>
      <c r="Y27" s="159">
        <v>37592.720000000001</v>
      </c>
      <c r="Z27" s="159">
        <v>50687.05</v>
      </c>
      <c r="AA27" s="121">
        <v>0.3483</v>
      </c>
      <c r="AB27" s="159">
        <v>57166.09</v>
      </c>
      <c r="AC27" s="121">
        <v>0.52070000000000005</v>
      </c>
      <c r="AD27" s="159">
        <v>7421.25</v>
      </c>
      <c r="AE27" s="159">
        <v>9810.8700000000008</v>
      </c>
      <c r="AF27" s="159">
        <v>11306.28</v>
      </c>
      <c r="AG27" s="121"/>
      <c r="AI27" s="121"/>
      <c r="AK27" s="121"/>
      <c r="AM27" s="121"/>
      <c r="AN27" s="159"/>
      <c r="AO27" s="121"/>
      <c r="AP27" s="159"/>
      <c r="AQ27" s="121"/>
      <c r="AR27" s="159"/>
      <c r="AS27" s="121"/>
      <c r="AT27" s="159"/>
      <c r="AU27" s="121"/>
      <c r="AV27" s="159"/>
      <c r="AW27" s="121"/>
      <c r="AX27" s="159"/>
      <c r="AY27" s="121"/>
      <c r="AZ27" s="159"/>
      <c r="BA27" s="121"/>
      <c r="BB27" s="159"/>
      <c r="BC27" s="121"/>
      <c r="BD27" s="159"/>
      <c r="BE27" s="121"/>
    </row>
    <row r="28" spans="1:57">
      <c r="A28" t="s">
        <v>407</v>
      </c>
      <c r="B28">
        <v>0</v>
      </c>
      <c r="C28" t="s">
        <v>436</v>
      </c>
      <c r="D28" t="s">
        <v>437</v>
      </c>
      <c r="E28" t="s">
        <v>415</v>
      </c>
      <c r="F28" t="s">
        <v>419</v>
      </c>
      <c r="G28">
        <v>211.09</v>
      </c>
      <c r="H28">
        <v>262.8</v>
      </c>
      <c r="I28" s="121">
        <v>0.245</v>
      </c>
      <c r="J28">
        <v>288.89999999999998</v>
      </c>
      <c r="K28" s="121">
        <v>0.36859999999999998</v>
      </c>
      <c r="L28" s="159">
        <v>5835.04</v>
      </c>
      <c r="M28" s="121"/>
      <c r="N28" s="159">
        <v>7528.56</v>
      </c>
      <c r="O28" s="121"/>
      <c r="P28" s="159">
        <v>8568.5499999999993</v>
      </c>
      <c r="Q28" s="121"/>
      <c r="R28" s="159">
        <v>10237.200000000001</v>
      </c>
      <c r="S28" s="121"/>
      <c r="T28" s="159">
        <v>13207.77</v>
      </c>
      <c r="U28" s="121"/>
      <c r="V28" s="159">
        <v>16111.47</v>
      </c>
      <c r="W28" s="121"/>
      <c r="Y28" s="159">
        <v>284923.7</v>
      </c>
      <c r="Z28" s="159">
        <v>384168.54</v>
      </c>
      <c r="AA28" s="121">
        <v>0.3483</v>
      </c>
      <c r="AB28" s="159">
        <v>433274.63</v>
      </c>
      <c r="AC28" s="121">
        <v>0.52070000000000005</v>
      </c>
      <c r="AD28" s="159">
        <v>37735.4</v>
      </c>
      <c r="AE28" s="159">
        <v>49885.85</v>
      </c>
      <c r="AF28" s="159">
        <v>62922.42</v>
      </c>
      <c r="AG28" s="121"/>
      <c r="AH28" s="159"/>
      <c r="AI28" s="121"/>
      <c r="AJ28" s="159"/>
      <c r="AK28" s="121"/>
      <c r="AL28" s="159"/>
      <c r="AM28" s="121"/>
      <c r="AN28" s="159"/>
      <c r="AO28" s="121"/>
      <c r="AP28" s="159"/>
      <c r="AQ28" s="121"/>
      <c r="AR28" s="159"/>
      <c r="AS28" s="121"/>
      <c r="AT28" s="159"/>
      <c r="AU28" s="121"/>
      <c r="AV28" s="159"/>
      <c r="AW28" s="121"/>
      <c r="AX28" s="159"/>
      <c r="AY28" s="121"/>
      <c r="AZ28" s="159"/>
      <c r="BA28" s="121"/>
      <c r="BB28" s="159"/>
      <c r="BC28" s="121"/>
      <c r="BD28" s="159"/>
      <c r="BE28" s="121"/>
    </row>
    <row r="29" spans="1:57">
      <c r="A29" t="s">
        <v>407</v>
      </c>
      <c r="B29">
        <v>0</v>
      </c>
      <c r="C29" t="s">
        <v>436</v>
      </c>
      <c r="D29" t="s">
        <v>437</v>
      </c>
      <c r="E29" t="s">
        <v>421</v>
      </c>
      <c r="F29" t="s">
        <v>420</v>
      </c>
      <c r="G29">
        <v>587.9</v>
      </c>
      <c r="H29">
        <v>731.9</v>
      </c>
      <c r="I29" s="121">
        <v>0.24490000000000001</v>
      </c>
      <c r="J29">
        <v>716.03</v>
      </c>
      <c r="K29" s="121">
        <v>0.218</v>
      </c>
      <c r="L29" s="159">
        <v>1120.82</v>
      </c>
      <c r="M29" s="121"/>
      <c r="N29" s="159">
        <v>1446.11</v>
      </c>
      <c r="O29" s="121"/>
      <c r="P29" s="159">
        <v>1450.54</v>
      </c>
      <c r="Q29" s="121"/>
      <c r="R29" s="159">
        <v>2097.67</v>
      </c>
      <c r="S29" s="121"/>
      <c r="T29" s="159">
        <v>2706.41</v>
      </c>
      <c r="U29" s="121"/>
      <c r="V29" s="159">
        <v>2826.78</v>
      </c>
      <c r="W29" s="121"/>
      <c r="Y29" s="159">
        <v>56842.58</v>
      </c>
      <c r="Z29" s="159">
        <v>76637.86</v>
      </c>
      <c r="AA29" s="121">
        <v>0.34820000000000001</v>
      </c>
      <c r="AB29" s="159">
        <v>74623.350000000006</v>
      </c>
      <c r="AC29" s="121">
        <v>0.31280000000000002</v>
      </c>
      <c r="AD29" s="159">
        <v>6400.88</v>
      </c>
      <c r="AE29" s="159">
        <v>8461.92</v>
      </c>
      <c r="AF29" s="159">
        <v>10651.97</v>
      </c>
      <c r="AG29" s="121"/>
      <c r="AI29" s="121"/>
      <c r="AK29" s="121"/>
      <c r="AM29" s="121"/>
      <c r="AN29" s="159"/>
      <c r="AO29" s="121"/>
      <c r="AP29" s="159"/>
      <c r="AQ29" s="121"/>
      <c r="AR29" s="159"/>
      <c r="AS29" s="121"/>
      <c r="AT29" s="159"/>
      <c r="AU29" s="121"/>
      <c r="AV29" s="159"/>
      <c r="AW29" s="121"/>
      <c r="AX29" s="159"/>
      <c r="AY29" s="121"/>
      <c r="AZ29" s="159"/>
      <c r="BA29" s="121"/>
      <c r="BB29" s="159"/>
      <c r="BC29" s="121"/>
      <c r="BD29" s="159"/>
      <c r="BE29" s="121"/>
    </row>
    <row r="30" spans="1:57">
      <c r="A30" t="s">
        <v>407</v>
      </c>
      <c r="B30">
        <v>0</v>
      </c>
      <c r="C30" t="s">
        <v>436</v>
      </c>
      <c r="D30" t="s">
        <v>437</v>
      </c>
      <c r="E30" t="s">
        <v>421</v>
      </c>
      <c r="F30" t="s">
        <v>422</v>
      </c>
      <c r="G30" s="159">
        <v>5550.12</v>
      </c>
      <c r="H30" s="159">
        <v>6909.61</v>
      </c>
      <c r="I30" s="121">
        <v>0.24490000000000001</v>
      </c>
      <c r="J30" s="159">
        <v>7457.25</v>
      </c>
      <c r="K30" s="121">
        <v>0.34360000000000002</v>
      </c>
      <c r="L30" s="159">
        <v>10248.719999999999</v>
      </c>
      <c r="M30" s="121"/>
      <c r="N30" s="159">
        <v>13223.42</v>
      </c>
      <c r="O30" s="121"/>
      <c r="P30" s="159">
        <v>12521.42</v>
      </c>
      <c r="Q30" s="121"/>
      <c r="R30" s="159">
        <v>16357.24</v>
      </c>
      <c r="S30" s="121"/>
      <c r="T30" s="159">
        <v>21105.67</v>
      </c>
      <c r="U30" s="121"/>
      <c r="V30" s="159">
        <v>24379.47</v>
      </c>
      <c r="W30" s="121"/>
      <c r="Y30" s="159">
        <v>273513.84000000003</v>
      </c>
      <c r="Z30" s="159">
        <v>371603.43</v>
      </c>
      <c r="AA30" s="121">
        <v>0.35859999999999997</v>
      </c>
      <c r="AB30" s="159">
        <v>415541.13</v>
      </c>
      <c r="AC30" s="121">
        <v>0.51929999999999998</v>
      </c>
      <c r="AD30" s="159">
        <v>28157.62</v>
      </c>
      <c r="AE30" s="159">
        <v>37256.980000000003</v>
      </c>
      <c r="AF30" s="159">
        <v>51437.3</v>
      </c>
      <c r="AG30" s="121"/>
      <c r="AH30" s="159"/>
      <c r="AI30" s="121"/>
      <c r="AJ30" s="159"/>
      <c r="AK30" s="121"/>
      <c r="AL30" s="159"/>
      <c r="AM30" s="121"/>
      <c r="AN30" s="159"/>
      <c r="AO30" s="121"/>
      <c r="AP30" s="159"/>
      <c r="AQ30" s="121"/>
      <c r="AR30" s="159"/>
      <c r="AS30" s="121"/>
      <c r="AT30" s="159"/>
      <c r="AU30" s="121"/>
      <c r="AV30" s="159"/>
      <c r="AW30" s="121"/>
      <c r="AX30" s="159"/>
      <c r="AY30" s="121"/>
      <c r="AZ30" s="159"/>
      <c r="BA30" s="121"/>
      <c r="BB30" s="159"/>
      <c r="BC30" s="121"/>
      <c r="BD30" s="159"/>
      <c r="BE30" s="121"/>
    </row>
    <row r="31" spans="1:57">
      <c r="A31" t="s">
        <v>407</v>
      </c>
      <c r="B31">
        <v>0</v>
      </c>
      <c r="C31" t="s">
        <v>436</v>
      </c>
      <c r="D31" t="s">
        <v>437</v>
      </c>
      <c r="E31" t="s">
        <v>413</v>
      </c>
      <c r="F31" t="s">
        <v>440</v>
      </c>
      <c r="G31">
        <v>0</v>
      </c>
      <c r="H31">
        <v>0</v>
      </c>
      <c r="I31" s="121">
        <v>0</v>
      </c>
      <c r="J31">
        <v>0</v>
      </c>
      <c r="K31" s="121">
        <v>0</v>
      </c>
      <c r="L31">
        <v>0</v>
      </c>
      <c r="M31" s="121"/>
      <c r="N31">
        <v>0</v>
      </c>
      <c r="O31" s="121"/>
      <c r="P31">
        <v>0</v>
      </c>
      <c r="Q31" s="121"/>
      <c r="R31">
        <v>0</v>
      </c>
      <c r="S31" s="121"/>
      <c r="T31">
        <v>0</v>
      </c>
      <c r="U31" s="121"/>
      <c r="V31">
        <v>0</v>
      </c>
      <c r="W31" s="121"/>
      <c r="Y31">
        <v>0</v>
      </c>
      <c r="Z31">
        <v>0</v>
      </c>
      <c r="AA31" s="121">
        <v>0</v>
      </c>
      <c r="AB31">
        <v>0</v>
      </c>
      <c r="AC31" s="121">
        <v>0</v>
      </c>
      <c r="AD31">
        <v>0</v>
      </c>
      <c r="AE31">
        <v>0</v>
      </c>
      <c r="AF31">
        <v>0</v>
      </c>
      <c r="AG31" s="121"/>
      <c r="AI31" s="121"/>
      <c r="AK31" s="121"/>
      <c r="AM31" s="121"/>
      <c r="AO31" s="121"/>
      <c r="AQ31" s="121"/>
      <c r="AS31" s="121"/>
      <c r="AU31" s="121"/>
      <c r="AW31" s="121"/>
      <c r="AY31" s="121"/>
      <c r="BA31" s="121"/>
      <c r="BC31" s="121"/>
      <c r="BE31" s="121"/>
    </row>
    <row r="32" spans="1:57">
      <c r="A32" t="s">
        <v>407</v>
      </c>
      <c r="B32">
        <v>0</v>
      </c>
      <c r="C32" t="s">
        <v>436</v>
      </c>
      <c r="D32" t="s">
        <v>437</v>
      </c>
      <c r="E32" t="s">
        <v>415</v>
      </c>
      <c r="F32" t="s">
        <v>441</v>
      </c>
      <c r="G32" s="159">
        <v>1234788.54</v>
      </c>
      <c r="H32" s="159">
        <v>1537247.76</v>
      </c>
      <c r="I32" s="121">
        <v>0.24490000000000001</v>
      </c>
      <c r="J32" s="159">
        <v>1504392.83</v>
      </c>
      <c r="K32" s="121">
        <v>0.21829999999999999</v>
      </c>
      <c r="L32" s="159">
        <v>2150054.9300000002</v>
      </c>
      <c r="M32" s="121"/>
      <c r="N32" s="159">
        <v>2774063.66</v>
      </c>
      <c r="O32" s="121"/>
      <c r="P32" s="159">
        <v>2857998.34</v>
      </c>
      <c r="Q32" s="121"/>
      <c r="R32" s="159">
        <v>3841435.23</v>
      </c>
      <c r="S32" s="121"/>
      <c r="T32" s="159">
        <v>4956139.12</v>
      </c>
      <c r="U32" s="121"/>
      <c r="V32" s="159">
        <v>5218300.09</v>
      </c>
      <c r="W32" s="121"/>
      <c r="Y32" s="159">
        <v>103538592.72</v>
      </c>
      <c r="Z32" s="159">
        <v>139601532.31</v>
      </c>
      <c r="AA32" s="121">
        <v>0.3483</v>
      </c>
      <c r="AB32" s="159">
        <v>137892697.61000001</v>
      </c>
      <c r="AC32" s="121">
        <v>0.33179999999999998</v>
      </c>
      <c r="AD32" s="159">
        <v>13924046.24</v>
      </c>
      <c r="AE32" s="159">
        <v>18407443.550000001</v>
      </c>
      <c r="AF32" s="159">
        <v>20161754.460000001</v>
      </c>
      <c r="AG32" s="121"/>
      <c r="AH32" s="159"/>
      <c r="AI32" s="121"/>
      <c r="AJ32" s="159"/>
      <c r="AK32" s="121"/>
      <c r="AL32" s="159"/>
      <c r="AM32" s="121"/>
      <c r="AN32" s="159"/>
      <c r="AO32" s="121"/>
      <c r="AP32" s="159"/>
      <c r="AQ32" s="121"/>
      <c r="AR32" s="159"/>
      <c r="AS32" s="121"/>
      <c r="AT32" s="159"/>
      <c r="AU32" s="121"/>
      <c r="AV32" s="159"/>
      <c r="AW32" s="121"/>
      <c r="AX32" s="159"/>
      <c r="AY32" s="121"/>
      <c r="AZ32" s="159"/>
      <c r="BA32" s="121"/>
      <c r="BB32" s="159"/>
      <c r="BC32" s="121"/>
      <c r="BD32" s="159"/>
      <c r="BE32" s="121"/>
    </row>
    <row r="33" spans="1:57">
      <c r="A33" t="s">
        <v>407</v>
      </c>
      <c r="B33">
        <v>0</v>
      </c>
      <c r="C33" t="s">
        <v>436</v>
      </c>
      <c r="D33" t="s">
        <v>437</v>
      </c>
      <c r="E33" t="s">
        <v>415</v>
      </c>
      <c r="F33" t="s">
        <v>442</v>
      </c>
      <c r="G33" s="159">
        <v>2501766.2999999998</v>
      </c>
      <c r="H33" s="159">
        <v>3114566.78</v>
      </c>
      <c r="I33" s="121">
        <v>0.24490000000000001</v>
      </c>
      <c r="J33" s="159">
        <v>3078793.51</v>
      </c>
      <c r="K33" s="121">
        <v>0.2306</v>
      </c>
      <c r="L33" s="159">
        <v>4831252.41</v>
      </c>
      <c r="M33" s="121"/>
      <c r="N33" s="159">
        <v>6233394.1799999997</v>
      </c>
      <c r="O33" s="121"/>
      <c r="P33" s="159">
        <v>6256617.1600000001</v>
      </c>
      <c r="Q33" s="121"/>
      <c r="R33" s="159">
        <v>9113557.9700000007</v>
      </c>
      <c r="S33" s="121"/>
      <c r="T33" s="159">
        <v>11758191.970000001</v>
      </c>
      <c r="U33" s="121"/>
      <c r="V33" s="159">
        <v>12484920.24</v>
      </c>
      <c r="W33" s="121"/>
      <c r="Y33" s="159">
        <v>253765825.12</v>
      </c>
      <c r="Z33" s="159">
        <v>342146733.49000001</v>
      </c>
      <c r="AA33" s="121">
        <v>0.3483</v>
      </c>
      <c r="AB33" s="159">
        <v>283353395.91000003</v>
      </c>
      <c r="AC33" s="121">
        <v>0.1166</v>
      </c>
      <c r="AD33" s="159">
        <v>33495979.859999999</v>
      </c>
      <c r="AE33" s="159">
        <v>44281405.710000001</v>
      </c>
      <c r="AF33" s="159">
        <v>48410729.850000001</v>
      </c>
      <c r="AG33" s="121"/>
      <c r="AH33" s="159"/>
      <c r="AI33" s="121"/>
      <c r="AJ33" s="159"/>
      <c r="AK33" s="121"/>
      <c r="AL33" s="159"/>
      <c r="AM33" s="121"/>
      <c r="AN33" s="159"/>
      <c r="AO33" s="121"/>
      <c r="AP33" s="159"/>
      <c r="AQ33" s="121"/>
      <c r="AR33" s="159"/>
      <c r="AS33" s="121"/>
      <c r="AT33" s="159"/>
      <c r="AU33" s="121"/>
      <c r="AV33" s="159"/>
      <c r="AW33" s="121"/>
      <c r="AX33" s="159"/>
      <c r="AY33" s="121"/>
      <c r="AZ33" s="159"/>
      <c r="BA33" s="121"/>
      <c r="BB33" s="159"/>
      <c r="BC33" s="121"/>
      <c r="BD33" s="159"/>
      <c r="BE33" s="121"/>
    </row>
    <row r="34" spans="1:57">
      <c r="A34" t="s">
        <v>407</v>
      </c>
      <c r="B34">
        <v>0</v>
      </c>
      <c r="C34" t="s">
        <v>436</v>
      </c>
      <c r="D34" t="s">
        <v>437</v>
      </c>
      <c r="E34" t="s">
        <v>424</v>
      </c>
      <c r="F34" t="s">
        <v>423</v>
      </c>
      <c r="G34">
        <v>110.41</v>
      </c>
      <c r="H34">
        <v>110.4</v>
      </c>
      <c r="I34" s="121">
        <v>0</v>
      </c>
      <c r="J34">
        <v>93.56</v>
      </c>
      <c r="K34" s="121">
        <v>-0.15260000000000001</v>
      </c>
      <c r="L34">
        <v>96.13</v>
      </c>
      <c r="M34" s="121"/>
      <c r="N34">
        <v>96.13</v>
      </c>
      <c r="O34" s="121"/>
      <c r="P34">
        <v>83.45</v>
      </c>
      <c r="Q34" s="121"/>
      <c r="R34">
        <v>93.41</v>
      </c>
      <c r="S34" s="121"/>
      <c r="T34">
        <v>93.41</v>
      </c>
      <c r="U34" s="121"/>
      <c r="V34">
        <v>80.42</v>
      </c>
      <c r="W34" s="121"/>
      <c r="Y34">
        <v>94.71</v>
      </c>
      <c r="Z34">
        <v>94.71</v>
      </c>
      <c r="AA34" s="121">
        <v>0</v>
      </c>
      <c r="AB34">
        <v>79.97</v>
      </c>
      <c r="AC34" s="121">
        <v>-0.15559999999999999</v>
      </c>
      <c r="AD34">
        <v>107.56</v>
      </c>
      <c r="AE34">
        <v>107.56</v>
      </c>
      <c r="AF34">
        <v>86.05</v>
      </c>
      <c r="AG34" s="121"/>
      <c r="AI34" s="121"/>
      <c r="AK34" s="121"/>
      <c r="AM34" s="121"/>
      <c r="AO34" s="121"/>
      <c r="AQ34" s="121"/>
      <c r="AS34" s="121"/>
      <c r="AU34" s="121"/>
      <c r="AW34" s="121"/>
      <c r="AY34" s="121"/>
      <c r="BA34" s="121"/>
      <c r="BC34" s="121"/>
      <c r="BE34" s="121"/>
    </row>
    <row r="35" spans="1:57">
      <c r="A35" t="s">
        <v>407</v>
      </c>
      <c r="B35">
        <v>1</v>
      </c>
      <c r="C35" t="s">
        <v>436</v>
      </c>
      <c r="D35" t="s">
        <v>437</v>
      </c>
      <c r="E35" t="s">
        <v>426</v>
      </c>
      <c r="F35" t="s">
        <v>443</v>
      </c>
      <c r="G35">
        <v>0</v>
      </c>
      <c r="H35">
        <v>0</v>
      </c>
      <c r="I35" s="121">
        <v>0</v>
      </c>
      <c r="J35">
        <v>0</v>
      </c>
      <c r="K35" s="121">
        <v>0</v>
      </c>
      <c r="L35">
        <v>0</v>
      </c>
      <c r="M35" s="121"/>
      <c r="N35">
        <v>0</v>
      </c>
      <c r="O35" s="121"/>
      <c r="P35">
        <v>0</v>
      </c>
      <c r="Q35" s="121"/>
      <c r="R35">
        <v>0</v>
      </c>
      <c r="S35" s="121"/>
      <c r="T35">
        <v>0</v>
      </c>
      <c r="U35" s="121"/>
      <c r="V35">
        <v>0</v>
      </c>
      <c r="W35" s="121"/>
      <c r="Y35">
        <v>0</v>
      </c>
      <c r="Z35">
        <v>0</v>
      </c>
      <c r="AA35" s="121">
        <v>0</v>
      </c>
      <c r="AB35">
        <v>0</v>
      </c>
      <c r="AC35" s="121">
        <v>0</v>
      </c>
      <c r="AD35">
        <v>0</v>
      </c>
      <c r="AE35">
        <v>0</v>
      </c>
      <c r="AF35">
        <v>0</v>
      </c>
      <c r="AG35" s="121"/>
      <c r="AI35" s="121"/>
      <c r="AK35" s="121"/>
      <c r="AM35" s="121"/>
      <c r="AO35" s="121"/>
      <c r="AQ35" s="121"/>
      <c r="AS35" s="121"/>
      <c r="AU35" s="121"/>
      <c r="AW35" s="121"/>
      <c r="AY35" s="121"/>
      <c r="BA35" s="121"/>
      <c r="BC35" s="121"/>
      <c r="BE35" s="121"/>
    </row>
    <row r="36" spans="1:57">
      <c r="A36" t="s">
        <v>407</v>
      </c>
      <c r="B36">
        <v>1</v>
      </c>
      <c r="C36" t="s">
        <v>436</v>
      </c>
      <c r="D36" t="s">
        <v>437</v>
      </c>
      <c r="E36" t="s">
        <v>426</v>
      </c>
      <c r="F36" t="s">
        <v>444</v>
      </c>
      <c r="G36">
        <v>0</v>
      </c>
      <c r="H36">
        <v>0</v>
      </c>
      <c r="I36" s="121">
        <v>0</v>
      </c>
      <c r="J36">
        <v>0</v>
      </c>
      <c r="K36" s="121">
        <v>0</v>
      </c>
      <c r="L36">
        <v>0</v>
      </c>
      <c r="M36" s="121"/>
      <c r="N36">
        <v>0</v>
      </c>
      <c r="O36" s="121"/>
      <c r="P36">
        <v>0</v>
      </c>
      <c r="Q36" s="121"/>
      <c r="R36">
        <v>0</v>
      </c>
      <c r="S36" s="121"/>
      <c r="T36">
        <v>0</v>
      </c>
      <c r="U36" s="121"/>
      <c r="V36">
        <v>0</v>
      </c>
      <c r="W36" s="121"/>
      <c r="Y36">
        <v>0</v>
      </c>
      <c r="Z36">
        <v>0</v>
      </c>
      <c r="AA36" s="121">
        <v>0</v>
      </c>
      <c r="AB36">
        <v>0</v>
      </c>
      <c r="AC36" s="121">
        <v>0</v>
      </c>
      <c r="AD36">
        <v>0</v>
      </c>
      <c r="AE36">
        <v>0</v>
      </c>
      <c r="AF36">
        <v>0</v>
      </c>
      <c r="AG36" s="121"/>
      <c r="AI36" s="121"/>
      <c r="AK36" s="121"/>
      <c r="AM36" s="121"/>
      <c r="AO36" s="121"/>
      <c r="AQ36" s="121"/>
      <c r="AS36" s="121"/>
      <c r="AU36" s="121"/>
      <c r="AW36" s="121"/>
      <c r="AY36" s="121"/>
      <c r="BA36" s="121"/>
      <c r="BC36" s="121"/>
      <c r="BE36" s="121"/>
    </row>
    <row r="37" spans="1:57">
      <c r="A37" t="s">
        <v>407</v>
      </c>
      <c r="B37">
        <v>1</v>
      </c>
      <c r="C37" t="s">
        <v>436</v>
      </c>
      <c r="D37" t="s">
        <v>437</v>
      </c>
      <c r="E37" t="s">
        <v>426</v>
      </c>
      <c r="F37" t="s">
        <v>445</v>
      </c>
      <c r="G37" s="159">
        <v>16471.84</v>
      </c>
      <c r="H37" s="159">
        <v>20506.89</v>
      </c>
      <c r="I37" s="121">
        <v>0.245</v>
      </c>
      <c r="J37" s="159">
        <v>30798.5</v>
      </c>
      <c r="K37" s="121">
        <v>0.86980000000000002</v>
      </c>
      <c r="L37" s="159">
        <v>34895.440000000002</v>
      </c>
      <c r="M37" s="121"/>
      <c r="N37" s="159">
        <v>45022.94</v>
      </c>
      <c r="O37" s="121"/>
      <c r="P37" s="159">
        <v>69993.94</v>
      </c>
      <c r="Q37" s="121"/>
      <c r="R37" s="159">
        <v>65098.27</v>
      </c>
      <c r="S37" s="121"/>
      <c r="T37" s="159">
        <v>83988.83</v>
      </c>
      <c r="U37" s="121"/>
      <c r="V37" s="159">
        <v>132868.98000000001</v>
      </c>
      <c r="W37" s="121"/>
      <c r="Y37" s="159">
        <v>1972969.01</v>
      </c>
      <c r="Z37" s="159">
        <v>2660120.73</v>
      </c>
      <c r="AA37" s="121">
        <v>0.3483</v>
      </c>
      <c r="AB37" s="159">
        <v>3653378.05</v>
      </c>
      <c r="AC37" s="121">
        <v>0.85170000000000001</v>
      </c>
      <c r="AD37" s="159">
        <v>232282.93</v>
      </c>
      <c r="AE37" s="159">
        <v>307076</v>
      </c>
      <c r="AF37" s="159">
        <v>494757.84</v>
      </c>
      <c r="AG37" s="121"/>
      <c r="AH37" s="159"/>
      <c r="AI37" s="121"/>
      <c r="AJ37" s="159"/>
      <c r="AK37" s="121"/>
      <c r="AL37" s="159"/>
      <c r="AM37" s="121"/>
      <c r="AN37" s="159"/>
      <c r="AO37" s="121"/>
      <c r="AP37" s="159"/>
      <c r="AQ37" s="121"/>
      <c r="AR37" s="159"/>
      <c r="AS37" s="121"/>
      <c r="AT37" s="159"/>
      <c r="AU37" s="121"/>
      <c r="AV37" s="159"/>
      <c r="AW37" s="121"/>
      <c r="AX37" s="159"/>
      <c r="AY37" s="121"/>
      <c r="AZ37" s="159"/>
      <c r="BA37" s="121"/>
      <c r="BB37" s="159"/>
      <c r="BC37" s="121"/>
      <c r="BD37" s="159"/>
      <c r="BE37" s="121"/>
    </row>
    <row r="38" spans="1:57">
      <c r="A38" t="s">
        <v>407</v>
      </c>
      <c r="B38">
        <v>1</v>
      </c>
      <c r="C38" t="s">
        <v>436</v>
      </c>
      <c r="D38" t="s">
        <v>437</v>
      </c>
      <c r="E38" t="s">
        <v>426</v>
      </c>
      <c r="F38" t="s">
        <v>446</v>
      </c>
      <c r="G38" s="159">
        <v>38865.129999999997</v>
      </c>
      <c r="H38" s="159">
        <v>48387.1</v>
      </c>
      <c r="I38" s="121">
        <v>0.245</v>
      </c>
      <c r="J38" s="159">
        <v>55149.71</v>
      </c>
      <c r="K38" s="121">
        <v>0.41899999999999998</v>
      </c>
      <c r="L38" s="159">
        <v>79149.320000000007</v>
      </c>
      <c r="M38" s="121"/>
      <c r="N38" s="159">
        <v>102121.32</v>
      </c>
      <c r="O38" s="121"/>
      <c r="P38" s="159">
        <v>119759.75</v>
      </c>
      <c r="Q38" s="121"/>
      <c r="R38" s="159">
        <v>144352.10999999999</v>
      </c>
      <c r="S38" s="121"/>
      <c r="T38" s="159">
        <v>186238.64</v>
      </c>
      <c r="U38" s="121"/>
      <c r="V38" s="159">
        <v>225956.88</v>
      </c>
      <c r="W38" s="121"/>
      <c r="Y38" s="159">
        <v>3856381.12</v>
      </c>
      <c r="Z38" s="159">
        <v>5199713.08</v>
      </c>
      <c r="AA38" s="121">
        <v>0.3483</v>
      </c>
      <c r="AB38" s="159">
        <v>5995433.9500000002</v>
      </c>
      <c r="AC38" s="121">
        <v>0.55469999999999997</v>
      </c>
      <c r="AD38" s="159">
        <v>459695.53</v>
      </c>
      <c r="AE38" s="159">
        <v>607711.41</v>
      </c>
      <c r="AF38" s="159">
        <v>819125.48</v>
      </c>
      <c r="AG38" s="121"/>
      <c r="AH38" s="159"/>
      <c r="AI38" s="121"/>
      <c r="AJ38" s="159"/>
      <c r="AK38" s="121"/>
      <c r="AL38" s="159"/>
      <c r="AM38" s="121"/>
      <c r="AN38" s="159"/>
      <c r="AO38" s="121"/>
      <c r="AP38" s="159"/>
      <c r="AQ38" s="121"/>
      <c r="AR38" s="159"/>
      <c r="AS38" s="121"/>
      <c r="AT38" s="159"/>
      <c r="AU38" s="121"/>
      <c r="AV38" s="159"/>
      <c r="AW38" s="121"/>
      <c r="AX38" s="159"/>
      <c r="AY38" s="121"/>
      <c r="AZ38" s="159"/>
      <c r="BA38" s="121"/>
      <c r="BB38" s="159"/>
      <c r="BC38" s="121"/>
      <c r="BD38" s="159"/>
      <c r="BE38" s="121"/>
    </row>
    <row r="39" spans="1:57">
      <c r="A39" t="s">
        <v>407</v>
      </c>
      <c r="B39">
        <v>0</v>
      </c>
      <c r="C39" t="s">
        <v>436</v>
      </c>
      <c r="D39" t="s">
        <v>437</v>
      </c>
      <c r="E39" t="s">
        <v>424</v>
      </c>
      <c r="F39" t="s">
        <v>447</v>
      </c>
      <c r="G39">
        <v>148.46</v>
      </c>
      <c r="H39">
        <v>148.46</v>
      </c>
      <c r="I39" s="121">
        <v>0</v>
      </c>
      <c r="J39">
        <v>124.31</v>
      </c>
      <c r="K39" s="121">
        <v>-0.16270000000000001</v>
      </c>
      <c r="L39">
        <v>109.65</v>
      </c>
      <c r="M39" s="121"/>
      <c r="N39">
        <v>109.65</v>
      </c>
      <c r="O39" s="121"/>
      <c r="P39">
        <v>94.04</v>
      </c>
      <c r="Q39" s="121"/>
      <c r="R39">
        <v>112.77</v>
      </c>
      <c r="S39" s="121"/>
      <c r="T39">
        <v>112.77</v>
      </c>
      <c r="U39" s="121"/>
      <c r="V39">
        <v>72.53</v>
      </c>
      <c r="W39" s="121"/>
      <c r="Y39">
        <v>127.03</v>
      </c>
      <c r="Z39">
        <v>127.03</v>
      </c>
      <c r="AA39" s="121">
        <v>0</v>
      </c>
      <c r="AB39">
        <v>67.66</v>
      </c>
      <c r="AC39" s="121">
        <v>-0.46739999999999998</v>
      </c>
      <c r="AD39">
        <v>142.41999999999999</v>
      </c>
      <c r="AE39">
        <v>142.41999999999999</v>
      </c>
      <c r="AF39">
        <v>45.87</v>
      </c>
      <c r="AG39" s="121"/>
      <c r="AI39" s="121"/>
      <c r="AK39" s="121"/>
      <c r="AM39" s="121"/>
      <c r="AO39" s="121"/>
      <c r="AQ39" s="121"/>
      <c r="AS39" s="121"/>
      <c r="AU39" s="121"/>
      <c r="AW39" s="121"/>
      <c r="AY39" s="121"/>
      <c r="BA39" s="121"/>
      <c r="BC39" s="121"/>
      <c r="BE39" s="121"/>
    </row>
    <row r="40" spans="1:57">
      <c r="A40" t="s">
        <v>407</v>
      </c>
      <c r="B40">
        <v>1</v>
      </c>
      <c r="C40" t="s">
        <v>436</v>
      </c>
      <c r="D40" t="s">
        <v>437</v>
      </c>
      <c r="E40" t="s">
        <v>426</v>
      </c>
      <c r="F40" t="s">
        <v>448</v>
      </c>
      <c r="G40" s="159">
        <v>473343.2</v>
      </c>
      <c r="H40" s="159">
        <v>589296.4</v>
      </c>
      <c r="I40" s="121">
        <v>0.245</v>
      </c>
      <c r="J40" s="159">
        <v>695684</v>
      </c>
      <c r="K40" s="121">
        <v>0.46970000000000001</v>
      </c>
      <c r="L40" s="159">
        <v>1237687.5</v>
      </c>
      <c r="M40" s="121"/>
      <c r="N40" s="159">
        <v>1596894.6</v>
      </c>
      <c r="O40" s="121"/>
      <c r="P40" s="159">
        <v>1868809.8</v>
      </c>
      <c r="Q40" s="121"/>
      <c r="R40" s="159">
        <v>2270148.2999999998</v>
      </c>
      <c r="S40" s="121"/>
      <c r="T40" s="159">
        <v>2928912</v>
      </c>
      <c r="U40" s="121"/>
      <c r="V40" s="159">
        <v>4835565</v>
      </c>
      <c r="W40" s="121"/>
      <c r="Y40" s="159">
        <v>56112959.700000003</v>
      </c>
      <c r="Z40" s="159">
        <v>75656154</v>
      </c>
      <c r="AA40" s="121">
        <v>0.3483</v>
      </c>
      <c r="AB40" s="159">
        <v>117632604</v>
      </c>
      <c r="AC40" s="121">
        <v>1.0964</v>
      </c>
      <c r="AD40" s="159">
        <v>6606329.0999999996</v>
      </c>
      <c r="AE40" s="159">
        <v>8733509.4000000004</v>
      </c>
      <c r="AF40" s="159">
        <v>29646136.800000001</v>
      </c>
      <c r="AG40" s="121"/>
      <c r="AH40" s="159"/>
      <c r="AI40" s="121"/>
      <c r="AJ40" s="159"/>
      <c r="AK40" s="121"/>
      <c r="AL40" s="159"/>
      <c r="AM40" s="121"/>
      <c r="AN40" s="159"/>
      <c r="AO40" s="121"/>
      <c r="AP40" s="159"/>
      <c r="AQ40" s="121"/>
      <c r="AR40" s="159"/>
      <c r="AS40" s="121"/>
      <c r="AT40" s="159"/>
      <c r="AU40" s="121"/>
      <c r="AV40" s="159"/>
      <c r="AW40" s="121"/>
      <c r="AX40" s="159"/>
      <c r="AY40" s="121"/>
      <c r="AZ40" s="159"/>
      <c r="BA40" s="121"/>
      <c r="BB40" s="159"/>
      <c r="BC40" s="121"/>
      <c r="BD40" s="159"/>
      <c r="BE40" s="121"/>
    </row>
    <row r="41" spans="1:57">
      <c r="A41" t="s">
        <v>407</v>
      </c>
      <c r="B41">
        <v>0</v>
      </c>
      <c r="C41" t="s">
        <v>436</v>
      </c>
      <c r="D41" t="s">
        <v>437</v>
      </c>
      <c r="E41" t="s">
        <v>421</v>
      </c>
      <c r="F41" t="s">
        <v>427</v>
      </c>
      <c r="G41">
        <v>4.12</v>
      </c>
      <c r="H41">
        <v>5.13</v>
      </c>
      <c r="I41" s="121">
        <v>0.24490000000000001</v>
      </c>
      <c r="J41">
        <v>3.67</v>
      </c>
      <c r="K41" s="121">
        <v>-0.1103</v>
      </c>
      <c r="L41">
        <v>7.04</v>
      </c>
      <c r="M41" s="121"/>
      <c r="N41">
        <v>9.08</v>
      </c>
      <c r="O41" s="121"/>
      <c r="P41">
        <v>6.92</v>
      </c>
      <c r="Q41" s="121"/>
      <c r="R41">
        <v>15.55</v>
      </c>
      <c r="S41" s="121"/>
      <c r="T41">
        <v>20.07</v>
      </c>
      <c r="U41" s="121"/>
      <c r="V41">
        <v>12.41</v>
      </c>
      <c r="W41" s="121"/>
      <c r="Y41">
        <v>385.65</v>
      </c>
      <c r="Z41">
        <v>519.95000000000005</v>
      </c>
      <c r="AA41" s="121">
        <v>0.34820000000000001</v>
      </c>
      <c r="AB41">
        <v>358.94</v>
      </c>
      <c r="AC41" s="121">
        <v>-6.93E-2</v>
      </c>
      <c r="AD41">
        <v>40.51</v>
      </c>
      <c r="AE41">
        <v>53.56</v>
      </c>
      <c r="AF41">
        <v>51.07</v>
      </c>
      <c r="AG41" s="121"/>
      <c r="AI41" s="121"/>
      <c r="AK41" s="121"/>
      <c r="AM41" s="121"/>
      <c r="AO41" s="121"/>
      <c r="AQ41" s="121"/>
      <c r="AS41" s="121"/>
      <c r="AU41" s="121"/>
      <c r="AW41" s="121"/>
      <c r="AY41" s="121"/>
      <c r="BA41" s="121"/>
      <c r="BC41" s="121"/>
      <c r="BE41" s="121"/>
    </row>
    <row r="42" spans="1:57">
      <c r="A42" t="s">
        <v>407</v>
      </c>
      <c r="B42">
        <v>0</v>
      </c>
      <c r="C42" t="s">
        <v>436</v>
      </c>
      <c r="D42" t="s">
        <v>437</v>
      </c>
      <c r="E42" t="s">
        <v>421</v>
      </c>
      <c r="F42" t="s">
        <v>428</v>
      </c>
      <c r="G42">
        <v>841.23</v>
      </c>
      <c r="H42" s="159">
        <v>1047.28</v>
      </c>
      <c r="I42" s="121">
        <v>0.24490000000000001</v>
      </c>
      <c r="J42" s="159">
        <v>1132.7</v>
      </c>
      <c r="K42" s="121">
        <v>0.34649999999999997</v>
      </c>
      <c r="L42" s="159">
        <v>1822.04</v>
      </c>
      <c r="M42" s="121"/>
      <c r="N42" s="159">
        <v>2350.83</v>
      </c>
      <c r="O42" s="121"/>
      <c r="P42" s="159">
        <v>2488.31</v>
      </c>
      <c r="Q42" s="121"/>
      <c r="R42" s="159">
        <v>3141.42</v>
      </c>
      <c r="S42" s="121"/>
      <c r="T42" s="159">
        <v>4053.04</v>
      </c>
      <c r="U42" s="121"/>
      <c r="V42" s="159">
        <v>4889.16</v>
      </c>
      <c r="W42" s="121"/>
      <c r="Y42" s="159">
        <v>76205.820000000007</v>
      </c>
      <c r="Z42" s="159">
        <v>102744.15</v>
      </c>
      <c r="AA42" s="121">
        <v>0.34820000000000001</v>
      </c>
      <c r="AB42" s="159">
        <v>108420.92</v>
      </c>
      <c r="AC42" s="121">
        <v>0.42270000000000002</v>
      </c>
      <c r="AD42" s="159">
        <v>8754.32</v>
      </c>
      <c r="AE42" s="159">
        <v>11573.16</v>
      </c>
      <c r="AF42" s="159">
        <v>12665.96</v>
      </c>
      <c r="AG42" s="121"/>
      <c r="AI42" s="121"/>
      <c r="AK42" s="121"/>
      <c r="AM42" s="121"/>
      <c r="AN42" s="159"/>
      <c r="AO42" s="121"/>
      <c r="AP42" s="159"/>
      <c r="AQ42" s="121"/>
      <c r="AR42" s="159"/>
      <c r="AS42" s="121"/>
      <c r="AT42" s="159"/>
      <c r="AU42" s="121"/>
      <c r="AV42" s="159"/>
      <c r="AW42" s="121"/>
      <c r="AX42" s="159"/>
      <c r="AY42" s="121"/>
      <c r="AZ42" s="159"/>
      <c r="BA42" s="121"/>
      <c r="BB42" s="159"/>
      <c r="BC42" s="121"/>
      <c r="BD42" s="159"/>
      <c r="BE42" s="121"/>
    </row>
    <row r="43" spans="1:57">
      <c r="A43" t="s">
        <v>407</v>
      </c>
      <c r="B43">
        <v>1</v>
      </c>
      <c r="C43" t="s">
        <v>436</v>
      </c>
      <c r="D43" t="s">
        <v>437</v>
      </c>
      <c r="E43" t="s">
        <v>430</v>
      </c>
      <c r="F43" t="s">
        <v>449</v>
      </c>
      <c r="G43">
        <v>0</v>
      </c>
      <c r="H43">
        <v>0</v>
      </c>
      <c r="I43" s="121">
        <v>0</v>
      </c>
      <c r="J43">
        <v>0</v>
      </c>
      <c r="K43" s="121">
        <v>0</v>
      </c>
      <c r="L43">
        <v>0</v>
      </c>
      <c r="M43" s="121"/>
      <c r="N43">
        <v>0</v>
      </c>
      <c r="O43" s="121"/>
      <c r="P43">
        <v>0</v>
      </c>
      <c r="Q43" s="121"/>
      <c r="R43">
        <v>0</v>
      </c>
      <c r="S43" s="121"/>
      <c r="T43">
        <v>0</v>
      </c>
      <c r="U43" s="121"/>
      <c r="V43">
        <v>0</v>
      </c>
      <c r="W43" s="121"/>
      <c r="Y43">
        <v>0</v>
      </c>
      <c r="Z43">
        <v>0</v>
      </c>
      <c r="AA43" s="121">
        <v>0</v>
      </c>
      <c r="AB43">
        <v>0</v>
      </c>
      <c r="AC43" s="121">
        <v>0</v>
      </c>
      <c r="AD43">
        <v>0</v>
      </c>
      <c r="AE43">
        <v>0</v>
      </c>
      <c r="AF43">
        <v>0</v>
      </c>
      <c r="AG43" s="121"/>
      <c r="AI43" s="121"/>
      <c r="AK43" s="121"/>
      <c r="AM43" s="121"/>
      <c r="AO43" s="121"/>
      <c r="AQ43" s="121"/>
      <c r="AS43" s="121"/>
      <c r="AU43" s="121"/>
      <c r="AW43" s="121"/>
      <c r="AY43" s="121"/>
      <c r="BA43" s="121"/>
      <c r="BC43" s="121"/>
      <c r="BE43" s="121"/>
    </row>
    <row r="44" spans="1:57">
      <c r="A44" t="s">
        <v>407</v>
      </c>
      <c r="B44">
        <v>1</v>
      </c>
      <c r="C44" t="s">
        <v>436</v>
      </c>
      <c r="D44" t="s">
        <v>437</v>
      </c>
      <c r="E44" t="s">
        <v>430</v>
      </c>
      <c r="F44" t="s">
        <v>450</v>
      </c>
      <c r="G44">
        <v>0</v>
      </c>
      <c r="H44">
        <v>0</v>
      </c>
      <c r="I44" s="121">
        <v>0</v>
      </c>
      <c r="J44">
        <v>0</v>
      </c>
      <c r="K44" s="121">
        <v>0</v>
      </c>
      <c r="L44">
        <v>0</v>
      </c>
      <c r="M44" s="121"/>
      <c r="N44">
        <v>0</v>
      </c>
      <c r="O44" s="121"/>
      <c r="P44">
        <v>0</v>
      </c>
      <c r="Q44" s="121"/>
      <c r="R44">
        <v>0</v>
      </c>
      <c r="S44" s="121"/>
      <c r="T44">
        <v>0</v>
      </c>
      <c r="U44" s="121"/>
      <c r="V44">
        <v>0</v>
      </c>
      <c r="W44" s="121"/>
      <c r="Y44">
        <v>0</v>
      </c>
      <c r="Z44">
        <v>0</v>
      </c>
      <c r="AA44" s="121">
        <v>0</v>
      </c>
      <c r="AB44">
        <v>0</v>
      </c>
      <c r="AC44" s="121">
        <v>0</v>
      </c>
      <c r="AD44">
        <v>0</v>
      </c>
      <c r="AE44">
        <v>0</v>
      </c>
      <c r="AF44">
        <v>0</v>
      </c>
      <c r="AG44" s="121"/>
      <c r="AI44" s="121"/>
      <c r="AK44" s="121"/>
      <c r="AM44" s="121"/>
      <c r="AO44" s="121"/>
      <c r="AQ44" s="121"/>
      <c r="AS44" s="121"/>
      <c r="AU44" s="121"/>
      <c r="AW44" s="121"/>
      <c r="AY44" s="121"/>
      <c r="BA44" s="121"/>
      <c r="BC44" s="121"/>
      <c r="BE44" s="121"/>
    </row>
    <row r="45" spans="1:57">
      <c r="A45" t="s">
        <v>407</v>
      </c>
      <c r="B45">
        <v>1</v>
      </c>
      <c r="C45" t="s">
        <v>436</v>
      </c>
      <c r="D45" t="s">
        <v>437</v>
      </c>
      <c r="E45" t="s">
        <v>430</v>
      </c>
      <c r="F45" t="s">
        <v>451</v>
      </c>
      <c r="G45">
        <v>332.39</v>
      </c>
      <c r="H45">
        <v>413.82</v>
      </c>
      <c r="I45" s="121">
        <v>0.245</v>
      </c>
      <c r="J45">
        <v>489.21</v>
      </c>
      <c r="K45" s="121">
        <v>0.4718</v>
      </c>
      <c r="L45">
        <v>704.17</v>
      </c>
      <c r="M45" s="121"/>
      <c r="N45">
        <v>908.54</v>
      </c>
      <c r="O45" s="121"/>
      <c r="P45" s="159">
        <v>1111.8</v>
      </c>
      <c r="Q45" s="121"/>
      <c r="R45" s="159">
        <v>1220.52</v>
      </c>
      <c r="S45" s="121"/>
      <c r="T45" s="159">
        <v>1574.7</v>
      </c>
      <c r="U45" s="121"/>
      <c r="V45" s="159">
        <v>2001.83</v>
      </c>
      <c r="W45" s="121"/>
      <c r="Y45" s="159">
        <v>36990.949999999997</v>
      </c>
      <c r="Z45" s="159">
        <v>49874.28</v>
      </c>
      <c r="AA45" s="121">
        <v>0.3483</v>
      </c>
      <c r="AB45" s="159">
        <v>55042.400000000001</v>
      </c>
      <c r="AC45" s="121">
        <v>0.48799999999999999</v>
      </c>
      <c r="AD45" s="159">
        <v>4355.04</v>
      </c>
      <c r="AE45" s="159">
        <v>5757.33</v>
      </c>
      <c r="AF45" s="159">
        <v>6751.51</v>
      </c>
      <c r="AG45" s="121"/>
      <c r="AI45" s="121"/>
      <c r="AK45" s="121"/>
      <c r="AM45" s="121"/>
      <c r="AN45" s="159"/>
      <c r="AO45" s="121"/>
      <c r="AP45" s="159"/>
      <c r="AQ45" s="121"/>
      <c r="AR45" s="159"/>
      <c r="AS45" s="121"/>
      <c r="AT45" s="159"/>
      <c r="AU45" s="121"/>
      <c r="AV45" s="159"/>
      <c r="AW45" s="121"/>
      <c r="AX45" s="159"/>
      <c r="AY45" s="121"/>
      <c r="AZ45" s="159"/>
      <c r="BA45" s="121"/>
      <c r="BB45" s="159"/>
      <c r="BC45" s="121"/>
      <c r="BD45" s="159"/>
      <c r="BE45" s="121"/>
    </row>
    <row r="46" spans="1:57">
      <c r="A46" t="s">
        <v>407</v>
      </c>
      <c r="B46">
        <v>1</v>
      </c>
      <c r="C46" t="s">
        <v>436</v>
      </c>
      <c r="D46" t="s">
        <v>437</v>
      </c>
      <c r="E46" t="s">
        <v>430</v>
      </c>
      <c r="F46" t="s">
        <v>452</v>
      </c>
      <c r="G46">
        <v>679.81</v>
      </c>
      <c r="H46">
        <v>846.37</v>
      </c>
      <c r="I46" s="121">
        <v>0.245</v>
      </c>
      <c r="J46">
        <v>757.22</v>
      </c>
      <c r="K46" s="121">
        <v>0.1139</v>
      </c>
      <c r="L46" s="159">
        <v>1384.45</v>
      </c>
      <c r="M46" s="121"/>
      <c r="N46" s="159">
        <v>1786.27</v>
      </c>
      <c r="O46" s="121"/>
      <c r="P46" s="159">
        <v>1644.34</v>
      </c>
      <c r="Q46" s="121"/>
      <c r="R46" s="159">
        <v>2351.7399999999998</v>
      </c>
      <c r="S46" s="121"/>
      <c r="T46" s="159">
        <v>3034.14</v>
      </c>
      <c r="U46" s="121"/>
      <c r="V46" s="159">
        <v>2955.16</v>
      </c>
      <c r="W46" s="121"/>
      <c r="Y46" s="159">
        <v>62826.86</v>
      </c>
      <c r="Z46" s="159">
        <v>84711.97</v>
      </c>
      <c r="AA46" s="121">
        <v>0.3483</v>
      </c>
      <c r="AB46" s="159">
        <v>78410.83</v>
      </c>
      <c r="AC46" s="121">
        <v>0.248</v>
      </c>
      <c r="AD46" s="159">
        <v>7489.2</v>
      </c>
      <c r="AE46" s="159">
        <v>9900.6299999999992</v>
      </c>
      <c r="AF46" s="159">
        <v>9694.94</v>
      </c>
      <c r="AG46" s="121"/>
      <c r="AI46" s="121"/>
      <c r="AK46" s="121"/>
      <c r="AM46" s="121"/>
      <c r="AN46" s="159"/>
      <c r="AO46" s="121"/>
      <c r="AP46" s="159"/>
      <c r="AQ46" s="121"/>
      <c r="AR46" s="159"/>
      <c r="AS46" s="121"/>
      <c r="AT46" s="159"/>
      <c r="AU46" s="121"/>
      <c r="AV46" s="159"/>
      <c r="AW46" s="121"/>
      <c r="AX46" s="159"/>
      <c r="AY46" s="121"/>
      <c r="AZ46" s="159"/>
      <c r="BA46" s="121"/>
      <c r="BB46" s="159"/>
      <c r="BC46" s="121"/>
      <c r="BD46" s="159"/>
      <c r="BE46" s="121"/>
    </row>
    <row r="47" spans="1:57">
      <c r="A47" t="s">
        <v>407</v>
      </c>
      <c r="B47">
        <v>1</v>
      </c>
      <c r="C47" t="s">
        <v>436</v>
      </c>
      <c r="D47" t="s">
        <v>437</v>
      </c>
      <c r="E47" t="s">
        <v>430</v>
      </c>
      <c r="F47" t="s">
        <v>453</v>
      </c>
      <c r="G47">
        <v>543.66999999999996</v>
      </c>
      <c r="H47">
        <v>676.85</v>
      </c>
      <c r="I47" s="121">
        <v>0.245</v>
      </c>
      <c r="J47">
        <v>434.14</v>
      </c>
      <c r="K47" s="121">
        <v>-0.20150000000000001</v>
      </c>
      <c r="L47" s="159">
        <v>1062.51</v>
      </c>
      <c r="M47" s="121"/>
      <c r="N47" s="159">
        <v>1370.88</v>
      </c>
      <c r="O47" s="121"/>
      <c r="P47">
        <v>858.09</v>
      </c>
      <c r="Q47" s="121"/>
      <c r="R47" s="159">
        <v>1828.58</v>
      </c>
      <c r="S47" s="121"/>
      <c r="T47" s="159">
        <v>2359.21</v>
      </c>
      <c r="U47" s="121"/>
      <c r="V47" s="159">
        <v>1562.07</v>
      </c>
      <c r="W47" s="121"/>
      <c r="Y47" s="159">
        <v>41721.57</v>
      </c>
      <c r="Z47" s="159">
        <v>56252.49</v>
      </c>
      <c r="AA47" s="121">
        <v>0.3483</v>
      </c>
      <c r="AB47" s="159">
        <v>37999.67</v>
      </c>
      <c r="AC47" s="121">
        <v>-8.9200000000000002E-2</v>
      </c>
      <c r="AD47" s="159">
        <v>4911.99</v>
      </c>
      <c r="AE47" s="159">
        <v>6493.61</v>
      </c>
      <c r="AF47" s="159">
        <v>4614.67</v>
      </c>
      <c r="AG47" s="121"/>
      <c r="AI47" s="121"/>
      <c r="AK47" s="121"/>
      <c r="AM47" s="121"/>
      <c r="AN47" s="159"/>
      <c r="AO47" s="121"/>
      <c r="AP47" s="159"/>
      <c r="AQ47" s="121"/>
      <c r="AR47" s="159"/>
      <c r="AS47" s="121"/>
      <c r="AT47" s="159"/>
      <c r="AU47" s="121"/>
      <c r="AV47" s="159"/>
      <c r="AW47" s="121"/>
      <c r="AX47" s="159"/>
      <c r="AY47" s="121"/>
      <c r="AZ47" s="159"/>
      <c r="BA47" s="121"/>
      <c r="BB47" s="159"/>
      <c r="BC47" s="121"/>
      <c r="BD47" s="159"/>
      <c r="BE47" s="121"/>
    </row>
    <row r="48" spans="1:57">
      <c r="A48" t="s">
        <v>407</v>
      </c>
      <c r="B48">
        <v>1</v>
      </c>
      <c r="C48" t="s">
        <v>436</v>
      </c>
      <c r="D48" t="s">
        <v>437</v>
      </c>
      <c r="E48" t="s">
        <v>430</v>
      </c>
      <c r="F48" t="s">
        <v>454</v>
      </c>
      <c r="G48">
        <v>36.549999999999997</v>
      </c>
      <c r="H48">
        <v>45.47</v>
      </c>
      <c r="I48" s="121">
        <v>0.24399999999999999</v>
      </c>
      <c r="J48">
        <v>42.95</v>
      </c>
      <c r="K48" s="121">
        <v>0.17499999999999999</v>
      </c>
      <c r="L48">
        <v>71.44</v>
      </c>
      <c r="M48" s="121"/>
      <c r="N48">
        <v>92.15</v>
      </c>
      <c r="O48" s="121"/>
      <c r="P48">
        <v>84.94</v>
      </c>
      <c r="Q48" s="121"/>
      <c r="R48">
        <v>171.43</v>
      </c>
      <c r="S48" s="121"/>
      <c r="T48">
        <v>221.23</v>
      </c>
      <c r="U48" s="121"/>
      <c r="V48">
        <v>203.43</v>
      </c>
      <c r="W48" s="121"/>
      <c r="Y48" s="159">
        <v>4246.1499999999996</v>
      </c>
      <c r="Z48" s="159">
        <v>5719.48</v>
      </c>
      <c r="AA48" s="121">
        <v>0.34699999999999998</v>
      </c>
      <c r="AB48" s="159">
        <v>4953.8900000000003</v>
      </c>
      <c r="AC48" s="121">
        <v>0.16669999999999999</v>
      </c>
      <c r="AD48">
        <v>356.92</v>
      </c>
      <c r="AE48">
        <v>471.89</v>
      </c>
      <c r="AF48">
        <v>430.03</v>
      </c>
      <c r="AG48" s="121"/>
      <c r="AI48" s="121"/>
      <c r="AK48" s="121"/>
      <c r="AM48" s="121"/>
      <c r="AN48" s="159"/>
      <c r="AO48" s="121"/>
      <c r="AP48" s="159"/>
      <c r="AQ48" s="121"/>
      <c r="AR48" s="159"/>
      <c r="AS48" s="121"/>
      <c r="AT48" s="159"/>
      <c r="AU48" s="121"/>
      <c r="AV48" s="159"/>
      <c r="AW48" s="121"/>
      <c r="AX48" s="159"/>
      <c r="AY48" s="121"/>
      <c r="BA48" s="121"/>
      <c r="BC48" s="121"/>
      <c r="BE48" s="121"/>
    </row>
    <row r="49" spans="1:57">
      <c r="A49" t="s">
        <v>407</v>
      </c>
      <c r="B49">
        <v>0</v>
      </c>
      <c r="C49" t="s">
        <v>436</v>
      </c>
      <c r="D49" t="s">
        <v>437</v>
      </c>
      <c r="E49" t="s">
        <v>430</v>
      </c>
      <c r="F49" t="s">
        <v>429</v>
      </c>
      <c r="G49" s="159">
        <v>2936.99</v>
      </c>
      <c r="H49" s="159">
        <v>3656.41</v>
      </c>
      <c r="I49" s="121">
        <v>0.245</v>
      </c>
      <c r="J49" s="159">
        <v>3344.82</v>
      </c>
      <c r="K49" s="121">
        <v>0.1389</v>
      </c>
      <c r="L49" s="159">
        <v>5850.27</v>
      </c>
      <c r="M49" s="121"/>
      <c r="N49" s="159">
        <v>7548.13</v>
      </c>
      <c r="O49" s="121"/>
      <c r="P49" s="159">
        <v>6903.77</v>
      </c>
      <c r="Q49" s="121"/>
      <c r="R49" s="159">
        <v>10429.66</v>
      </c>
      <c r="S49" s="121"/>
      <c r="T49" s="159">
        <v>13456.27</v>
      </c>
      <c r="U49" s="121"/>
      <c r="V49" s="159">
        <v>12601.78</v>
      </c>
      <c r="W49" s="121"/>
      <c r="Y49" s="159">
        <v>265857.63</v>
      </c>
      <c r="Z49" s="159">
        <v>358444.31</v>
      </c>
      <c r="AA49" s="121">
        <v>0.3483</v>
      </c>
      <c r="AB49" s="159">
        <v>319434.78999999998</v>
      </c>
      <c r="AC49" s="121">
        <v>0.20150000000000001</v>
      </c>
      <c r="AD49" s="159">
        <v>31118.36</v>
      </c>
      <c r="AE49" s="159">
        <v>41138.26</v>
      </c>
      <c r="AF49" s="159">
        <v>38699.85</v>
      </c>
      <c r="AG49" s="121"/>
      <c r="AH49" s="159"/>
      <c r="AI49" s="121"/>
      <c r="AJ49" s="159"/>
      <c r="AK49" s="121"/>
      <c r="AL49" s="159"/>
      <c r="AM49" s="121"/>
      <c r="AN49" s="159"/>
      <c r="AO49" s="121"/>
      <c r="AP49" s="159"/>
      <c r="AQ49" s="121"/>
      <c r="AR49" s="159"/>
      <c r="AS49" s="121"/>
      <c r="AT49" s="159"/>
      <c r="AU49" s="121"/>
      <c r="AV49" s="159"/>
      <c r="AW49" s="121"/>
      <c r="AX49" s="159"/>
      <c r="AY49" s="121"/>
      <c r="AZ49" s="159"/>
      <c r="BA49" s="121"/>
      <c r="BB49" s="159"/>
      <c r="BC49" s="121"/>
      <c r="BD49" s="159"/>
      <c r="BE49" s="121"/>
    </row>
    <row r="50" spans="1:57">
      <c r="A50" t="s">
        <v>407</v>
      </c>
      <c r="B50">
        <v>0</v>
      </c>
      <c r="C50" t="s">
        <v>436</v>
      </c>
      <c r="D50" t="s">
        <v>437</v>
      </c>
      <c r="E50" t="s">
        <v>430</v>
      </c>
      <c r="F50" t="s">
        <v>455</v>
      </c>
      <c r="G50">
        <v>414.04</v>
      </c>
      <c r="H50">
        <v>515.46</v>
      </c>
      <c r="I50" s="121">
        <v>0.245</v>
      </c>
      <c r="J50">
        <v>519.07000000000005</v>
      </c>
      <c r="K50" s="121">
        <v>0.25369999999999998</v>
      </c>
      <c r="L50">
        <v>842.04</v>
      </c>
      <c r="M50" s="121"/>
      <c r="N50" s="159">
        <v>1086.42</v>
      </c>
      <c r="O50" s="121"/>
      <c r="P50" s="159">
        <v>1123.6300000000001</v>
      </c>
      <c r="Q50" s="121"/>
      <c r="R50" s="159">
        <v>1544.46</v>
      </c>
      <c r="S50" s="121"/>
      <c r="T50" s="159">
        <v>1992.64</v>
      </c>
      <c r="U50" s="121"/>
      <c r="V50" s="159">
        <v>2045.44</v>
      </c>
      <c r="W50" s="121"/>
      <c r="Y50" s="159">
        <v>41125.11</v>
      </c>
      <c r="Z50" s="159">
        <v>55448.29</v>
      </c>
      <c r="AA50" s="121">
        <v>0.3483</v>
      </c>
      <c r="AB50" s="159">
        <v>54084.01</v>
      </c>
      <c r="AC50" s="121">
        <v>0.31509999999999999</v>
      </c>
      <c r="AD50" s="159">
        <v>4841.7700000000004</v>
      </c>
      <c r="AE50" s="159">
        <v>6400.78</v>
      </c>
      <c r="AF50" s="159">
        <v>6567.95</v>
      </c>
      <c r="AG50" s="121"/>
      <c r="AI50" s="121"/>
      <c r="AK50" s="121"/>
      <c r="AM50" s="121"/>
      <c r="AN50" s="159"/>
      <c r="AO50" s="121"/>
      <c r="AP50" s="159"/>
      <c r="AQ50" s="121"/>
      <c r="AR50" s="159"/>
      <c r="AS50" s="121"/>
      <c r="AT50" s="159"/>
      <c r="AU50" s="121"/>
      <c r="AV50" s="159"/>
      <c r="AW50" s="121"/>
      <c r="AX50" s="159"/>
      <c r="AY50" s="121"/>
      <c r="AZ50" s="159"/>
      <c r="BA50" s="121"/>
      <c r="BB50" s="159"/>
      <c r="BC50" s="121"/>
      <c r="BD50" s="159"/>
      <c r="BE50" s="121"/>
    </row>
    <row r="51" spans="1:57">
      <c r="A51" t="s">
        <v>407</v>
      </c>
      <c r="B51">
        <v>0</v>
      </c>
      <c r="C51" t="s">
        <v>436</v>
      </c>
      <c r="D51" t="s">
        <v>437</v>
      </c>
      <c r="E51" t="s">
        <v>430</v>
      </c>
      <c r="F51" t="s">
        <v>456</v>
      </c>
      <c r="G51">
        <v>414.04</v>
      </c>
      <c r="H51">
        <v>515.46</v>
      </c>
      <c r="I51" s="121">
        <v>0.245</v>
      </c>
      <c r="J51">
        <v>519.07000000000005</v>
      </c>
      <c r="K51" s="121">
        <v>0.25369999999999998</v>
      </c>
      <c r="L51">
        <v>842.04</v>
      </c>
      <c r="M51" s="121"/>
      <c r="N51" s="159">
        <v>1086.42</v>
      </c>
      <c r="O51" s="121"/>
      <c r="P51" s="159">
        <v>1123.6300000000001</v>
      </c>
      <c r="Q51" s="121"/>
      <c r="R51" s="159">
        <v>1544.46</v>
      </c>
      <c r="S51" s="121"/>
      <c r="T51" s="159">
        <v>1992.64</v>
      </c>
      <c r="U51" s="121"/>
      <c r="V51" s="159">
        <v>2045.44</v>
      </c>
      <c r="W51" s="121"/>
      <c r="Y51" s="159">
        <v>41125.11</v>
      </c>
      <c r="Z51" s="159">
        <v>55448.29</v>
      </c>
      <c r="AA51" s="121">
        <v>0.3483</v>
      </c>
      <c r="AB51" s="159">
        <v>54084.01</v>
      </c>
      <c r="AC51" s="121">
        <v>0.31509999999999999</v>
      </c>
      <c r="AD51" s="159">
        <v>4841.7700000000004</v>
      </c>
      <c r="AE51" s="159">
        <v>6400.78</v>
      </c>
      <c r="AF51" s="159">
        <v>6567.95</v>
      </c>
      <c r="AG51" s="121"/>
      <c r="AI51" s="121"/>
      <c r="AK51" s="121"/>
      <c r="AM51" s="121"/>
      <c r="AN51" s="159"/>
      <c r="AO51" s="121"/>
      <c r="AP51" s="159"/>
      <c r="AQ51" s="121"/>
      <c r="AR51" s="159"/>
      <c r="AS51" s="121"/>
      <c r="AT51" s="159"/>
      <c r="AU51" s="121"/>
      <c r="AV51" s="159"/>
      <c r="AW51" s="121"/>
      <c r="AX51" s="159"/>
      <c r="AY51" s="121"/>
      <c r="AZ51" s="159"/>
      <c r="BA51" s="121"/>
      <c r="BB51" s="159"/>
      <c r="BC51" s="121"/>
      <c r="BD51" s="159"/>
      <c r="BE51" s="121"/>
    </row>
    <row r="52" spans="1:57">
      <c r="A52" t="s">
        <v>407</v>
      </c>
      <c r="B52">
        <v>1</v>
      </c>
      <c r="C52" t="s">
        <v>436</v>
      </c>
      <c r="D52" t="s">
        <v>437</v>
      </c>
      <c r="E52" t="s">
        <v>426</v>
      </c>
      <c r="F52" t="s">
        <v>457</v>
      </c>
      <c r="G52" s="159">
        <v>70573.570000000007</v>
      </c>
      <c r="H52" s="159">
        <v>87861.49</v>
      </c>
      <c r="I52" s="121">
        <v>0.245</v>
      </c>
      <c r="J52" s="159">
        <v>101466.23</v>
      </c>
      <c r="K52" s="121">
        <v>0.43769999999999998</v>
      </c>
      <c r="L52" s="159">
        <v>143822.07999999999</v>
      </c>
      <c r="M52" s="121"/>
      <c r="N52" s="159">
        <v>185562.59</v>
      </c>
      <c r="O52" s="121"/>
      <c r="P52" s="159">
        <v>220428.35</v>
      </c>
      <c r="Q52" s="121"/>
      <c r="R52" s="159">
        <v>266473.03999999998</v>
      </c>
      <c r="S52" s="121"/>
      <c r="T52" s="159">
        <v>343800.06</v>
      </c>
      <c r="U52" s="121"/>
      <c r="V52" s="159">
        <v>420244.68</v>
      </c>
      <c r="W52" s="121"/>
      <c r="Y52" s="159">
        <v>7070691.2599999998</v>
      </c>
      <c r="Z52" s="159">
        <v>9533250.1899999995</v>
      </c>
      <c r="AA52" s="121">
        <v>0.3483</v>
      </c>
      <c r="AB52" s="159">
        <v>11143246.449999999</v>
      </c>
      <c r="AC52" s="121">
        <v>0.57599999999999996</v>
      </c>
      <c r="AD52" s="159">
        <v>831336.01</v>
      </c>
      <c r="AE52" s="159">
        <v>1099019.3500000001</v>
      </c>
      <c r="AF52" s="159">
        <v>1503914.69</v>
      </c>
      <c r="AG52" s="121"/>
      <c r="AH52" s="159"/>
      <c r="AI52" s="121"/>
      <c r="AJ52" s="159"/>
      <c r="AK52" s="121"/>
      <c r="AL52" s="159"/>
      <c r="AM52" s="121"/>
      <c r="AN52" s="159"/>
      <c r="AO52" s="121"/>
      <c r="AP52" s="159"/>
      <c r="AQ52" s="121"/>
      <c r="AR52" s="159"/>
      <c r="AS52" s="121"/>
      <c r="AT52" s="159"/>
      <c r="AU52" s="121"/>
      <c r="AV52" s="159"/>
      <c r="AW52" s="121"/>
      <c r="AX52" s="159"/>
      <c r="AY52" s="121"/>
      <c r="AZ52" s="159"/>
      <c r="BA52" s="121"/>
      <c r="BB52" s="159"/>
      <c r="BC52" s="121"/>
      <c r="BD52" s="159"/>
      <c r="BE52" s="121"/>
    </row>
    <row r="53" spans="1:57">
      <c r="A53" t="s">
        <v>407</v>
      </c>
      <c r="B53">
        <v>0</v>
      </c>
      <c r="C53" t="s">
        <v>436</v>
      </c>
      <c r="D53" t="s">
        <v>437</v>
      </c>
      <c r="E53" t="s">
        <v>410</v>
      </c>
      <c r="F53" t="s">
        <v>431</v>
      </c>
      <c r="G53" s="159">
        <v>128913</v>
      </c>
      <c r="H53" s="159">
        <v>160491.15</v>
      </c>
      <c r="I53" s="121">
        <v>0.24490000000000001</v>
      </c>
      <c r="J53" s="159">
        <v>156941.62</v>
      </c>
      <c r="K53" s="121">
        <v>0.21740000000000001</v>
      </c>
      <c r="L53" s="159">
        <v>238941.8</v>
      </c>
      <c r="M53" s="121"/>
      <c r="N53" s="159">
        <v>308286.90999999997</v>
      </c>
      <c r="O53" s="121"/>
      <c r="P53" s="159">
        <v>310020.84000000003</v>
      </c>
      <c r="Q53" s="121"/>
      <c r="R53" s="159">
        <v>449678.05</v>
      </c>
      <c r="S53" s="121"/>
      <c r="T53" s="159">
        <v>580172.12</v>
      </c>
      <c r="U53" s="121"/>
      <c r="V53" s="159">
        <v>604642.79</v>
      </c>
      <c r="W53" s="121"/>
      <c r="Y53" s="159">
        <v>12029325.560000001</v>
      </c>
      <c r="Z53" s="159">
        <v>16218508.050000001</v>
      </c>
      <c r="AA53" s="121">
        <v>0.34820000000000001</v>
      </c>
      <c r="AB53" s="159">
        <v>13787303.390000001</v>
      </c>
      <c r="AC53" s="121">
        <v>0.14610000000000001</v>
      </c>
      <c r="AD53" s="159">
        <v>1611545.28</v>
      </c>
      <c r="AE53" s="159">
        <v>2130452.87</v>
      </c>
      <c r="AF53" s="159">
        <v>2283986.83</v>
      </c>
      <c r="AG53" s="121"/>
      <c r="AH53" s="159"/>
      <c r="AI53" s="121"/>
      <c r="AJ53" s="159"/>
      <c r="AK53" s="121"/>
      <c r="AL53" s="159"/>
      <c r="AM53" s="121"/>
      <c r="AN53" s="159"/>
      <c r="AO53" s="121"/>
      <c r="AP53" s="159"/>
      <c r="AQ53" s="121"/>
      <c r="AR53" s="159"/>
      <c r="AS53" s="121"/>
      <c r="AT53" s="159"/>
      <c r="AU53" s="121"/>
      <c r="AV53" s="159"/>
      <c r="AW53" s="121"/>
      <c r="AX53" s="159"/>
      <c r="AY53" s="121"/>
      <c r="AZ53" s="159"/>
      <c r="BA53" s="121"/>
      <c r="BB53" s="159"/>
      <c r="BC53" s="121"/>
      <c r="BD53" s="159"/>
      <c r="BE53" s="121"/>
    </row>
    <row r="54" spans="1:57">
      <c r="A54" t="s">
        <v>407</v>
      </c>
      <c r="B54">
        <v>0</v>
      </c>
      <c r="C54" t="s">
        <v>436</v>
      </c>
      <c r="D54" t="s">
        <v>437</v>
      </c>
      <c r="E54" t="s">
        <v>415</v>
      </c>
      <c r="F54" t="s">
        <v>432</v>
      </c>
      <c r="G54" s="159">
        <v>25108.86</v>
      </c>
      <c r="H54" s="159">
        <v>31259.98</v>
      </c>
      <c r="I54" s="121">
        <v>0.245</v>
      </c>
      <c r="J54" s="159">
        <v>35548.36</v>
      </c>
      <c r="K54" s="121">
        <v>0.4158</v>
      </c>
      <c r="L54" s="159">
        <v>180047.52</v>
      </c>
      <c r="M54" s="121"/>
      <c r="N54" s="159">
        <v>232302.38</v>
      </c>
      <c r="O54" s="121"/>
      <c r="P54" s="159">
        <v>260623.15</v>
      </c>
      <c r="Q54" s="121"/>
      <c r="R54" s="159">
        <v>328173.15000000002</v>
      </c>
      <c r="S54" s="121"/>
      <c r="T54" s="159">
        <v>423402.57</v>
      </c>
      <c r="U54" s="121"/>
      <c r="V54" s="159">
        <v>531785.68999999994</v>
      </c>
      <c r="W54" s="121"/>
      <c r="Y54" s="159">
        <v>22114593.850000001</v>
      </c>
      <c r="Z54" s="159">
        <v>29816134.809999999</v>
      </c>
      <c r="AA54" s="121">
        <v>0.3483</v>
      </c>
      <c r="AB54" s="159">
        <v>30383802.829999998</v>
      </c>
      <c r="AC54" s="121">
        <v>0.37390000000000001</v>
      </c>
      <c r="AD54" s="159">
        <v>2392172.08</v>
      </c>
      <c r="AE54" s="159">
        <v>3162431.86</v>
      </c>
      <c r="AF54" s="159">
        <v>4743283.28</v>
      </c>
      <c r="AG54" s="121"/>
      <c r="AH54" s="159"/>
      <c r="AI54" s="121"/>
      <c r="AJ54" s="159"/>
      <c r="AK54" s="121"/>
      <c r="AL54" s="159"/>
      <c r="AM54" s="121"/>
      <c r="AN54" s="159"/>
      <c r="AO54" s="121"/>
      <c r="AP54" s="159"/>
      <c r="AQ54" s="121"/>
      <c r="AR54" s="159"/>
      <c r="AS54" s="121"/>
      <c r="AT54" s="159"/>
      <c r="AU54" s="121"/>
      <c r="AV54" s="159"/>
      <c r="AW54" s="121"/>
      <c r="AX54" s="159"/>
      <c r="AY54" s="121"/>
      <c r="AZ54" s="159"/>
      <c r="BA54" s="121"/>
      <c r="BB54" s="159"/>
      <c r="BC54" s="121"/>
      <c r="BD54" s="159"/>
      <c r="BE54" s="121"/>
    </row>
    <row r="55" spans="1:57">
      <c r="A55" t="s">
        <v>407</v>
      </c>
      <c r="B55">
        <v>0</v>
      </c>
      <c r="C55" t="s">
        <v>436</v>
      </c>
      <c r="D55" t="s">
        <v>437</v>
      </c>
      <c r="E55" t="s">
        <v>426</v>
      </c>
      <c r="F55" t="s">
        <v>458</v>
      </c>
      <c r="G55">
        <v>0</v>
      </c>
      <c r="H55">
        <v>0</v>
      </c>
      <c r="I55" s="121">
        <v>0</v>
      </c>
      <c r="J55">
        <v>0</v>
      </c>
      <c r="K55" s="121">
        <v>0</v>
      </c>
      <c r="L55">
        <v>0</v>
      </c>
      <c r="M55" s="121"/>
      <c r="N55">
        <v>0</v>
      </c>
      <c r="O55" s="121"/>
      <c r="P55">
        <v>0</v>
      </c>
      <c r="Q55" s="121"/>
      <c r="R55">
        <v>0</v>
      </c>
      <c r="S55" s="121"/>
      <c r="T55">
        <v>0</v>
      </c>
      <c r="U55" s="121"/>
      <c r="V55">
        <v>0</v>
      </c>
      <c r="W55" s="121"/>
      <c r="Y55">
        <v>0</v>
      </c>
      <c r="Z55">
        <v>0</v>
      </c>
      <c r="AA55" s="121">
        <v>0</v>
      </c>
      <c r="AB55">
        <v>0</v>
      </c>
      <c r="AC55" s="121">
        <v>0</v>
      </c>
      <c r="AD55">
        <v>0</v>
      </c>
      <c r="AE55">
        <v>0</v>
      </c>
      <c r="AF55">
        <v>0</v>
      </c>
      <c r="AG55" s="121"/>
      <c r="AI55" s="121"/>
      <c r="AK55" s="121"/>
      <c r="AM55" s="121"/>
      <c r="AO55" s="121"/>
      <c r="AQ55" s="121"/>
      <c r="AS55" s="121"/>
      <c r="AU55" s="121"/>
      <c r="AW55" s="121"/>
      <c r="AY55" s="121"/>
      <c r="BA55" s="121"/>
      <c r="BC55" s="121"/>
      <c r="BE55" s="121"/>
    </row>
    <row r="56" spans="1:57">
      <c r="A56" t="s">
        <v>407</v>
      </c>
      <c r="B56">
        <v>0</v>
      </c>
      <c r="C56" t="s">
        <v>436</v>
      </c>
      <c r="D56" t="s">
        <v>437</v>
      </c>
      <c r="E56" t="s">
        <v>426</v>
      </c>
      <c r="F56" t="s">
        <v>459</v>
      </c>
      <c r="G56">
        <v>0</v>
      </c>
      <c r="H56">
        <v>0</v>
      </c>
      <c r="I56" s="121">
        <v>0</v>
      </c>
      <c r="J56">
        <v>0</v>
      </c>
      <c r="K56" s="121">
        <v>0</v>
      </c>
      <c r="L56">
        <v>0</v>
      </c>
      <c r="M56" s="121"/>
      <c r="N56">
        <v>0</v>
      </c>
      <c r="O56" s="121"/>
      <c r="P56">
        <v>0</v>
      </c>
      <c r="Q56" s="121"/>
      <c r="R56">
        <v>0</v>
      </c>
      <c r="S56" s="121"/>
      <c r="T56">
        <v>0</v>
      </c>
      <c r="U56" s="121"/>
      <c r="V56">
        <v>0</v>
      </c>
      <c r="W56" s="121"/>
      <c r="Y56">
        <v>0</v>
      </c>
      <c r="Z56">
        <v>0</v>
      </c>
      <c r="AA56" s="121">
        <v>0</v>
      </c>
      <c r="AB56">
        <v>0</v>
      </c>
      <c r="AC56" s="121">
        <v>0</v>
      </c>
      <c r="AD56">
        <v>0</v>
      </c>
      <c r="AE56">
        <v>0</v>
      </c>
      <c r="AF56">
        <v>0</v>
      </c>
      <c r="AG56" s="121"/>
      <c r="AI56" s="121"/>
      <c r="AK56" s="121"/>
      <c r="AM56" s="121"/>
      <c r="AO56" s="121"/>
      <c r="AQ56" s="121"/>
      <c r="AS56" s="121"/>
      <c r="AU56" s="121"/>
      <c r="AW56" s="121"/>
      <c r="AY56" s="121"/>
      <c r="BA56" s="121"/>
      <c r="BC56" s="121"/>
      <c r="BE56" s="121"/>
    </row>
    <row r="57" spans="1:57">
      <c r="A57" t="s">
        <v>407</v>
      </c>
      <c r="B57">
        <v>0</v>
      </c>
      <c r="C57" t="s">
        <v>436</v>
      </c>
      <c r="D57" t="s">
        <v>437</v>
      </c>
      <c r="E57" t="s">
        <v>426</v>
      </c>
      <c r="F57" t="s">
        <v>460</v>
      </c>
      <c r="G57" s="159">
        <v>392635.48</v>
      </c>
      <c r="H57" s="159">
        <v>488817</v>
      </c>
      <c r="I57" s="121">
        <v>0.245</v>
      </c>
      <c r="J57" s="159">
        <v>655182.91</v>
      </c>
      <c r="K57" s="121">
        <v>0.66869999999999996</v>
      </c>
      <c r="L57" s="159">
        <v>744867.48</v>
      </c>
      <c r="M57" s="121"/>
      <c r="N57" s="159">
        <v>961046.19</v>
      </c>
      <c r="O57" s="121"/>
      <c r="P57" s="159">
        <v>1335164.25</v>
      </c>
      <c r="Q57" s="121"/>
      <c r="R57" s="159">
        <v>1330711.82</v>
      </c>
      <c r="S57" s="121"/>
      <c r="T57" s="159">
        <v>1716864.85</v>
      </c>
      <c r="U57" s="121"/>
      <c r="V57" s="159">
        <v>2510395.0499999998</v>
      </c>
      <c r="W57" s="121"/>
      <c r="Y57" s="159">
        <v>40330613.990000002</v>
      </c>
      <c r="Z57" s="159">
        <v>54377084.350000001</v>
      </c>
      <c r="AA57" s="121">
        <v>0.3483</v>
      </c>
      <c r="AB57" s="159">
        <v>69026058.109999999</v>
      </c>
      <c r="AC57" s="121">
        <v>0.71150000000000002</v>
      </c>
      <c r="AD57" s="159">
        <v>4776238</v>
      </c>
      <c r="AE57" s="159">
        <v>6314144.9400000004</v>
      </c>
      <c r="AF57" s="159">
        <v>9279596.7100000009</v>
      </c>
      <c r="AG57" s="121"/>
      <c r="AH57" s="159"/>
      <c r="AI57" s="121"/>
      <c r="AJ57" s="159"/>
      <c r="AK57" s="121"/>
      <c r="AL57" s="159"/>
      <c r="AM57" s="121"/>
      <c r="AN57" s="159"/>
      <c r="AO57" s="121"/>
      <c r="AP57" s="159"/>
      <c r="AQ57" s="121"/>
      <c r="AR57" s="159"/>
      <c r="AS57" s="121"/>
      <c r="AT57" s="159"/>
      <c r="AU57" s="121"/>
      <c r="AV57" s="159"/>
      <c r="AW57" s="121"/>
      <c r="AX57" s="159"/>
      <c r="AY57" s="121"/>
      <c r="AZ57" s="159"/>
      <c r="BA57" s="121"/>
      <c r="BB57" s="159"/>
      <c r="BC57" s="121"/>
      <c r="BD57" s="159"/>
      <c r="BE57" s="121"/>
    </row>
    <row r="58" spans="1:57">
      <c r="A58" t="s">
        <v>407</v>
      </c>
      <c r="B58">
        <v>0</v>
      </c>
      <c r="C58" t="s">
        <v>436</v>
      </c>
      <c r="D58" t="s">
        <v>437</v>
      </c>
      <c r="E58" t="s">
        <v>426</v>
      </c>
      <c r="F58" t="s">
        <v>461</v>
      </c>
      <c r="G58" s="159">
        <v>932169.06</v>
      </c>
      <c r="H58" s="159">
        <v>1160550.67</v>
      </c>
      <c r="I58" s="121">
        <v>0.245</v>
      </c>
      <c r="J58" s="159">
        <v>1158009.28</v>
      </c>
      <c r="K58" s="121">
        <v>0.24229999999999999</v>
      </c>
      <c r="L58" s="159">
        <v>1694353.29</v>
      </c>
      <c r="M58" s="121"/>
      <c r="N58" s="159">
        <v>2186115.75</v>
      </c>
      <c r="O58" s="121"/>
      <c r="P58" s="159">
        <v>2246743.34</v>
      </c>
      <c r="Q58" s="121"/>
      <c r="R58" s="159">
        <v>2948741.64</v>
      </c>
      <c r="S58" s="121"/>
      <c r="T58" s="159">
        <v>3804375.6</v>
      </c>
      <c r="U58" s="121"/>
      <c r="V58" s="159">
        <v>4224675.5</v>
      </c>
      <c r="W58" s="121"/>
      <c r="Y58" s="159">
        <v>78775929.329999998</v>
      </c>
      <c r="Z58" s="159">
        <v>106216739.92</v>
      </c>
      <c r="AA58" s="121">
        <v>0.3483</v>
      </c>
      <c r="AB58" s="159">
        <v>112095561.55</v>
      </c>
      <c r="AC58" s="121">
        <v>0.42299999999999999</v>
      </c>
      <c r="AD58" s="159">
        <v>9452253.1099999994</v>
      </c>
      <c r="AE58" s="159">
        <v>12495753.539999999</v>
      </c>
      <c r="AF58" s="159">
        <v>15122164.6</v>
      </c>
      <c r="AG58" s="121"/>
      <c r="AH58" s="159"/>
      <c r="AI58" s="121"/>
      <c r="AJ58" s="159"/>
      <c r="AK58" s="121"/>
      <c r="AL58" s="159"/>
      <c r="AM58" s="121"/>
      <c r="AN58" s="159"/>
      <c r="AO58" s="121"/>
      <c r="AP58" s="159"/>
      <c r="AQ58" s="121"/>
      <c r="AR58" s="159"/>
      <c r="AS58" s="121"/>
      <c r="AT58" s="159"/>
      <c r="AU58" s="121"/>
      <c r="AV58" s="159"/>
      <c r="AW58" s="121"/>
      <c r="AX58" s="159"/>
      <c r="AY58" s="121"/>
      <c r="AZ58" s="159"/>
      <c r="BA58" s="121"/>
      <c r="BB58" s="159"/>
      <c r="BC58" s="121"/>
      <c r="BD58" s="159"/>
      <c r="BE58" s="121"/>
    </row>
    <row r="59" spans="1:57">
      <c r="A59" t="s">
        <v>407</v>
      </c>
      <c r="B59">
        <v>0</v>
      </c>
      <c r="C59" t="s">
        <v>436</v>
      </c>
      <c r="D59" t="s">
        <v>437</v>
      </c>
      <c r="E59" t="s">
        <v>463</v>
      </c>
      <c r="F59" t="s">
        <v>462</v>
      </c>
      <c r="G59" s="159">
        <v>5636041.8399999999</v>
      </c>
      <c r="H59" s="159">
        <v>7016576.0199999996</v>
      </c>
      <c r="I59" s="121">
        <v>0.24490000000000001</v>
      </c>
      <c r="J59" s="159">
        <v>6890920.04</v>
      </c>
      <c r="K59" s="121">
        <v>0.22270000000000001</v>
      </c>
      <c r="L59" s="159">
        <v>10447421.07</v>
      </c>
      <c r="M59" s="121"/>
      <c r="N59" s="159">
        <v>13479447.060000001</v>
      </c>
      <c r="O59" s="121"/>
      <c r="P59" s="159">
        <v>13527257.77</v>
      </c>
      <c r="Q59" s="121"/>
      <c r="R59" s="159">
        <v>19548502.489999998</v>
      </c>
      <c r="S59" s="121"/>
      <c r="T59" s="159">
        <v>25221367.460000001</v>
      </c>
      <c r="U59" s="121"/>
      <c r="V59" s="159">
        <v>26357837.239999998</v>
      </c>
      <c r="W59" s="121"/>
      <c r="Y59" s="159">
        <v>536619333.05000001</v>
      </c>
      <c r="Z59" s="159">
        <v>723495563.37</v>
      </c>
      <c r="AA59" s="121">
        <v>0.34820000000000001</v>
      </c>
      <c r="AB59" s="159">
        <v>614316411.20000005</v>
      </c>
      <c r="AC59" s="121">
        <v>0.14480000000000001</v>
      </c>
      <c r="AD59" s="159">
        <v>61684983.32</v>
      </c>
      <c r="AE59" s="159">
        <v>81547163.939999998</v>
      </c>
      <c r="AF59" s="159">
        <v>88659574.400000006</v>
      </c>
      <c r="AG59" s="121"/>
      <c r="AH59" s="159"/>
      <c r="AI59" s="121"/>
      <c r="AJ59" s="159"/>
      <c r="AK59" s="121"/>
      <c r="AL59" s="159"/>
      <c r="AM59" s="121"/>
      <c r="AN59" s="159"/>
      <c r="AO59" s="121"/>
      <c r="AP59" s="159"/>
      <c r="AQ59" s="121"/>
      <c r="AR59" s="159"/>
      <c r="AS59" s="121"/>
      <c r="AT59" s="159"/>
      <c r="AU59" s="121"/>
      <c r="AV59" s="159"/>
      <c r="AW59" s="121"/>
      <c r="AX59" s="159"/>
      <c r="AY59" s="121"/>
      <c r="AZ59" s="159"/>
      <c r="BA59" s="121"/>
      <c r="BB59" s="159"/>
      <c r="BC59" s="121"/>
      <c r="BD59" s="159"/>
      <c r="BE59" s="121"/>
    </row>
    <row r="60" spans="1:57">
      <c r="A60" t="s">
        <v>407</v>
      </c>
      <c r="B60">
        <v>0</v>
      </c>
      <c r="C60" t="s">
        <v>436</v>
      </c>
      <c r="D60" t="s">
        <v>437</v>
      </c>
      <c r="E60" t="s">
        <v>434</v>
      </c>
      <c r="F60" t="s">
        <v>433</v>
      </c>
      <c r="G60" s="159">
        <v>3736567.09</v>
      </c>
      <c r="H60" s="159">
        <v>4651829.78</v>
      </c>
      <c r="I60" s="121">
        <v>0.24490000000000001</v>
      </c>
      <c r="J60" s="159">
        <v>4583201.91</v>
      </c>
      <c r="K60" s="121">
        <v>0.2266</v>
      </c>
      <c r="L60" s="159">
        <v>7130814.1500000004</v>
      </c>
      <c r="M60" s="121"/>
      <c r="N60" s="159">
        <v>9200303.3000000007</v>
      </c>
      <c r="O60" s="121"/>
      <c r="P60" s="159">
        <v>9312384.4199999999</v>
      </c>
      <c r="Q60" s="121"/>
      <c r="R60" s="159">
        <v>13331334.16</v>
      </c>
      <c r="S60" s="121"/>
      <c r="T60" s="159">
        <v>17200009.5</v>
      </c>
      <c r="U60" s="121"/>
      <c r="V60" s="159">
        <v>18195269.84</v>
      </c>
      <c r="W60" s="121"/>
      <c r="Y60" s="159">
        <v>367815855.05000001</v>
      </c>
      <c r="Z60" s="159">
        <v>495906952.12</v>
      </c>
      <c r="AA60" s="121">
        <v>0.34820000000000001</v>
      </c>
      <c r="AB60" s="159">
        <v>432337895.62</v>
      </c>
      <c r="AC60" s="121">
        <v>0.1754</v>
      </c>
      <c r="AD60" s="159">
        <v>48304885</v>
      </c>
      <c r="AE60" s="159">
        <v>63858754.32</v>
      </c>
      <c r="AF60" s="159">
        <v>69882679.219999999</v>
      </c>
      <c r="AG60" s="121"/>
      <c r="AH60" s="159"/>
      <c r="AI60" s="121"/>
      <c r="AJ60" s="159"/>
      <c r="AK60" s="121"/>
      <c r="AL60" s="159"/>
      <c r="AM60" s="121"/>
      <c r="AN60" s="159"/>
      <c r="AO60" s="121"/>
      <c r="AP60" s="159"/>
      <c r="AQ60" s="121"/>
      <c r="AR60" s="159"/>
      <c r="AS60" s="121"/>
      <c r="AT60" s="159"/>
      <c r="AU60" s="121"/>
      <c r="AV60" s="159"/>
      <c r="AW60" s="121"/>
      <c r="AX60" s="159"/>
      <c r="AY60" s="121"/>
      <c r="AZ60" s="159"/>
      <c r="BA60" s="121"/>
      <c r="BB60" s="159"/>
      <c r="BC60" s="121"/>
      <c r="BD60" s="159"/>
      <c r="BE60" s="121"/>
    </row>
    <row r="61" spans="1:57">
      <c r="A61" t="s">
        <v>407</v>
      </c>
      <c r="B61">
        <v>0</v>
      </c>
      <c r="C61" t="s">
        <v>436</v>
      </c>
      <c r="D61" t="s">
        <v>437</v>
      </c>
      <c r="E61" t="s">
        <v>434</v>
      </c>
      <c r="F61" t="s">
        <v>464</v>
      </c>
      <c r="G61" s="159">
        <v>2178347.67</v>
      </c>
      <c r="H61" s="159">
        <v>2711969.75</v>
      </c>
      <c r="I61" s="121">
        <v>0.245</v>
      </c>
      <c r="J61" s="159">
        <v>2755062.45</v>
      </c>
      <c r="K61" s="121">
        <v>0.26469999999999999</v>
      </c>
      <c r="L61" s="159">
        <v>4185974.19</v>
      </c>
      <c r="M61" s="121"/>
      <c r="N61" s="159">
        <v>5400845.9900000002</v>
      </c>
      <c r="O61" s="121"/>
      <c r="P61" s="159">
        <v>5612014.29</v>
      </c>
      <c r="Q61" s="121"/>
      <c r="R61" s="159">
        <v>7936719.9699999997</v>
      </c>
      <c r="S61" s="121"/>
      <c r="T61" s="159">
        <v>10239839.560000001</v>
      </c>
      <c r="U61" s="121"/>
      <c r="V61" s="159">
        <v>11072928.23</v>
      </c>
      <c r="W61" s="121"/>
      <c r="Y61" s="159">
        <v>221414812.94999999</v>
      </c>
      <c r="Z61" s="159">
        <v>298529845.44</v>
      </c>
      <c r="AA61" s="121">
        <v>0.3483</v>
      </c>
      <c r="AB61" s="159">
        <v>252150823.03</v>
      </c>
      <c r="AC61" s="121">
        <v>0.13880000000000001</v>
      </c>
      <c r="AD61" s="159">
        <v>30099805.23</v>
      </c>
      <c r="AE61" s="159">
        <v>39791679.75</v>
      </c>
      <c r="AF61" s="159">
        <v>42224005.530000001</v>
      </c>
      <c r="AG61" s="121"/>
      <c r="AH61" s="159"/>
      <c r="AI61" s="121"/>
      <c r="AJ61" s="159"/>
      <c r="AK61" s="121"/>
      <c r="AL61" s="159"/>
      <c r="AM61" s="121"/>
      <c r="AN61" s="159"/>
      <c r="AO61" s="121"/>
      <c r="AP61" s="159"/>
      <c r="AQ61" s="121"/>
      <c r="AR61" s="159"/>
      <c r="AS61" s="121"/>
      <c r="AT61" s="159"/>
      <c r="AU61" s="121"/>
      <c r="AV61" s="159"/>
      <c r="AW61" s="121"/>
      <c r="AX61" s="159"/>
      <c r="AY61" s="121"/>
      <c r="AZ61" s="159"/>
      <c r="BA61" s="121"/>
      <c r="BB61" s="159"/>
      <c r="BC61" s="121"/>
      <c r="BD61" s="159"/>
      <c r="BE61" s="121"/>
    </row>
    <row r="62" spans="1:57">
      <c r="A62" t="s">
        <v>407</v>
      </c>
      <c r="B62">
        <v>0</v>
      </c>
      <c r="C62" t="s">
        <v>436</v>
      </c>
      <c r="D62" t="s">
        <v>437</v>
      </c>
      <c r="E62" t="s">
        <v>434</v>
      </c>
      <c r="F62" t="s">
        <v>465</v>
      </c>
      <c r="G62" s="159">
        <v>52298.06</v>
      </c>
      <c r="H62" s="159">
        <v>65059.040000000001</v>
      </c>
      <c r="I62" s="121">
        <v>0.24399999999999999</v>
      </c>
      <c r="J62" s="159">
        <v>65419.65</v>
      </c>
      <c r="K62" s="121">
        <v>0.25090000000000001</v>
      </c>
      <c r="L62" s="159">
        <v>95485.93</v>
      </c>
      <c r="M62" s="121"/>
      <c r="N62" s="159">
        <v>123165.13</v>
      </c>
      <c r="O62" s="121"/>
      <c r="P62" s="159">
        <v>125556.37</v>
      </c>
      <c r="Q62" s="121"/>
      <c r="R62" s="159">
        <v>238228.92</v>
      </c>
      <c r="S62" s="121"/>
      <c r="T62" s="159">
        <v>307441.01</v>
      </c>
      <c r="U62" s="121"/>
      <c r="V62" s="159">
        <v>311253.09000000003</v>
      </c>
      <c r="W62" s="121"/>
      <c r="Y62" s="159">
        <v>6623124.2000000002</v>
      </c>
      <c r="Z62" s="159">
        <v>8921209.9299999997</v>
      </c>
      <c r="AA62" s="121">
        <v>0.34699999999999998</v>
      </c>
      <c r="AB62" s="159">
        <v>7059842.71</v>
      </c>
      <c r="AC62" s="121">
        <v>6.59E-2</v>
      </c>
      <c r="AD62" s="159">
        <v>561046.54</v>
      </c>
      <c r="AE62" s="159">
        <v>741780.61</v>
      </c>
      <c r="AF62" s="159">
        <v>826042.17</v>
      </c>
      <c r="AG62" s="121"/>
      <c r="AH62" s="159"/>
      <c r="AI62" s="121"/>
      <c r="AJ62" s="159"/>
      <c r="AK62" s="121"/>
      <c r="AL62" s="159"/>
      <c r="AM62" s="121"/>
      <c r="AN62" s="159"/>
      <c r="AO62" s="121"/>
      <c r="AP62" s="159"/>
      <c r="AQ62" s="121"/>
      <c r="AR62" s="159"/>
      <c r="AS62" s="121"/>
      <c r="AT62" s="159"/>
      <c r="AU62" s="121"/>
      <c r="AV62" s="159"/>
      <c r="AW62" s="121"/>
      <c r="AX62" s="159"/>
      <c r="AY62" s="121"/>
      <c r="AZ62" s="159"/>
      <c r="BA62" s="121"/>
      <c r="BB62" s="159"/>
      <c r="BC62" s="121"/>
      <c r="BD62" s="159"/>
      <c r="BE62" s="121"/>
    </row>
    <row r="63" spans="1:57">
      <c r="A63" t="s">
        <v>407</v>
      </c>
      <c r="B63">
        <v>0</v>
      </c>
      <c r="C63" t="s">
        <v>436</v>
      </c>
      <c r="D63" t="s">
        <v>437</v>
      </c>
      <c r="E63" t="s">
        <v>434</v>
      </c>
      <c r="F63" t="s">
        <v>466</v>
      </c>
      <c r="G63">
        <v>0</v>
      </c>
      <c r="H63">
        <v>0</v>
      </c>
      <c r="I63" s="121">
        <v>0</v>
      </c>
      <c r="J63">
        <v>0</v>
      </c>
      <c r="K63" s="121">
        <v>0</v>
      </c>
      <c r="L63">
        <v>0</v>
      </c>
      <c r="M63" s="121"/>
      <c r="N63">
        <v>0</v>
      </c>
      <c r="O63" s="121"/>
      <c r="P63">
        <v>0</v>
      </c>
      <c r="Q63" s="121"/>
      <c r="R63">
        <v>0</v>
      </c>
      <c r="S63" s="121"/>
      <c r="T63">
        <v>0</v>
      </c>
      <c r="U63" s="121"/>
      <c r="V63">
        <v>0</v>
      </c>
      <c r="W63" s="121"/>
      <c r="Y63">
        <v>0</v>
      </c>
      <c r="Z63">
        <v>0</v>
      </c>
      <c r="AA63" s="121">
        <v>0</v>
      </c>
      <c r="AB63">
        <v>0</v>
      </c>
      <c r="AC63" s="121">
        <v>0</v>
      </c>
      <c r="AD63">
        <v>0</v>
      </c>
      <c r="AE63">
        <v>0</v>
      </c>
      <c r="AF63">
        <v>0</v>
      </c>
      <c r="AG63" s="121"/>
      <c r="AI63" s="121"/>
      <c r="AK63" s="121"/>
      <c r="AM63" s="121"/>
      <c r="AO63" s="121"/>
      <c r="AQ63" s="121"/>
      <c r="AS63" s="121"/>
      <c r="AU63" s="121"/>
      <c r="AW63" s="121"/>
      <c r="AY63" s="121"/>
      <c r="BA63" s="121"/>
      <c r="BC63" s="121"/>
      <c r="BE63" s="121"/>
    </row>
    <row r="64" spans="1:57">
      <c r="A64" t="s">
        <v>407</v>
      </c>
      <c r="B64">
        <v>0</v>
      </c>
      <c r="C64" t="s">
        <v>436</v>
      </c>
      <c r="D64" t="s">
        <v>437</v>
      </c>
      <c r="E64" t="s">
        <v>434</v>
      </c>
      <c r="F64" t="s">
        <v>467</v>
      </c>
      <c r="G64">
        <v>0</v>
      </c>
      <c r="H64">
        <v>0</v>
      </c>
      <c r="I64" s="121">
        <v>0</v>
      </c>
      <c r="J64">
        <v>0</v>
      </c>
      <c r="K64" s="121">
        <v>0</v>
      </c>
      <c r="L64">
        <v>0</v>
      </c>
      <c r="M64" s="121"/>
      <c r="N64">
        <v>0</v>
      </c>
      <c r="O64" s="121"/>
      <c r="P64">
        <v>0</v>
      </c>
      <c r="Q64" s="121"/>
      <c r="R64">
        <v>0</v>
      </c>
      <c r="S64" s="121"/>
      <c r="T64">
        <v>0</v>
      </c>
      <c r="U64" s="121"/>
      <c r="V64">
        <v>0</v>
      </c>
      <c r="W64" s="121"/>
      <c r="Y64">
        <v>0</v>
      </c>
      <c r="Z64">
        <v>0</v>
      </c>
      <c r="AA64" s="121">
        <v>0</v>
      </c>
      <c r="AB64">
        <v>0</v>
      </c>
      <c r="AC64" s="121">
        <v>0</v>
      </c>
      <c r="AD64">
        <v>0</v>
      </c>
      <c r="AE64">
        <v>0</v>
      </c>
      <c r="AF64">
        <v>0</v>
      </c>
      <c r="AG64" s="121"/>
      <c r="AI64" s="121"/>
      <c r="AK64" s="121"/>
      <c r="AM64" s="121"/>
      <c r="AO64" s="121"/>
      <c r="AQ64" s="121"/>
      <c r="AS64" s="121"/>
      <c r="AU64" s="121"/>
      <c r="AW64" s="121"/>
      <c r="AY64" s="121"/>
      <c r="BA64" s="121"/>
      <c r="BC64" s="121"/>
      <c r="BE64" s="121"/>
    </row>
    <row r="65" spans="1:57">
      <c r="A65" t="s">
        <v>407</v>
      </c>
      <c r="B65">
        <v>0</v>
      </c>
      <c r="C65" t="s">
        <v>436</v>
      </c>
      <c r="D65" t="s">
        <v>437</v>
      </c>
      <c r="E65" t="s">
        <v>434</v>
      </c>
      <c r="F65" t="s">
        <v>468</v>
      </c>
      <c r="G65" s="159">
        <v>259930.66</v>
      </c>
      <c r="H65" s="159">
        <v>323604.95</v>
      </c>
      <c r="I65" s="121">
        <v>0.245</v>
      </c>
      <c r="J65" s="159">
        <v>433558.07</v>
      </c>
      <c r="K65" s="121">
        <v>0.66800000000000004</v>
      </c>
      <c r="L65" s="159">
        <v>513358.84</v>
      </c>
      <c r="M65" s="121"/>
      <c r="N65" s="159">
        <v>662348.1</v>
      </c>
      <c r="O65" s="121"/>
      <c r="P65" s="159">
        <v>919959.57</v>
      </c>
      <c r="Q65" s="121"/>
      <c r="R65" s="159">
        <v>917330.84</v>
      </c>
      <c r="S65" s="121"/>
      <c r="T65" s="159">
        <v>1183526.77</v>
      </c>
      <c r="U65" s="121"/>
      <c r="V65" s="159">
        <v>1730157.96</v>
      </c>
      <c r="W65" s="121"/>
      <c r="Y65" s="159">
        <v>27802049.449999999</v>
      </c>
      <c r="Z65" s="159">
        <v>37485032.799999997</v>
      </c>
      <c r="AA65" s="121">
        <v>0.3483</v>
      </c>
      <c r="AB65" s="159">
        <v>47572585.780000001</v>
      </c>
      <c r="AC65" s="121">
        <v>0.71109999999999995</v>
      </c>
      <c r="AD65" s="159">
        <v>3731458.71</v>
      </c>
      <c r="AE65" s="159">
        <v>4932955.8499999996</v>
      </c>
      <c r="AF65" s="159">
        <v>7218378.6900000004</v>
      </c>
      <c r="AG65" s="121"/>
      <c r="AH65" s="159"/>
      <c r="AI65" s="121"/>
      <c r="AJ65" s="159"/>
      <c r="AK65" s="121"/>
      <c r="AL65" s="159"/>
      <c r="AM65" s="121"/>
      <c r="AN65" s="159"/>
      <c r="AO65" s="121"/>
      <c r="AP65" s="159"/>
      <c r="AQ65" s="121"/>
      <c r="AR65" s="159"/>
      <c r="AS65" s="121"/>
      <c r="AT65" s="159"/>
      <c r="AU65" s="121"/>
      <c r="AV65" s="159"/>
      <c r="AW65" s="121"/>
      <c r="AX65" s="159"/>
      <c r="AY65" s="121"/>
      <c r="AZ65" s="159"/>
      <c r="BA65" s="121"/>
      <c r="BB65" s="159"/>
      <c r="BC65" s="121"/>
      <c r="BD65" s="159"/>
      <c r="BE65" s="121"/>
    </row>
    <row r="66" spans="1:57">
      <c r="A66" t="s">
        <v>407</v>
      </c>
      <c r="B66">
        <v>0</v>
      </c>
      <c r="C66" t="s">
        <v>436</v>
      </c>
      <c r="D66" t="s">
        <v>437</v>
      </c>
      <c r="E66" t="s">
        <v>434</v>
      </c>
      <c r="F66" t="s">
        <v>469</v>
      </c>
      <c r="G66" s="159">
        <v>616374.34</v>
      </c>
      <c r="H66" s="159">
        <v>767386.18</v>
      </c>
      <c r="I66" s="121">
        <v>0.245</v>
      </c>
      <c r="J66" s="159">
        <v>765120.65</v>
      </c>
      <c r="K66" s="121">
        <v>0.24129999999999999</v>
      </c>
      <c r="L66" s="159">
        <v>1166022.8400000001</v>
      </c>
      <c r="M66" s="121"/>
      <c r="N66" s="159">
        <v>1504444.74</v>
      </c>
      <c r="O66" s="121"/>
      <c r="P66" s="159">
        <v>1545211.5</v>
      </c>
      <c r="Q66" s="121"/>
      <c r="R66" s="159">
        <v>2029430.04</v>
      </c>
      <c r="S66" s="121"/>
      <c r="T66" s="159">
        <v>2618308.1</v>
      </c>
      <c r="U66" s="121"/>
      <c r="V66" s="159">
        <v>2906277.86</v>
      </c>
      <c r="W66" s="121"/>
      <c r="Y66" s="159">
        <v>54216427.520000003</v>
      </c>
      <c r="Z66" s="159">
        <v>73102180.200000003</v>
      </c>
      <c r="AA66" s="121">
        <v>0.3483</v>
      </c>
      <c r="AB66" s="159">
        <v>77113815.879999995</v>
      </c>
      <c r="AC66" s="121">
        <v>0.42230000000000001</v>
      </c>
      <c r="AD66" s="159">
        <v>7374233.4000000004</v>
      </c>
      <c r="AE66" s="159">
        <v>9748638.9800000004</v>
      </c>
      <c r="AF66" s="159">
        <v>11746379.939999999</v>
      </c>
      <c r="AG66" s="121"/>
      <c r="AH66" s="159"/>
      <c r="AI66" s="121"/>
      <c r="AJ66" s="159"/>
      <c r="AK66" s="121"/>
      <c r="AL66" s="159"/>
      <c r="AM66" s="121"/>
      <c r="AN66" s="159"/>
      <c r="AO66" s="121"/>
      <c r="AP66" s="159"/>
      <c r="AQ66" s="121"/>
      <c r="AR66" s="159"/>
      <c r="AS66" s="121"/>
      <c r="AT66" s="159"/>
      <c r="AU66" s="121"/>
      <c r="AV66" s="159"/>
      <c r="AW66" s="121"/>
      <c r="AX66" s="159"/>
      <c r="AY66" s="121"/>
      <c r="AZ66" s="159"/>
      <c r="BA66" s="121"/>
      <c r="BB66" s="159"/>
      <c r="BC66" s="121"/>
      <c r="BD66" s="159"/>
      <c r="BE66" s="121"/>
    </row>
    <row r="67" spans="1:57">
      <c r="A67" t="s">
        <v>407</v>
      </c>
      <c r="B67">
        <v>0</v>
      </c>
      <c r="C67" t="s">
        <v>436</v>
      </c>
      <c r="D67" t="s">
        <v>437</v>
      </c>
      <c r="E67" t="s">
        <v>434</v>
      </c>
      <c r="F67" t="s">
        <v>470</v>
      </c>
      <c r="G67" s="159">
        <v>586584.73</v>
      </c>
      <c r="H67" s="159">
        <v>730278.31</v>
      </c>
      <c r="I67" s="121">
        <v>0.245</v>
      </c>
      <c r="J67" s="159">
        <v>509826.78</v>
      </c>
      <c r="K67" s="121">
        <v>-0.13089999999999999</v>
      </c>
      <c r="L67" s="159">
        <v>1090615.42</v>
      </c>
      <c r="M67" s="121"/>
      <c r="N67" s="159">
        <v>1407138.62</v>
      </c>
      <c r="O67" s="121"/>
      <c r="P67" s="159">
        <v>1003915.45</v>
      </c>
      <c r="Q67" s="121"/>
      <c r="R67" s="159">
        <v>2007736.07</v>
      </c>
      <c r="S67" s="121"/>
      <c r="T67" s="159">
        <v>2590351.59</v>
      </c>
      <c r="U67" s="121"/>
      <c r="V67" s="159">
        <v>1910471.6799999999</v>
      </c>
      <c r="W67" s="121"/>
      <c r="Y67" s="159">
        <v>52089816.520000003</v>
      </c>
      <c r="Z67" s="159">
        <v>70231818.129999995</v>
      </c>
      <c r="AA67" s="121">
        <v>0.3483</v>
      </c>
      <c r="AB67" s="159">
        <v>42529209.549999997</v>
      </c>
      <c r="AC67" s="121">
        <v>-0.1835</v>
      </c>
      <c r="AD67" s="159">
        <v>6064576.7300000004</v>
      </c>
      <c r="AE67" s="159">
        <v>8017317.5</v>
      </c>
      <c r="AF67" s="159">
        <v>7161689.21</v>
      </c>
      <c r="AG67" s="121"/>
      <c r="AH67" s="159"/>
      <c r="AI67" s="121"/>
      <c r="AJ67" s="159"/>
      <c r="AK67" s="121"/>
      <c r="AL67" s="159"/>
      <c r="AM67" s="121"/>
      <c r="AN67" s="159"/>
      <c r="AO67" s="121"/>
      <c r="AP67" s="159"/>
      <c r="AQ67" s="121"/>
      <c r="AR67" s="159"/>
      <c r="AS67" s="121"/>
      <c r="AT67" s="159"/>
      <c r="AU67" s="121"/>
      <c r="AV67" s="159"/>
      <c r="AW67" s="121"/>
      <c r="AX67" s="159"/>
      <c r="AY67" s="121"/>
      <c r="AZ67" s="159"/>
      <c r="BA67" s="121"/>
      <c r="BB67" s="159"/>
      <c r="BC67" s="121"/>
      <c r="BD67" s="159"/>
      <c r="BE67" s="121"/>
    </row>
    <row r="68" spans="1:57">
      <c r="A68" t="s">
        <v>407</v>
      </c>
      <c r="B68">
        <v>0</v>
      </c>
      <c r="C68" t="s">
        <v>436</v>
      </c>
      <c r="D68" t="s">
        <v>437</v>
      </c>
      <c r="E68" t="s">
        <v>434</v>
      </c>
      <c r="F68" t="s">
        <v>471</v>
      </c>
      <c r="G68" s="159">
        <v>43031.63</v>
      </c>
      <c r="H68" s="159">
        <v>53531.55</v>
      </c>
      <c r="I68" s="121">
        <v>0.24399999999999999</v>
      </c>
      <c r="J68" s="159">
        <v>54214.3</v>
      </c>
      <c r="K68" s="121">
        <v>0.25990000000000002</v>
      </c>
      <c r="L68" s="159">
        <v>79356.94</v>
      </c>
      <c r="M68" s="121"/>
      <c r="N68" s="159">
        <v>102360.72</v>
      </c>
      <c r="O68" s="121"/>
      <c r="P68" s="159">
        <v>105727.22</v>
      </c>
      <c r="Q68" s="121"/>
      <c r="R68" s="159">
        <v>201888.32</v>
      </c>
      <c r="S68" s="121"/>
      <c r="T68" s="159">
        <v>260542.46</v>
      </c>
      <c r="U68" s="121"/>
      <c r="V68" s="159">
        <v>264181.02</v>
      </c>
      <c r="W68" s="121"/>
      <c r="Y68" s="159">
        <v>5669624.4100000001</v>
      </c>
      <c r="Z68" s="159">
        <v>7636865.6200000001</v>
      </c>
      <c r="AA68" s="121">
        <v>0.34699999999999998</v>
      </c>
      <c r="AB68" s="159">
        <v>5911618.6699999999</v>
      </c>
      <c r="AC68" s="121">
        <v>4.2700000000000002E-2</v>
      </c>
      <c r="AD68" s="159">
        <v>473764.4</v>
      </c>
      <c r="AE68" s="159">
        <v>626381.63</v>
      </c>
      <c r="AF68" s="159">
        <v>706183.67</v>
      </c>
      <c r="AG68" s="121"/>
      <c r="AH68" s="159"/>
      <c r="AI68" s="121"/>
      <c r="AJ68" s="159"/>
      <c r="AK68" s="121"/>
      <c r="AL68" s="159"/>
      <c r="AM68" s="121"/>
      <c r="AN68" s="159"/>
      <c r="AO68" s="121"/>
      <c r="AP68" s="159"/>
      <c r="AQ68" s="121"/>
      <c r="AR68" s="159"/>
      <c r="AS68" s="121"/>
      <c r="AT68" s="159"/>
      <c r="AU68" s="121"/>
      <c r="AV68" s="159"/>
      <c r="AW68" s="121"/>
      <c r="AX68" s="159"/>
      <c r="AY68" s="121"/>
      <c r="AZ68" s="159"/>
      <c r="BA68" s="121"/>
      <c r="BB68" s="159"/>
      <c r="BC68" s="121"/>
      <c r="BD68" s="159"/>
      <c r="BE68" s="121"/>
    </row>
    <row r="69" spans="1:57">
      <c r="A69" t="s">
        <v>407</v>
      </c>
      <c r="B69">
        <v>0</v>
      </c>
      <c r="C69" t="s">
        <v>436</v>
      </c>
      <c r="D69" t="s">
        <v>437</v>
      </c>
      <c r="E69" t="s">
        <v>421</v>
      </c>
      <c r="F69" t="s">
        <v>435</v>
      </c>
      <c r="G69">
        <v>845.35</v>
      </c>
      <c r="H69" s="159">
        <v>1052.4100000000001</v>
      </c>
      <c r="I69" s="121">
        <v>0.24490000000000001</v>
      </c>
      <c r="J69" s="159">
        <v>1136.3699999999999</v>
      </c>
      <c r="K69" s="121">
        <v>0.34429999999999999</v>
      </c>
      <c r="L69" s="159">
        <v>1829.08</v>
      </c>
      <c r="M69" s="121"/>
      <c r="N69" s="159">
        <v>2359.91</v>
      </c>
      <c r="O69" s="121"/>
      <c r="P69" s="159">
        <v>2495.23</v>
      </c>
      <c r="Q69" s="121"/>
      <c r="R69" s="159">
        <v>3156.97</v>
      </c>
      <c r="S69" s="121"/>
      <c r="T69" s="159">
        <v>4073.11</v>
      </c>
      <c r="U69" s="121"/>
      <c r="V69" s="159">
        <v>4901.57</v>
      </c>
      <c r="W69" s="121"/>
      <c r="Y69" s="159">
        <v>76591.47</v>
      </c>
      <c r="Z69" s="159">
        <v>103264.1</v>
      </c>
      <c r="AA69" s="121">
        <v>0.34820000000000001</v>
      </c>
      <c r="AB69" s="159">
        <v>108779.86</v>
      </c>
      <c r="AC69" s="121">
        <v>0.42030000000000001</v>
      </c>
      <c r="AD69" s="159">
        <v>8794.84</v>
      </c>
      <c r="AE69" s="159">
        <v>11626.72</v>
      </c>
      <c r="AF69" s="159">
        <v>12717.04</v>
      </c>
      <c r="AG69" s="121"/>
      <c r="AI69" s="121"/>
      <c r="AK69" s="121"/>
      <c r="AM69" s="121"/>
      <c r="AN69" s="159"/>
      <c r="AO69" s="121"/>
      <c r="AP69" s="159"/>
      <c r="AQ69" s="121"/>
      <c r="AR69" s="159"/>
      <c r="AS69" s="121"/>
      <c r="AT69" s="159"/>
      <c r="AU69" s="121"/>
      <c r="AV69" s="159"/>
      <c r="AW69" s="121"/>
      <c r="AX69" s="159"/>
      <c r="AY69" s="121"/>
      <c r="AZ69" s="159"/>
      <c r="BA69" s="121"/>
      <c r="BB69" s="159"/>
      <c r="BC69" s="121"/>
      <c r="BD69" s="159"/>
      <c r="BE69" s="121"/>
    </row>
    <row r="70" spans="1:57">
      <c r="A70" t="s">
        <v>407</v>
      </c>
      <c r="B70">
        <v>1</v>
      </c>
      <c r="C70" t="s">
        <v>472</v>
      </c>
      <c r="D70" t="s">
        <v>473</v>
      </c>
      <c r="E70" t="s">
        <v>426</v>
      </c>
      <c r="F70" t="s">
        <v>474</v>
      </c>
      <c r="G70">
        <v>0</v>
      </c>
      <c r="H70">
        <v>0</v>
      </c>
      <c r="I70" s="121">
        <v>0</v>
      </c>
      <c r="J70">
        <v>0</v>
      </c>
      <c r="K70" s="121">
        <v>0</v>
      </c>
      <c r="L70">
        <v>0</v>
      </c>
      <c r="M70" s="121"/>
      <c r="N70">
        <v>0</v>
      </c>
      <c r="O70" s="121"/>
      <c r="P70">
        <v>0</v>
      </c>
      <c r="Q70" s="121"/>
      <c r="R70">
        <v>0</v>
      </c>
      <c r="S70" s="121"/>
      <c r="T70">
        <v>0</v>
      </c>
      <c r="U70" s="121"/>
      <c r="V70">
        <v>0</v>
      </c>
      <c r="W70" s="121"/>
      <c r="Y70">
        <v>0</v>
      </c>
      <c r="Z70">
        <v>0</v>
      </c>
      <c r="AA70" s="121">
        <v>0</v>
      </c>
      <c r="AB70">
        <v>0</v>
      </c>
      <c r="AC70" s="121">
        <v>0</v>
      </c>
      <c r="AD70">
        <v>0</v>
      </c>
      <c r="AE70">
        <v>0</v>
      </c>
      <c r="AF70">
        <v>0</v>
      </c>
      <c r="AG70" s="121"/>
      <c r="AI70" s="121"/>
      <c r="AK70" s="121"/>
      <c r="AM70" s="121"/>
      <c r="AO70" s="121"/>
      <c r="AQ70" s="121"/>
      <c r="AS70" s="121"/>
      <c r="AU70" s="121"/>
      <c r="AW70" s="121"/>
      <c r="AY70" s="121"/>
      <c r="BA70" s="121"/>
      <c r="BC70" s="121"/>
      <c r="BE70" s="121"/>
    </row>
    <row r="71" spans="1:57">
      <c r="A71" t="s">
        <v>407</v>
      </c>
      <c r="B71">
        <v>1</v>
      </c>
      <c r="C71" t="s">
        <v>472</v>
      </c>
      <c r="D71" t="s">
        <v>473</v>
      </c>
      <c r="E71" t="s">
        <v>426</v>
      </c>
      <c r="F71" t="s">
        <v>433</v>
      </c>
      <c r="G71">
        <v>0</v>
      </c>
      <c r="H71">
        <v>0</v>
      </c>
      <c r="I71" s="121">
        <v>0</v>
      </c>
      <c r="J71">
        <v>0</v>
      </c>
      <c r="K71" s="121">
        <v>0</v>
      </c>
      <c r="L71">
        <v>0</v>
      </c>
      <c r="M71" s="121"/>
      <c r="N71">
        <v>0</v>
      </c>
      <c r="O71" s="121"/>
      <c r="P71">
        <v>0</v>
      </c>
      <c r="Q71" s="121"/>
      <c r="R71">
        <v>0</v>
      </c>
      <c r="S71" s="121"/>
      <c r="T71">
        <v>0</v>
      </c>
      <c r="U71" s="121"/>
      <c r="V71">
        <v>0</v>
      </c>
      <c r="W71" s="121"/>
      <c r="Y71">
        <v>0</v>
      </c>
      <c r="Z71">
        <v>0</v>
      </c>
      <c r="AA71" s="121">
        <v>0</v>
      </c>
      <c r="AB71">
        <v>0</v>
      </c>
      <c r="AC71" s="121">
        <v>0</v>
      </c>
      <c r="AD71">
        <v>0</v>
      </c>
      <c r="AE71">
        <v>0</v>
      </c>
      <c r="AF71">
        <v>0</v>
      </c>
      <c r="AG71" s="121"/>
      <c r="AI71" s="121"/>
      <c r="AK71" s="121"/>
      <c r="AM71" s="121"/>
      <c r="AO71" s="121"/>
      <c r="AQ71" s="121"/>
      <c r="AS71" s="121"/>
      <c r="AU71" s="121"/>
      <c r="AW71" s="121"/>
      <c r="AY71" s="121"/>
      <c r="BA71" s="121"/>
      <c r="BC71" s="121"/>
      <c r="BE71" s="121"/>
    </row>
    <row r="72" spans="1:57">
      <c r="A72" t="s">
        <v>407</v>
      </c>
      <c r="B72">
        <v>1</v>
      </c>
      <c r="C72" t="s">
        <v>472</v>
      </c>
      <c r="D72" t="s">
        <v>472</v>
      </c>
      <c r="E72" t="s">
        <v>426</v>
      </c>
      <c r="F72" t="s">
        <v>425</v>
      </c>
      <c r="G72" s="159">
        <v>473343.2</v>
      </c>
      <c r="H72" s="159">
        <v>589296.4</v>
      </c>
      <c r="I72" s="121">
        <v>-0.97970000000000002</v>
      </c>
      <c r="J72" s="159">
        <v>695684</v>
      </c>
      <c r="K72" s="121">
        <v>-0.97609999999999997</v>
      </c>
      <c r="L72" s="159">
        <v>1237687.5</v>
      </c>
      <c r="M72" s="121"/>
      <c r="N72" s="159">
        <v>1596894.6</v>
      </c>
      <c r="O72" s="121"/>
      <c r="P72" s="159">
        <v>1868809.8</v>
      </c>
      <c r="Q72" s="121"/>
      <c r="R72" s="159">
        <v>2270148.2999999998</v>
      </c>
      <c r="S72" s="121"/>
      <c r="T72" s="159">
        <v>2928912</v>
      </c>
      <c r="U72" s="121"/>
      <c r="V72" s="159">
        <v>4835565</v>
      </c>
      <c r="W72" s="121"/>
      <c r="Y72" s="159">
        <v>56112959.700000003</v>
      </c>
      <c r="Z72" s="159">
        <v>75656154</v>
      </c>
      <c r="AA72" s="121">
        <v>-0.49890000000000001</v>
      </c>
      <c r="AB72" s="159">
        <v>117632604</v>
      </c>
      <c r="AC72" s="121">
        <v>-0.22090000000000001</v>
      </c>
      <c r="AD72" s="159">
        <v>6606329.0999999996</v>
      </c>
      <c r="AE72" s="159">
        <v>8733509.4000000004</v>
      </c>
      <c r="AF72" s="159">
        <v>29646136.800000001</v>
      </c>
      <c r="AG72" s="121"/>
      <c r="AH72" s="159"/>
      <c r="AI72" s="121"/>
      <c r="AJ72" s="159"/>
      <c r="AK72" s="121"/>
      <c r="AL72" s="159"/>
      <c r="AM72" s="121"/>
      <c r="AN72" s="159"/>
      <c r="AO72" s="121"/>
      <c r="AP72" s="159"/>
      <c r="AQ72" s="121"/>
      <c r="AR72" s="159"/>
      <c r="AS72" s="121"/>
      <c r="AT72" s="159"/>
      <c r="AU72" s="121"/>
      <c r="AV72" s="159"/>
      <c r="AW72" s="121"/>
      <c r="AX72" s="159"/>
      <c r="AY72" s="121"/>
      <c r="AZ72" s="159"/>
      <c r="BA72" s="121"/>
      <c r="BB72" s="159"/>
      <c r="BC72" s="121"/>
      <c r="BD72" s="159"/>
      <c r="BE72" s="121"/>
    </row>
    <row r="73" spans="1:57">
      <c r="A73" t="s">
        <v>407</v>
      </c>
      <c r="B73">
        <v>1</v>
      </c>
      <c r="C73" t="s">
        <v>472</v>
      </c>
      <c r="D73" t="s">
        <v>472</v>
      </c>
      <c r="E73" t="s">
        <v>463</v>
      </c>
      <c r="F73" t="s">
        <v>457</v>
      </c>
      <c r="G73" s="159">
        <v>70573.570000000007</v>
      </c>
      <c r="H73" s="159">
        <v>87861.49</v>
      </c>
      <c r="I73" s="121">
        <v>-0.95750000000000002</v>
      </c>
      <c r="J73" s="159">
        <v>101466.23</v>
      </c>
      <c r="K73" s="121">
        <v>-0.95089999999999997</v>
      </c>
      <c r="L73" s="159">
        <v>143822.07999999999</v>
      </c>
      <c r="M73" s="121"/>
      <c r="N73" s="159">
        <v>185562.59</v>
      </c>
      <c r="O73" s="121"/>
      <c r="P73" s="159">
        <v>220428.35</v>
      </c>
      <c r="Q73" s="121"/>
      <c r="R73" s="159">
        <v>266473.03999999998</v>
      </c>
      <c r="S73" s="121"/>
      <c r="T73" s="159">
        <v>343800.06</v>
      </c>
      <c r="U73" s="121"/>
      <c r="V73" s="159">
        <v>420244.68</v>
      </c>
      <c r="W73" s="121"/>
      <c r="Y73" s="159">
        <v>7070691.2599999998</v>
      </c>
      <c r="Z73" s="159">
        <v>9533250.1899999995</v>
      </c>
      <c r="AA73" s="121">
        <v>-0.29549999999999998</v>
      </c>
      <c r="AB73" s="159">
        <v>11143246.449999999</v>
      </c>
      <c r="AC73" s="121">
        <v>-0.17649999999999999</v>
      </c>
      <c r="AD73" s="159">
        <v>831336.01</v>
      </c>
      <c r="AE73" s="159">
        <v>1099019.3500000001</v>
      </c>
      <c r="AF73" s="159">
        <v>1503914.69</v>
      </c>
      <c r="AG73" s="121"/>
      <c r="AH73" s="159"/>
      <c r="AI73" s="121"/>
      <c r="AJ73" s="159"/>
      <c r="AK73" s="121"/>
      <c r="AL73" s="159"/>
      <c r="AM73" s="121"/>
      <c r="AN73" s="159"/>
      <c r="AO73" s="121"/>
      <c r="AP73" s="159"/>
      <c r="AQ73" s="121"/>
      <c r="AR73" s="159"/>
      <c r="AS73" s="121"/>
      <c r="AT73" s="159"/>
      <c r="AU73" s="121"/>
      <c r="AV73" s="159"/>
      <c r="AW73" s="121"/>
      <c r="AX73" s="159"/>
      <c r="AY73" s="121"/>
      <c r="AZ73" s="159"/>
      <c r="BA73" s="121"/>
      <c r="BB73" s="159"/>
      <c r="BC73" s="121"/>
      <c r="BD73" s="159"/>
      <c r="BE73" s="121"/>
    </row>
    <row r="74" spans="1:57">
      <c r="A74" t="s">
        <v>407</v>
      </c>
      <c r="B74">
        <v>1</v>
      </c>
      <c r="C74" t="s">
        <v>472</v>
      </c>
      <c r="D74" t="s">
        <v>472</v>
      </c>
      <c r="E74" t="s">
        <v>434</v>
      </c>
      <c r="F74" t="s">
        <v>462</v>
      </c>
      <c r="G74" s="159">
        <v>5636041.8399999999</v>
      </c>
      <c r="H74" s="159">
        <v>7016576.0199999996</v>
      </c>
      <c r="I74" s="121">
        <v>-0.96809999999999996</v>
      </c>
      <c r="J74" s="159">
        <v>6890920.04</v>
      </c>
      <c r="K74" s="121">
        <v>-0.96870000000000001</v>
      </c>
      <c r="L74" s="159">
        <v>10447421.07</v>
      </c>
      <c r="M74" s="121"/>
      <c r="N74" s="159">
        <v>13479447.060000001</v>
      </c>
      <c r="O74" s="121"/>
      <c r="P74" s="159">
        <v>13527257.77</v>
      </c>
      <c r="Q74" s="121"/>
      <c r="R74" s="159">
        <v>19548502.489999998</v>
      </c>
      <c r="S74" s="121"/>
      <c r="T74" s="159">
        <v>25221367.460000001</v>
      </c>
      <c r="U74" s="121"/>
      <c r="V74" s="159">
        <v>26357837.239999998</v>
      </c>
      <c r="W74" s="121"/>
      <c r="Y74" s="159">
        <v>536619333.05000001</v>
      </c>
      <c r="Z74" s="159">
        <v>723495563.37</v>
      </c>
      <c r="AA74" s="121">
        <v>-0.54610000000000003</v>
      </c>
      <c r="AB74" s="159">
        <v>614316411.20000005</v>
      </c>
      <c r="AC74" s="121">
        <v>-0.61460000000000004</v>
      </c>
      <c r="AD74" s="159">
        <v>61684983.32</v>
      </c>
      <c r="AE74" s="159">
        <v>81547163.939999998</v>
      </c>
      <c r="AF74" s="159">
        <v>88659574.400000006</v>
      </c>
      <c r="AG74" s="121"/>
      <c r="AH74" s="159"/>
      <c r="AI74" s="121"/>
      <c r="AJ74" s="159"/>
      <c r="AK74" s="121"/>
      <c r="AL74" s="159"/>
      <c r="AM74" s="121"/>
      <c r="AN74" s="159"/>
      <c r="AO74" s="121"/>
      <c r="AP74" s="159"/>
      <c r="AQ74" s="121"/>
      <c r="AR74" s="159"/>
      <c r="AS74" s="121"/>
      <c r="AT74" s="159"/>
      <c r="AU74" s="121"/>
      <c r="AV74" s="159"/>
      <c r="AW74" s="121"/>
      <c r="AX74" s="159"/>
      <c r="AY74" s="121"/>
      <c r="AZ74" s="159"/>
      <c r="BA74" s="121"/>
      <c r="BB74" s="159"/>
      <c r="BC74" s="121"/>
      <c r="BD74" s="159"/>
      <c r="BE74" s="121"/>
    </row>
    <row r="75" spans="1:57">
      <c r="A75" t="s">
        <v>407</v>
      </c>
      <c r="B75">
        <v>1</v>
      </c>
      <c r="C75" t="s">
        <v>472</v>
      </c>
      <c r="D75" t="s">
        <v>472</v>
      </c>
      <c r="E75" t="s">
        <v>434</v>
      </c>
      <c r="F75" t="s">
        <v>433</v>
      </c>
      <c r="G75" s="159">
        <v>3736567.09</v>
      </c>
      <c r="H75" s="159">
        <v>4651829.78</v>
      </c>
      <c r="I75" s="121">
        <v>-0.96830000000000005</v>
      </c>
      <c r="J75" s="159">
        <v>4583201.91</v>
      </c>
      <c r="K75" s="121">
        <v>-0.96870000000000001</v>
      </c>
      <c r="L75" s="159">
        <v>7130814.1500000004</v>
      </c>
      <c r="M75" s="121"/>
      <c r="N75" s="159">
        <v>9200303.3000000007</v>
      </c>
      <c r="O75" s="121"/>
      <c r="P75" s="159">
        <v>9312384.4199999999</v>
      </c>
      <c r="Q75" s="121"/>
      <c r="R75" s="159">
        <v>13331334.16</v>
      </c>
      <c r="S75" s="121"/>
      <c r="T75" s="159">
        <v>17200009.5</v>
      </c>
      <c r="U75" s="121"/>
      <c r="V75" s="159">
        <v>18195269.84</v>
      </c>
      <c r="W75" s="121"/>
      <c r="Y75" s="159">
        <v>367815855.05000001</v>
      </c>
      <c r="Z75" s="159">
        <v>495906952.12</v>
      </c>
      <c r="AA75" s="121">
        <v>-0.54959999999999998</v>
      </c>
      <c r="AB75" s="159">
        <v>432337895.62</v>
      </c>
      <c r="AC75" s="121">
        <v>-0.60729999999999995</v>
      </c>
      <c r="AD75" s="159">
        <v>48304885</v>
      </c>
      <c r="AE75" s="159">
        <v>63858754.32</v>
      </c>
      <c r="AF75" s="159">
        <v>69882679.219999999</v>
      </c>
      <c r="AG75" s="121"/>
      <c r="AH75" s="159"/>
      <c r="AI75" s="121"/>
      <c r="AJ75" s="159"/>
      <c r="AK75" s="121"/>
      <c r="AL75" s="159"/>
      <c r="AM75" s="121"/>
      <c r="AN75" s="159"/>
      <c r="AO75" s="121"/>
      <c r="AP75" s="159"/>
      <c r="AQ75" s="121"/>
      <c r="AR75" s="159"/>
      <c r="AS75" s="121"/>
      <c r="AT75" s="159"/>
      <c r="AU75" s="121"/>
      <c r="AV75" s="159"/>
      <c r="AW75" s="121"/>
      <c r="AX75" s="159"/>
      <c r="AY75" s="121"/>
      <c r="AZ75" s="159"/>
      <c r="BA75" s="121"/>
      <c r="BB75" s="159"/>
      <c r="BC75" s="121"/>
      <c r="BD75" s="159"/>
      <c r="BE75" s="121"/>
    </row>
    <row r="77" spans="1:57">
      <c r="N77" s="159"/>
    </row>
    <row r="78" spans="1:57">
      <c r="N78" s="159"/>
    </row>
    <row r="79" spans="1:57">
      <c r="N79" s="159"/>
    </row>
    <row r="80" spans="1:57">
      <c r="N80" s="159"/>
    </row>
    <row r="81" spans="14:14">
      <c r="N81" s="159"/>
    </row>
    <row r="84" spans="14:14">
      <c r="N84" s="159"/>
    </row>
    <row r="85" spans="14:14">
      <c r="N85" s="159"/>
    </row>
    <row r="86" spans="14:14">
      <c r="N86" s="159"/>
    </row>
    <row r="87" spans="14:14">
      <c r="N87" s="159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67E8-9CDD-4DD7-8850-5868284EEB3B}">
  <dimension ref="A1:BM75"/>
  <sheetViews>
    <sheetView workbookViewId="0">
      <pane xSplit="7" ySplit="1" topLeftCell="X2" activePane="bottomRight" state="frozen"/>
      <selection pane="bottomRight" activeCell="X45" sqref="X45:Z51"/>
      <selection pane="bottomLeft" activeCell="A2" sqref="A2"/>
      <selection pane="topRight" activeCell="H1" sqref="H1"/>
    </sheetView>
  </sheetViews>
  <sheetFormatPr defaultColWidth="8.85546875" defaultRowHeight="14.45"/>
  <cols>
    <col min="5" max="5" width="1.7109375" customWidth="1"/>
    <col min="6" max="6" width="31.42578125" customWidth="1"/>
    <col min="7" max="7" width="15" bestFit="1" customWidth="1"/>
    <col min="8" max="10" width="16.140625" bestFit="1" customWidth="1"/>
    <col min="11" max="11" width="9.7109375" bestFit="1" customWidth="1"/>
    <col min="12" max="12" width="18.5703125" customWidth="1"/>
    <col min="13" max="14" width="16.140625" bestFit="1" customWidth="1"/>
    <col min="15" max="15" width="9" bestFit="1" customWidth="1"/>
    <col min="16" max="16" width="18.85546875" customWidth="1"/>
    <col min="17" max="18" width="16.140625" bestFit="1" customWidth="1"/>
    <col min="19" max="19" width="9" bestFit="1" customWidth="1"/>
    <col min="20" max="22" width="14.7109375" bestFit="1" customWidth="1"/>
    <col min="23" max="23" width="9" bestFit="1" customWidth="1"/>
    <col min="24" max="26" width="14.7109375" bestFit="1" customWidth="1"/>
    <col min="27" max="27" width="9" bestFit="1" customWidth="1"/>
    <col min="28" max="30" width="14.7109375" bestFit="1" customWidth="1"/>
    <col min="31" max="31" width="9" bestFit="1" customWidth="1"/>
    <col min="32" max="34" width="14.7109375" bestFit="1" customWidth="1"/>
    <col min="35" max="35" width="9" bestFit="1" customWidth="1"/>
    <col min="36" max="36" width="14.7109375" bestFit="1" customWidth="1"/>
    <col min="37" max="38" width="16.140625" bestFit="1" customWidth="1"/>
    <col min="39" max="39" width="9" bestFit="1" customWidth="1"/>
    <col min="40" max="42" width="14.7109375" bestFit="1" customWidth="1"/>
    <col min="43" max="43" width="9" bestFit="1" customWidth="1"/>
    <col min="45" max="45" width="3.28515625" customWidth="1"/>
    <col min="46" max="48" width="16.28515625" bestFit="1" customWidth="1"/>
    <col min="49" max="49" width="9.5703125" customWidth="1"/>
    <col min="50" max="50" width="4.85546875" customWidth="1"/>
    <col min="51" max="51" width="17" bestFit="1" customWidth="1"/>
    <col min="52" max="53" width="17" customWidth="1"/>
    <col min="54" max="54" width="8.7109375" customWidth="1"/>
    <col min="55" max="55" width="5.28515625" customWidth="1"/>
    <col min="56" max="56" width="19.140625" customWidth="1"/>
    <col min="57" max="57" width="16.28515625" bestFit="1" customWidth="1"/>
    <col min="58" max="58" width="16.5703125" bestFit="1" customWidth="1"/>
    <col min="61" max="61" width="3.7109375" customWidth="1"/>
    <col min="62" max="62" width="16.85546875" bestFit="1" customWidth="1"/>
    <col min="63" max="63" width="16.7109375" bestFit="1" customWidth="1"/>
    <col min="64" max="64" width="18.42578125" bestFit="1" customWidth="1"/>
  </cols>
  <sheetData>
    <row r="1" spans="1:65" s="158" customFormat="1">
      <c r="A1" s="158" t="s">
        <v>381</v>
      </c>
      <c r="B1" s="158" t="s">
        <v>382</v>
      </c>
      <c r="C1" s="158" t="s">
        <v>383</v>
      </c>
      <c r="D1" s="158" t="s">
        <v>384</v>
      </c>
      <c r="E1" s="158" t="s">
        <v>385</v>
      </c>
      <c r="F1" s="158" t="s">
        <v>386</v>
      </c>
      <c r="G1" s="158" t="s">
        <v>394</v>
      </c>
      <c r="H1" s="220" t="str">
        <f>'Raw Results 2024'!G1</f>
        <v>B1LG Baseline</v>
      </c>
      <c r="I1" s="220" t="str">
        <f>'Raw Results 2024'!H1</f>
        <v>B1LG WOP</v>
      </c>
      <c r="J1" s="220" t="str">
        <f>'Raw Results 2024'!J1</f>
        <v>B1LG WP</v>
      </c>
      <c r="K1" s="220" t="str">
        <f>'Raw Results 2024'!K1</f>
        <v>delta</v>
      </c>
      <c r="L1" s="226" t="str">
        <f>'Raw Results 2024'!L1</f>
        <v>B1MR local Baseline</v>
      </c>
      <c r="M1" s="226" t="str">
        <f>'Raw Results 2024'!N1</f>
        <v>B1MR local WOP</v>
      </c>
      <c r="N1" s="226" t="str">
        <f>'Raw Results 2024'!P1</f>
        <v>B1MR local WP</v>
      </c>
      <c r="O1" s="158">
        <f>'Raw Results 2024'!Q1</f>
        <v>0</v>
      </c>
      <c r="P1" s="232" t="str">
        <f>'Raw Results 2024'!R1</f>
        <v>B1MR cross Baseline</v>
      </c>
      <c r="Q1" s="232" t="str">
        <f>'Raw Results 2024'!T1</f>
        <v>B1MR cross WOP</v>
      </c>
      <c r="R1" s="232" t="str">
        <f>'Raw Results 2024'!V1</f>
        <v>B1MR cross WP</v>
      </c>
      <c r="S1" s="232">
        <f>'Raw Results 2024'!W1</f>
        <v>0</v>
      </c>
      <c r="T1" s="220" t="str">
        <f>'Raw Results 2024'!Y1</f>
        <v>B2OM  Baseline</v>
      </c>
      <c r="U1" s="220" t="str">
        <f>'Raw Results 2024'!Z1</f>
        <v>B2OM WOP</v>
      </c>
      <c r="V1" s="220" t="str">
        <f>'Raw Results 2024'!AB1</f>
        <v>B2OM WP</v>
      </c>
      <c r="W1" s="220">
        <f>'Raw Results 2024'!AC1</f>
        <v>0</v>
      </c>
      <c r="X1" s="242" t="str">
        <f>'Raw Results 2024'!AD1</f>
        <v>B1OM  Baseline</v>
      </c>
      <c r="Y1" s="242" t="str">
        <f>'Raw Results 2024'!AE1</f>
        <v>B1OM WOP</v>
      </c>
      <c r="Z1" s="242" t="str">
        <f>'Raw Results 2024'!AF1</f>
        <v>B1OM WP</v>
      </c>
      <c r="AA1" s="158">
        <f>'Raw Results 2024'!AG1</f>
        <v>0</v>
      </c>
      <c r="AB1" s="158">
        <f>'Raw Results 2024'!AH1</f>
        <v>0</v>
      </c>
      <c r="AC1" s="158">
        <f>'Raw Results 2024'!AJ1</f>
        <v>0</v>
      </c>
      <c r="AD1" s="158">
        <f>'Raw Results 2024'!AL1</f>
        <v>0</v>
      </c>
      <c r="AE1" s="158">
        <f>'Raw Results 2024'!AM1</f>
        <v>0</v>
      </c>
      <c r="AF1" s="158">
        <f>'Raw Results 2024'!AN1</f>
        <v>0</v>
      </c>
      <c r="AG1" s="158">
        <f>'Raw Results 2024'!AP1</f>
        <v>0</v>
      </c>
      <c r="AH1" s="158">
        <f>'Raw Results 2024'!AR1</f>
        <v>0</v>
      </c>
      <c r="AI1" s="158">
        <f>'Raw Results 2024'!AS1</f>
        <v>0</v>
      </c>
      <c r="AJ1" s="158">
        <f>'Raw Results 2024'!AT1</f>
        <v>0</v>
      </c>
      <c r="AK1" s="158">
        <f>'Raw Results 2024'!AV1</f>
        <v>0</v>
      </c>
      <c r="AL1" s="158">
        <f>'Raw Results 2024'!AX1</f>
        <v>0</v>
      </c>
      <c r="AM1" s="158">
        <f>'Raw Results 2024'!AY1</f>
        <v>0</v>
      </c>
      <c r="AN1" s="158">
        <f>'Raw Results 2024'!AZ1</f>
        <v>0</v>
      </c>
      <c r="AO1" s="158">
        <f>'Raw Results 2024'!BB1</f>
        <v>0</v>
      </c>
      <c r="AP1" s="158">
        <f>'Raw Results 2024'!BD1</f>
        <v>0</v>
      </c>
      <c r="AQ1" s="158">
        <f>'Raw Results 2024'!BE1</f>
        <v>0</v>
      </c>
      <c r="AT1" s="158" t="s">
        <v>711</v>
      </c>
      <c r="AU1" s="158" t="s">
        <v>712</v>
      </c>
      <c r="AV1" s="158" t="s">
        <v>713</v>
      </c>
      <c r="AW1" s="158" t="s">
        <v>389</v>
      </c>
      <c r="AY1" s="158" t="s">
        <v>714</v>
      </c>
      <c r="AZ1" s="158" t="s">
        <v>715</v>
      </c>
      <c r="BA1" s="158" t="s">
        <v>716</v>
      </c>
      <c r="BB1" s="158" t="s">
        <v>389</v>
      </c>
      <c r="BD1" s="158" t="s">
        <v>717</v>
      </c>
      <c r="BE1" s="158" t="s">
        <v>718</v>
      </c>
      <c r="BF1" s="158" t="s">
        <v>719</v>
      </c>
      <c r="BG1" s="158" t="s">
        <v>389</v>
      </c>
      <c r="BJ1" s="158" t="s">
        <v>720</v>
      </c>
      <c r="BK1" s="158" t="s">
        <v>721</v>
      </c>
      <c r="BL1" s="158" t="s">
        <v>722</v>
      </c>
      <c r="BM1" s="158" t="s">
        <v>389</v>
      </c>
    </row>
    <row r="2" spans="1:65">
      <c r="A2" t="s">
        <v>407</v>
      </c>
      <c r="B2">
        <v>0</v>
      </c>
      <c r="C2" t="s">
        <v>408</v>
      </c>
      <c r="D2" t="s">
        <v>408</v>
      </c>
      <c r="F2" t="s">
        <v>409</v>
      </c>
      <c r="G2" t="s">
        <v>410</v>
      </c>
      <c r="H2" s="143">
        <f>'Raw Results 2024'!G2</f>
        <v>44204994.539999999</v>
      </c>
      <c r="I2" s="143">
        <f>'Raw Results 2024'!H2</f>
        <v>44234838.200000003</v>
      </c>
      <c r="J2" s="143">
        <f>'Raw Results 2024'!J2</f>
        <v>44231640.82</v>
      </c>
      <c r="K2" s="155">
        <f>(J2-I2)/I2</f>
        <v>-7.2281941793169758E-5</v>
      </c>
      <c r="L2" s="143">
        <f>'Raw Results 2024'!L2</f>
        <v>15224269.02</v>
      </c>
      <c r="M2" s="143">
        <f>'Raw Results 2024'!N2</f>
        <v>15289621.529999999</v>
      </c>
      <c r="N2" s="143">
        <f>'Raw Results 2024'!P2</f>
        <v>15291349.98</v>
      </c>
      <c r="O2" s="155">
        <f>(N2-M2)/M2</f>
        <v>1.1304727174637381E-4</v>
      </c>
      <c r="P2" s="143">
        <f>'Raw Results 2024'!R2</f>
        <v>15422463.060000001</v>
      </c>
      <c r="Q2" s="143">
        <f>'Raw Results 2024'!T2</f>
        <v>15545325.16</v>
      </c>
      <c r="R2" s="143">
        <f>'Raw Results 2024'!V2</f>
        <v>15569115.91</v>
      </c>
      <c r="S2" s="155">
        <f>(R2-Q2)/Q2</f>
        <v>1.5304118604875809E-3</v>
      </c>
      <c r="T2" s="143">
        <f>'Raw Results 2024'!Y2</f>
        <v>26280860.989999998</v>
      </c>
      <c r="U2" s="143">
        <f>'Raw Results 2024'!Z2</f>
        <v>30209712.66</v>
      </c>
      <c r="V2" s="143">
        <f>'Raw Results 2024'!AB2</f>
        <v>28031901.050000001</v>
      </c>
      <c r="W2" s="155">
        <f>(V2-U2)/U2</f>
        <v>-7.2089782332937932E-2</v>
      </c>
      <c r="X2" s="143">
        <f>'Raw Results 2024'!AD2</f>
        <v>16301149.83</v>
      </c>
      <c r="Y2" s="143">
        <f>'Raw Results 2024'!AE2</f>
        <v>16720406.82</v>
      </c>
      <c r="Z2" s="143">
        <f>'Raw Results 2024'!AF2</f>
        <v>16879342.739999998</v>
      </c>
      <c r="AA2" s="155">
        <f>(Z2-Y2)/Y2</f>
        <v>9.5055055604202129E-3</v>
      </c>
      <c r="AB2" s="143">
        <f>'Raw Results 2024'!AH2</f>
        <v>0</v>
      </c>
      <c r="AC2" s="143">
        <f>'Raw Results 2024'!AJ2</f>
        <v>0</v>
      </c>
      <c r="AD2" s="143">
        <f>'Raw Results 2024'!AL2</f>
        <v>0</v>
      </c>
      <c r="AE2" s="155" t="e">
        <f>(AD2-AC2)/AC2</f>
        <v>#DIV/0!</v>
      </c>
      <c r="AF2" s="143">
        <f>'Raw Results 2024'!AN2</f>
        <v>0</v>
      </c>
      <c r="AG2" s="143">
        <f>'Raw Results 2024'!AP2</f>
        <v>0</v>
      </c>
      <c r="AH2" s="143">
        <f>'Raw Results 2024'!AR2</f>
        <v>0</v>
      </c>
      <c r="AI2" s="155" t="e">
        <f>(AH2-AG2)/AG2</f>
        <v>#DIV/0!</v>
      </c>
      <c r="AJ2" s="143">
        <f>'Raw Results 2024'!AT2</f>
        <v>0</v>
      </c>
      <c r="AK2" s="143">
        <f>'Raw Results 2024'!AV2</f>
        <v>0</v>
      </c>
      <c r="AL2" s="143">
        <f>'Raw Results 2024'!AX2</f>
        <v>0</v>
      </c>
      <c r="AM2" s="155" t="e">
        <f>(AL2-AK2)/AK2</f>
        <v>#DIV/0!</v>
      </c>
      <c r="AN2" s="143">
        <f>'Raw Results 2024'!AZ2</f>
        <v>0</v>
      </c>
      <c r="AO2" s="143">
        <f>'Raw Results 2024'!BB2</f>
        <v>0</v>
      </c>
      <c r="AP2" s="143">
        <f>'Raw Results 2024'!BD2</f>
        <v>0</v>
      </c>
      <c r="AQ2" s="155" t="e">
        <f>(AP2-AO2)/AO2</f>
        <v>#DIV/0!</v>
      </c>
      <c r="AT2" s="152">
        <f t="shared" ref="AT2:AT33" si="0">H2+T2+AF2</f>
        <v>70485855.530000001</v>
      </c>
      <c r="AU2" s="152">
        <f t="shared" ref="AU2:AU33" si="1">I2+U2+AG2</f>
        <v>74444550.859999999</v>
      </c>
      <c r="AV2" s="152">
        <f t="shared" ref="AV2:AV33" si="2">J2+V2+AH2</f>
        <v>72263541.870000005</v>
      </c>
      <c r="AW2" s="155">
        <f>(AV2-AU2)/AU2</f>
        <v>-2.9297093807464671E-2</v>
      </c>
      <c r="AX2" s="152"/>
      <c r="AY2" s="152">
        <f t="shared" ref="AY2:AY33" si="3">L2+X2+AJ2</f>
        <v>31525418.850000001</v>
      </c>
      <c r="AZ2" s="152">
        <f t="shared" ref="AZ2:AZ33" si="4">M2+Y2+AK2</f>
        <v>32010028.350000001</v>
      </c>
      <c r="BA2" s="152">
        <f t="shared" ref="BA2:BA33" si="5">N2+Z2+AL2</f>
        <v>32170692.719999999</v>
      </c>
      <c r="BB2" s="155">
        <f>(BA2-AZ2)/AZ2</f>
        <v>5.0191886193689458E-3</v>
      </c>
      <c r="BD2" s="152">
        <f t="shared" ref="BD2:BD33" si="6">P2+AB2+AN2</f>
        <v>15422463.060000001</v>
      </c>
      <c r="BE2" s="152">
        <f t="shared" ref="BE2:BE33" si="7">Q2+AC2+AO2</f>
        <v>15545325.16</v>
      </c>
      <c r="BF2" s="152">
        <f t="shared" ref="BF2:BF33" si="8">R2+AD2+AP2</f>
        <v>15569115.91</v>
      </c>
      <c r="BG2" s="155">
        <f>(BF2-BE2)/BE2</f>
        <v>1.5304118604875809E-3</v>
      </c>
      <c r="BJ2" s="152">
        <f t="shared" ref="BJ2:BJ33" si="9">AT2+AY2+BD2</f>
        <v>117433737.44</v>
      </c>
      <c r="BK2" s="152">
        <f t="shared" ref="BK2:BK33" si="10">AU2+AZ2+BE2</f>
        <v>121999904.37</v>
      </c>
      <c r="BL2" s="152">
        <f t="shared" ref="BL2:BL33" si="11">AV2+BA2+BF2</f>
        <v>120003350.5</v>
      </c>
      <c r="BM2" s="155">
        <f>(BL2-BK2)/BK2</f>
        <v>-1.6365208483646657E-2</v>
      </c>
    </row>
    <row r="3" spans="1:65">
      <c r="A3" t="s">
        <v>407</v>
      </c>
      <c r="B3">
        <v>0</v>
      </c>
      <c r="C3" t="s">
        <v>408</v>
      </c>
      <c r="D3" t="s">
        <v>408</v>
      </c>
      <c r="F3" t="s">
        <v>411</v>
      </c>
      <c r="G3" t="s">
        <v>410</v>
      </c>
      <c r="H3" s="143">
        <f>'Raw Results 2024'!G3</f>
        <v>2522297.4700000002</v>
      </c>
      <c r="I3" s="143">
        <f>'Raw Results 2024'!H3</f>
        <v>2524030.96</v>
      </c>
      <c r="J3" s="143">
        <f>'Raw Results 2024'!J3</f>
        <v>2523678.8199999998</v>
      </c>
      <c r="K3" s="155">
        <f t="shared" ref="K3:K66" si="12">(J3-I3)/I3</f>
        <v>-1.3951492892944959E-4</v>
      </c>
      <c r="L3" s="143">
        <f>'Raw Results 2024'!L3</f>
        <v>766349.79</v>
      </c>
      <c r="M3" s="143">
        <f>'Raw Results 2024'!N3</f>
        <v>770342.39</v>
      </c>
      <c r="N3" s="143">
        <f>'Raw Results 2024'!P3</f>
        <v>770347.87</v>
      </c>
      <c r="O3" s="155">
        <f t="shared" ref="O3:O66" si="13">(N3-M3)/M3</f>
        <v>7.1137199135326998E-6</v>
      </c>
      <c r="P3" s="143">
        <f>'Raw Results 2024'!R3</f>
        <v>778892</v>
      </c>
      <c r="Q3" s="143">
        <f>'Raw Results 2024'!T3</f>
        <v>786523.98</v>
      </c>
      <c r="R3" s="143">
        <f>'Raw Results 2024'!V3</f>
        <v>787203.89</v>
      </c>
      <c r="S3" s="155">
        <f t="shared" ref="S3:S66" si="14">(R3-Q3)/Q3</f>
        <v>8.6444916784359535E-4</v>
      </c>
      <c r="T3" s="143">
        <f>'Raw Results 2024'!Y3</f>
        <v>1500141.58</v>
      </c>
      <c r="U3" s="143">
        <f>'Raw Results 2024'!Z3</f>
        <v>1760472.4</v>
      </c>
      <c r="V3" s="143">
        <f>'Raw Results 2024'!AB3</f>
        <v>1507079.35</v>
      </c>
      <c r="W3" s="155">
        <f t="shared" ref="W3:W66" si="15">(V3-U3)/U3</f>
        <v>-0.14393469048421312</v>
      </c>
      <c r="X3" s="143">
        <f>'Raw Results 2024'!AD3</f>
        <v>1062072.46</v>
      </c>
      <c r="Y3" s="143">
        <f>'Raw Results 2024'!AE3</f>
        <v>1161723.07</v>
      </c>
      <c r="Z3" s="143">
        <f>'Raw Results 2024'!AF3</f>
        <v>1156321.1000000001</v>
      </c>
      <c r="AA3" s="155">
        <f t="shared" ref="AA3:AA66" si="16">(Z3-Y3)/Y3</f>
        <v>-4.6499636096578268E-3</v>
      </c>
      <c r="AB3" s="143">
        <f>'Raw Results 2024'!AH3</f>
        <v>0</v>
      </c>
      <c r="AC3" s="143">
        <f>'Raw Results 2024'!AJ3</f>
        <v>0</v>
      </c>
      <c r="AD3" s="143">
        <f>'Raw Results 2024'!AL3</f>
        <v>0</v>
      </c>
      <c r="AE3" s="155" t="e">
        <f t="shared" ref="AE3:AE66" si="17">(AD3-AC3)/AC3</f>
        <v>#DIV/0!</v>
      </c>
      <c r="AF3" s="143">
        <f>'Raw Results 2024'!AN3</f>
        <v>0</v>
      </c>
      <c r="AG3" s="143">
        <f>'Raw Results 2024'!AP3</f>
        <v>0</v>
      </c>
      <c r="AH3" s="143">
        <f>'Raw Results 2024'!AR3</f>
        <v>0</v>
      </c>
      <c r="AI3" s="155" t="e">
        <f t="shared" ref="AI3:AI66" si="18">(AH3-AG3)/AG3</f>
        <v>#DIV/0!</v>
      </c>
      <c r="AJ3" s="143">
        <f>'Raw Results 2024'!AT3</f>
        <v>0</v>
      </c>
      <c r="AK3" s="143">
        <f>'Raw Results 2024'!AV3</f>
        <v>0</v>
      </c>
      <c r="AL3" s="143">
        <f>'Raw Results 2024'!AX3</f>
        <v>0</v>
      </c>
      <c r="AM3" s="155" t="e">
        <f t="shared" ref="AM3:AM66" si="19">(AL3-AK3)/AK3</f>
        <v>#DIV/0!</v>
      </c>
      <c r="AN3" s="143">
        <f>'Raw Results 2024'!AZ3</f>
        <v>0</v>
      </c>
      <c r="AO3" s="143">
        <f>'Raw Results 2024'!BB3</f>
        <v>0</v>
      </c>
      <c r="AP3" s="143">
        <f>'Raw Results 2024'!BD3</f>
        <v>0</v>
      </c>
      <c r="AQ3" s="155" t="e">
        <f t="shared" ref="AQ3:AQ66" si="20">(AP3-AO3)/AO3</f>
        <v>#DIV/0!</v>
      </c>
      <c r="AT3" s="152">
        <f t="shared" si="0"/>
        <v>4022439.0500000003</v>
      </c>
      <c r="AU3" s="152">
        <f t="shared" si="1"/>
        <v>4284503.3599999994</v>
      </c>
      <c r="AV3" s="152">
        <f t="shared" si="2"/>
        <v>4030758.17</v>
      </c>
      <c r="AW3" s="155">
        <f t="shared" ref="AW3:AW66" si="21">(AV3-AU3)/AU3</f>
        <v>-5.9223944686088312E-2</v>
      </c>
      <c r="AY3" s="152">
        <f t="shared" si="3"/>
        <v>1828422.25</v>
      </c>
      <c r="AZ3" s="152">
        <f t="shared" si="4"/>
        <v>1932065.46</v>
      </c>
      <c r="BA3" s="152">
        <f t="shared" si="5"/>
        <v>1926668.9700000002</v>
      </c>
      <c r="BB3" s="155">
        <f t="shared" ref="BB3:BB66" si="22">(BA3-AZ3)/AZ3</f>
        <v>-2.793119649268901E-3</v>
      </c>
      <c r="BD3" s="152">
        <f t="shared" si="6"/>
        <v>778892</v>
      </c>
      <c r="BE3" s="152">
        <f t="shared" si="7"/>
        <v>786523.98</v>
      </c>
      <c r="BF3" s="152">
        <f t="shared" si="8"/>
        <v>787203.89</v>
      </c>
      <c r="BG3" s="155">
        <f t="shared" ref="BG3:BG66" si="23">(BF3-BE3)/BE3</f>
        <v>8.6444916784359535E-4</v>
      </c>
      <c r="BJ3" s="152">
        <f t="shared" si="9"/>
        <v>6629753.3000000007</v>
      </c>
      <c r="BK3" s="152">
        <f t="shared" si="10"/>
        <v>7003092.7999999989</v>
      </c>
      <c r="BL3" s="152">
        <f t="shared" si="11"/>
        <v>6744631.0300000003</v>
      </c>
      <c r="BM3" s="155">
        <f t="shared" ref="BM3:BM66" si="24">(BL3-BK3)/BK3</f>
        <v>-3.6906803519724696E-2</v>
      </c>
    </row>
    <row r="4" spans="1:65">
      <c r="A4" t="s">
        <v>407</v>
      </c>
      <c r="B4">
        <v>0</v>
      </c>
      <c r="C4" t="s">
        <v>408</v>
      </c>
      <c r="D4" t="s">
        <v>408</v>
      </c>
      <c r="F4" t="s">
        <v>412</v>
      </c>
      <c r="G4" t="s">
        <v>413</v>
      </c>
      <c r="H4" s="143">
        <f>'Raw Results 2024'!G4</f>
        <v>1176.02</v>
      </c>
      <c r="I4" s="143">
        <f>'Raw Results 2024'!H4</f>
        <v>1176.08</v>
      </c>
      <c r="J4" s="143">
        <f>'Raw Results 2024'!J4</f>
        <v>1176.32</v>
      </c>
      <c r="K4" s="155">
        <f t="shared" si="12"/>
        <v>2.0406775049317148E-4</v>
      </c>
      <c r="L4" s="143">
        <f>'Raw Results 2024'!L4</f>
        <v>1031.7</v>
      </c>
      <c r="M4" s="143">
        <f>'Raw Results 2024'!N4</f>
        <v>1032.3900000000001</v>
      </c>
      <c r="N4" s="143">
        <f>'Raw Results 2024'!P4</f>
        <v>1034.08</v>
      </c>
      <c r="O4" s="155">
        <f t="shared" si="13"/>
        <v>1.6369782737142232E-3</v>
      </c>
      <c r="P4" s="143">
        <f>'Raw Results 2024'!R4</f>
        <v>1034.8800000000001</v>
      </c>
      <c r="Q4" s="143">
        <f>'Raw Results 2024'!T4</f>
        <v>1036.46</v>
      </c>
      <c r="R4" s="143">
        <f>'Raw Results 2024'!V4</f>
        <v>1040.49</v>
      </c>
      <c r="S4" s="155">
        <f t="shared" si="14"/>
        <v>3.8882349535920078E-3</v>
      </c>
      <c r="T4" s="143">
        <f>'Raw Results 2024'!Y4</f>
        <v>1160.1500000000001</v>
      </c>
      <c r="U4" s="143">
        <f>'Raw Results 2024'!Z4</f>
        <v>1185.5999999999999</v>
      </c>
      <c r="V4" s="143">
        <f>'Raw Results 2024'!AB4</f>
        <v>1163.2</v>
      </c>
      <c r="W4" s="155">
        <f t="shared" si="15"/>
        <v>-1.8893387314439833E-2</v>
      </c>
      <c r="X4" s="143">
        <f>'Raw Results 2024'!AD4</f>
        <v>1062.8499999999999</v>
      </c>
      <c r="Y4" s="143">
        <f>'Raw Results 2024'!AE4</f>
        <v>1072.76</v>
      </c>
      <c r="Z4" s="143">
        <f>'Raw Results 2024'!AF4</f>
        <v>1090.3</v>
      </c>
      <c r="AA4" s="155">
        <f t="shared" si="16"/>
        <v>1.6350348633431488E-2</v>
      </c>
      <c r="AB4" s="143">
        <f>'Raw Results 2024'!AH4</f>
        <v>0</v>
      </c>
      <c r="AC4" s="143">
        <f>'Raw Results 2024'!AJ4</f>
        <v>0</v>
      </c>
      <c r="AD4" s="143">
        <f>'Raw Results 2024'!AL4</f>
        <v>0</v>
      </c>
      <c r="AE4" s="155" t="e">
        <f t="shared" si="17"/>
        <v>#DIV/0!</v>
      </c>
      <c r="AF4" s="143">
        <f>'Raw Results 2024'!AN4</f>
        <v>0</v>
      </c>
      <c r="AG4" s="143">
        <f>'Raw Results 2024'!AP4</f>
        <v>0</v>
      </c>
      <c r="AH4" s="143">
        <f>'Raw Results 2024'!AR4</f>
        <v>0</v>
      </c>
      <c r="AI4" s="155" t="e">
        <f t="shared" si="18"/>
        <v>#DIV/0!</v>
      </c>
      <c r="AJ4" s="143">
        <f>'Raw Results 2024'!AT4</f>
        <v>0</v>
      </c>
      <c r="AK4" s="143">
        <f>'Raw Results 2024'!AV4</f>
        <v>0</v>
      </c>
      <c r="AL4" s="143">
        <f>'Raw Results 2024'!AX4</f>
        <v>0</v>
      </c>
      <c r="AM4" s="155" t="e">
        <f t="shared" si="19"/>
        <v>#DIV/0!</v>
      </c>
      <c r="AN4" s="143">
        <f>'Raw Results 2024'!AZ4</f>
        <v>0</v>
      </c>
      <c r="AO4" s="143">
        <f>'Raw Results 2024'!BB4</f>
        <v>0</v>
      </c>
      <c r="AP4" s="143">
        <f>'Raw Results 2024'!BD4</f>
        <v>0</v>
      </c>
      <c r="AQ4" s="155" t="e">
        <f t="shared" si="20"/>
        <v>#DIV/0!</v>
      </c>
      <c r="AT4" s="152">
        <f t="shared" si="0"/>
        <v>2336.17</v>
      </c>
      <c r="AU4" s="152">
        <f t="shared" si="1"/>
        <v>2361.6799999999998</v>
      </c>
      <c r="AV4" s="152">
        <f t="shared" si="2"/>
        <v>2339.52</v>
      </c>
      <c r="AW4" s="155">
        <f t="shared" si="21"/>
        <v>-9.3831509772703565E-3</v>
      </c>
      <c r="AY4" s="152">
        <f t="shared" si="3"/>
        <v>2094.5500000000002</v>
      </c>
      <c r="AZ4" s="152">
        <f t="shared" si="4"/>
        <v>2105.15</v>
      </c>
      <c r="BA4" s="152">
        <f t="shared" si="5"/>
        <v>2124.38</v>
      </c>
      <c r="BB4" s="155">
        <f t="shared" si="22"/>
        <v>9.1347409923283451E-3</v>
      </c>
      <c r="BD4" s="152">
        <f t="shared" si="6"/>
        <v>1034.8800000000001</v>
      </c>
      <c r="BE4" s="152">
        <f t="shared" si="7"/>
        <v>1036.46</v>
      </c>
      <c r="BF4" s="152">
        <f t="shared" si="8"/>
        <v>1040.49</v>
      </c>
      <c r="BG4" s="155">
        <f t="shared" si="23"/>
        <v>3.8882349535920078E-3</v>
      </c>
      <c r="BJ4" s="152">
        <f t="shared" si="9"/>
        <v>5465.6</v>
      </c>
      <c r="BK4" s="152">
        <f t="shared" si="10"/>
        <v>5503.29</v>
      </c>
      <c r="BL4" s="152">
        <f t="shared" si="11"/>
        <v>5504.3899999999994</v>
      </c>
      <c r="BM4" s="155">
        <f t="shared" si="24"/>
        <v>1.9988043515777913E-4</v>
      </c>
    </row>
    <row r="5" spans="1:65">
      <c r="A5" t="s">
        <v>407</v>
      </c>
      <c r="B5">
        <v>0</v>
      </c>
      <c r="C5" t="s">
        <v>408</v>
      </c>
      <c r="D5" t="s">
        <v>408</v>
      </c>
      <c r="F5" t="s">
        <v>414</v>
      </c>
      <c r="G5" t="s">
        <v>415</v>
      </c>
      <c r="H5" s="143">
        <f>'Raw Results 2024'!G5</f>
        <v>4085928.71</v>
      </c>
      <c r="I5" s="143">
        <f>'Raw Results 2024'!H5</f>
        <v>4088247.77</v>
      </c>
      <c r="J5" s="143">
        <f>'Raw Results 2024'!J5</f>
        <v>4090375.52</v>
      </c>
      <c r="K5" s="155">
        <f t="shared" si="12"/>
        <v>5.20455246282688E-4</v>
      </c>
      <c r="L5" s="143">
        <f>'Raw Results 2024'!L5</f>
        <v>614526.24</v>
      </c>
      <c r="M5" s="143">
        <f>'Raw Results 2024'!N5</f>
        <v>624224.82999999996</v>
      </c>
      <c r="N5" s="143">
        <f>'Raw Results 2024'!P5</f>
        <v>631566.54</v>
      </c>
      <c r="O5" s="155">
        <f t="shared" si="13"/>
        <v>1.1761323239897521E-2</v>
      </c>
      <c r="P5" s="143">
        <f>'Raw Results 2024'!R5</f>
        <v>642402.68000000005</v>
      </c>
      <c r="Q5" s="143">
        <f>'Raw Results 2024'!T5</f>
        <v>660189.30000000005</v>
      </c>
      <c r="R5" s="143">
        <f>'Raw Results 2024'!V5</f>
        <v>711668.93</v>
      </c>
      <c r="S5" s="155">
        <f t="shared" si="14"/>
        <v>7.7977074151307821E-2</v>
      </c>
      <c r="T5" s="143">
        <f>'Raw Results 2024'!Y5</f>
        <v>2096158.59</v>
      </c>
      <c r="U5" s="143">
        <f>'Raw Results 2024'!Z5</f>
        <v>2623824.84</v>
      </c>
      <c r="V5" s="143">
        <f>'Raw Results 2024'!AB5</f>
        <v>3757189.01</v>
      </c>
      <c r="W5" s="155">
        <f t="shared" si="15"/>
        <v>0.43195115494066288</v>
      </c>
      <c r="X5" s="143">
        <f>'Raw Results 2024'!AD5</f>
        <v>759479.56</v>
      </c>
      <c r="Y5" s="143">
        <f>'Raw Results 2024'!AE5</f>
        <v>816913.43</v>
      </c>
      <c r="Z5" s="143">
        <f>'Raw Results 2024'!AF5</f>
        <v>1381554.37</v>
      </c>
      <c r="AA5" s="155">
        <f t="shared" si="16"/>
        <v>0.69118822051927831</v>
      </c>
      <c r="AB5" s="143">
        <f>'Raw Results 2024'!AH5</f>
        <v>0</v>
      </c>
      <c r="AC5" s="143">
        <f>'Raw Results 2024'!AJ5</f>
        <v>0</v>
      </c>
      <c r="AD5" s="143">
        <f>'Raw Results 2024'!AL5</f>
        <v>0</v>
      </c>
      <c r="AE5" s="155" t="e">
        <f t="shared" si="17"/>
        <v>#DIV/0!</v>
      </c>
      <c r="AF5" s="143">
        <f>'Raw Results 2024'!AN5</f>
        <v>0</v>
      </c>
      <c r="AG5" s="143">
        <f>'Raw Results 2024'!AP5</f>
        <v>0</v>
      </c>
      <c r="AH5" s="143">
        <f>'Raw Results 2024'!AR5</f>
        <v>0</v>
      </c>
      <c r="AI5" s="155" t="e">
        <f t="shared" si="18"/>
        <v>#DIV/0!</v>
      </c>
      <c r="AJ5" s="143">
        <f>'Raw Results 2024'!AT5</f>
        <v>0</v>
      </c>
      <c r="AK5" s="143">
        <f>'Raw Results 2024'!AV5</f>
        <v>0</v>
      </c>
      <c r="AL5" s="143">
        <f>'Raw Results 2024'!AX5</f>
        <v>0</v>
      </c>
      <c r="AM5" s="155" t="e">
        <f t="shared" si="19"/>
        <v>#DIV/0!</v>
      </c>
      <c r="AN5" s="143">
        <f>'Raw Results 2024'!AZ5</f>
        <v>0</v>
      </c>
      <c r="AO5" s="143">
        <f>'Raw Results 2024'!BB5</f>
        <v>0</v>
      </c>
      <c r="AP5" s="143">
        <f>'Raw Results 2024'!BD5</f>
        <v>0</v>
      </c>
      <c r="AQ5" s="155" t="e">
        <f t="shared" si="20"/>
        <v>#DIV/0!</v>
      </c>
      <c r="AT5" s="152">
        <f t="shared" si="0"/>
        <v>6182087.2999999998</v>
      </c>
      <c r="AU5" s="152">
        <f t="shared" si="1"/>
        <v>6712072.6099999994</v>
      </c>
      <c r="AV5" s="152">
        <f t="shared" si="2"/>
        <v>7847564.5299999993</v>
      </c>
      <c r="AW5" s="155">
        <f t="shared" si="21"/>
        <v>0.16917157873237013</v>
      </c>
      <c r="AY5" s="152">
        <f t="shared" si="3"/>
        <v>1374005.8</v>
      </c>
      <c r="AZ5" s="152">
        <f t="shared" si="4"/>
        <v>1441138.26</v>
      </c>
      <c r="BA5" s="152">
        <f t="shared" si="5"/>
        <v>2013120.9100000001</v>
      </c>
      <c r="BB5" s="155">
        <f t="shared" si="22"/>
        <v>0.39689644350986847</v>
      </c>
      <c r="BD5" s="152">
        <f t="shared" si="6"/>
        <v>642402.68000000005</v>
      </c>
      <c r="BE5" s="152">
        <f t="shared" si="7"/>
        <v>660189.30000000005</v>
      </c>
      <c r="BF5" s="152">
        <f t="shared" si="8"/>
        <v>711668.93</v>
      </c>
      <c r="BG5" s="155">
        <f t="shared" si="23"/>
        <v>7.7977074151307821E-2</v>
      </c>
      <c r="BJ5" s="152">
        <f t="shared" si="9"/>
        <v>8198495.7799999993</v>
      </c>
      <c r="BK5" s="152">
        <f t="shared" si="10"/>
        <v>8813400.1699999999</v>
      </c>
      <c r="BL5" s="152">
        <f t="shared" si="11"/>
        <v>10572354.369999999</v>
      </c>
      <c r="BM5" s="155">
        <f t="shared" si="24"/>
        <v>0.19957725350850594</v>
      </c>
    </row>
    <row r="6" spans="1:65">
      <c r="A6" t="s">
        <v>407</v>
      </c>
      <c r="B6">
        <v>0</v>
      </c>
      <c r="C6" t="s">
        <v>408</v>
      </c>
      <c r="D6" t="s">
        <v>408</v>
      </c>
      <c r="F6" t="s">
        <v>416</v>
      </c>
      <c r="G6" t="s">
        <v>415</v>
      </c>
      <c r="H6" s="143">
        <f>'Raw Results 2024'!G6</f>
        <v>1438170.12</v>
      </c>
      <c r="I6" s="143">
        <f>'Raw Results 2024'!H6</f>
        <v>1438971.98</v>
      </c>
      <c r="J6" s="143">
        <f>'Raw Results 2024'!J6</f>
        <v>1439603.01</v>
      </c>
      <c r="K6" s="155">
        <f t="shared" si="12"/>
        <v>4.3852834438098509E-4</v>
      </c>
      <c r="L6" s="143">
        <f>'Raw Results 2024'!L6</f>
        <v>428416.65</v>
      </c>
      <c r="M6" s="143">
        <f>'Raw Results 2024'!N6</f>
        <v>431853.58</v>
      </c>
      <c r="N6" s="143">
        <f>'Raw Results 2024'!P6</f>
        <v>434724.44</v>
      </c>
      <c r="O6" s="155">
        <f t="shared" si="13"/>
        <v>6.6477624198460639E-3</v>
      </c>
      <c r="P6" s="143">
        <f>'Raw Results 2024'!R6</f>
        <v>438515.78</v>
      </c>
      <c r="Q6" s="143">
        <f>'Raw Results 2024'!T6</f>
        <v>444882.92</v>
      </c>
      <c r="R6" s="143">
        <f>'Raw Results 2024'!V6</f>
        <v>451177.4</v>
      </c>
      <c r="S6" s="155">
        <f t="shared" si="14"/>
        <v>1.4148621394590829E-2</v>
      </c>
      <c r="T6" s="143">
        <f>'Raw Results 2024'!Y6</f>
        <v>998778</v>
      </c>
      <c r="U6" s="143">
        <f>'Raw Results 2024'!Z6</f>
        <v>1201546.1499999999</v>
      </c>
      <c r="V6" s="143">
        <f>'Raw Results 2024'!AB6</f>
        <v>1334113.93</v>
      </c>
      <c r="W6" s="155">
        <f t="shared" si="15"/>
        <v>0.11033099311249929</v>
      </c>
      <c r="X6" s="143">
        <f>'Raw Results 2024'!AD6</f>
        <v>485026.84</v>
      </c>
      <c r="Y6" s="143">
        <f>'Raw Results 2024'!AE6</f>
        <v>507067</v>
      </c>
      <c r="Z6" s="143">
        <f>'Raw Results 2024'!AF6</f>
        <v>540407.25</v>
      </c>
      <c r="AA6" s="155">
        <f t="shared" si="16"/>
        <v>6.5751172921921563E-2</v>
      </c>
      <c r="AB6" s="143">
        <f>'Raw Results 2024'!AH6</f>
        <v>0</v>
      </c>
      <c r="AC6" s="143">
        <f>'Raw Results 2024'!AJ6</f>
        <v>0</v>
      </c>
      <c r="AD6" s="143">
        <f>'Raw Results 2024'!AL6</f>
        <v>0</v>
      </c>
      <c r="AE6" s="155" t="e">
        <f t="shared" si="17"/>
        <v>#DIV/0!</v>
      </c>
      <c r="AF6" s="143">
        <f>'Raw Results 2024'!AN6</f>
        <v>0</v>
      </c>
      <c r="AG6" s="143">
        <f>'Raw Results 2024'!AP6</f>
        <v>0</v>
      </c>
      <c r="AH6" s="143">
        <f>'Raw Results 2024'!AR6</f>
        <v>0</v>
      </c>
      <c r="AI6" s="155" t="e">
        <f t="shared" si="18"/>
        <v>#DIV/0!</v>
      </c>
      <c r="AJ6" s="143">
        <f>'Raw Results 2024'!AT6</f>
        <v>0</v>
      </c>
      <c r="AK6" s="143">
        <f>'Raw Results 2024'!AV6</f>
        <v>0</v>
      </c>
      <c r="AL6" s="143">
        <f>'Raw Results 2024'!AX6</f>
        <v>0</v>
      </c>
      <c r="AM6" s="155" t="e">
        <f t="shared" si="19"/>
        <v>#DIV/0!</v>
      </c>
      <c r="AN6" s="143">
        <f>'Raw Results 2024'!AZ6</f>
        <v>0</v>
      </c>
      <c r="AO6" s="143">
        <f>'Raw Results 2024'!BB6</f>
        <v>0</v>
      </c>
      <c r="AP6" s="143">
        <f>'Raw Results 2024'!BD6</f>
        <v>0</v>
      </c>
      <c r="AQ6" s="155" t="e">
        <f t="shared" si="20"/>
        <v>#DIV/0!</v>
      </c>
      <c r="AT6" s="152">
        <f t="shared" si="0"/>
        <v>2436948.12</v>
      </c>
      <c r="AU6" s="152">
        <f t="shared" si="1"/>
        <v>2640518.13</v>
      </c>
      <c r="AV6" s="152">
        <f t="shared" si="2"/>
        <v>2773716.94</v>
      </c>
      <c r="AW6" s="155">
        <f t="shared" si="21"/>
        <v>5.0444194450579315E-2</v>
      </c>
      <c r="AY6" s="152">
        <f t="shared" si="3"/>
        <v>913443.49</v>
      </c>
      <c r="AZ6" s="152">
        <f t="shared" si="4"/>
        <v>938920.58000000007</v>
      </c>
      <c r="BA6" s="152">
        <f t="shared" si="5"/>
        <v>975131.69</v>
      </c>
      <c r="BB6" s="155">
        <f t="shared" si="22"/>
        <v>3.8566744377889629E-2</v>
      </c>
      <c r="BD6" s="152">
        <f t="shared" si="6"/>
        <v>438515.78</v>
      </c>
      <c r="BE6" s="152">
        <f t="shared" si="7"/>
        <v>444882.92</v>
      </c>
      <c r="BF6" s="152">
        <f t="shared" si="8"/>
        <v>451177.4</v>
      </c>
      <c r="BG6" s="155">
        <f t="shared" si="23"/>
        <v>1.4148621394590829E-2</v>
      </c>
      <c r="BJ6" s="152">
        <f t="shared" si="9"/>
        <v>3788907.3900000006</v>
      </c>
      <c r="BK6" s="152">
        <f t="shared" si="10"/>
        <v>4024321.63</v>
      </c>
      <c r="BL6" s="152">
        <f t="shared" si="11"/>
        <v>4200026.03</v>
      </c>
      <c r="BM6" s="155">
        <f t="shared" si="24"/>
        <v>4.3660625604619079E-2</v>
      </c>
    </row>
    <row r="7" spans="1:65">
      <c r="A7" t="s">
        <v>407</v>
      </c>
      <c r="B7">
        <v>0</v>
      </c>
      <c r="C7" t="s">
        <v>408</v>
      </c>
      <c r="D7" t="s">
        <v>408</v>
      </c>
      <c r="F7" t="s">
        <v>417</v>
      </c>
      <c r="G7" t="s">
        <v>415</v>
      </c>
      <c r="H7" s="143">
        <f>'Raw Results 2024'!G7</f>
        <v>63674162.630000003</v>
      </c>
      <c r="I7" s="143">
        <f>'Raw Results 2024'!H7</f>
        <v>63677100.130000003</v>
      </c>
      <c r="J7" s="143">
        <f>'Raw Results 2024'!J7</f>
        <v>63678582.939999998</v>
      </c>
      <c r="K7" s="155">
        <f t="shared" si="12"/>
        <v>2.3286393333988237E-5</v>
      </c>
      <c r="L7" s="143">
        <f>'Raw Results 2024'!L7</f>
        <v>12064742.51</v>
      </c>
      <c r="M7" s="143">
        <f>'Raw Results 2024'!N7</f>
        <v>12101944.890000001</v>
      </c>
      <c r="N7" s="143">
        <f>'Raw Results 2024'!P7</f>
        <v>12118875.880000001</v>
      </c>
      <c r="O7" s="155">
        <f t="shared" si="13"/>
        <v>1.3990304991382441E-3</v>
      </c>
      <c r="P7" s="143">
        <f>'Raw Results 2024'!R7</f>
        <v>12169909.59</v>
      </c>
      <c r="Q7" s="143">
        <f>'Raw Results 2024'!T7</f>
        <v>12237622.74</v>
      </c>
      <c r="R7" s="143">
        <f>'Raw Results 2024'!V7</f>
        <v>12284944.939999999</v>
      </c>
      <c r="S7" s="155">
        <f t="shared" si="14"/>
        <v>3.8669438505667853E-3</v>
      </c>
      <c r="T7" s="143">
        <f>'Raw Results 2024'!Y7</f>
        <v>31631383.629999999</v>
      </c>
      <c r="U7" s="143">
        <f>'Raw Results 2024'!Z7</f>
        <v>38490151.020000003</v>
      </c>
      <c r="V7" s="143">
        <f>'Raw Results 2024'!AB7</f>
        <v>37736301.960000001</v>
      </c>
      <c r="W7" s="155">
        <f t="shared" si="15"/>
        <v>-1.9585505383137941E-2</v>
      </c>
      <c r="X7" s="143">
        <f>'Raw Results 2024'!AD7</f>
        <v>14036751.82</v>
      </c>
      <c r="Y7" s="143">
        <f>'Raw Results 2024'!AE7</f>
        <v>14712996.5</v>
      </c>
      <c r="Z7" s="143">
        <f>'Raw Results 2024'!AF7</f>
        <v>15681335.75</v>
      </c>
      <c r="AA7" s="155">
        <f t="shared" si="16"/>
        <v>6.581523009265991E-2</v>
      </c>
      <c r="AB7" s="143">
        <f>'Raw Results 2024'!AH7</f>
        <v>0</v>
      </c>
      <c r="AC7" s="143">
        <f>'Raw Results 2024'!AJ7</f>
        <v>0</v>
      </c>
      <c r="AD7" s="143">
        <f>'Raw Results 2024'!AL7</f>
        <v>0</v>
      </c>
      <c r="AE7" s="155" t="e">
        <f t="shared" si="17"/>
        <v>#DIV/0!</v>
      </c>
      <c r="AF7" s="143">
        <f>'Raw Results 2024'!AN7</f>
        <v>0</v>
      </c>
      <c r="AG7" s="143">
        <f>'Raw Results 2024'!AP7</f>
        <v>0</v>
      </c>
      <c r="AH7" s="143">
        <f>'Raw Results 2024'!AR7</f>
        <v>0</v>
      </c>
      <c r="AI7" s="155" t="e">
        <f t="shared" si="18"/>
        <v>#DIV/0!</v>
      </c>
      <c r="AJ7" s="143">
        <f>'Raw Results 2024'!AT7</f>
        <v>0</v>
      </c>
      <c r="AK7" s="143">
        <f>'Raw Results 2024'!AV7</f>
        <v>0</v>
      </c>
      <c r="AL7" s="143">
        <f>'Raw Results 2024'!AX7</f>
        <v>0</v>
      </c>
      <c r="AM7" s="155" t="e">
        <f t="shared" si="19"/>
        <v>#DIV/0!</v>
      </c>
      <c r="AN7" s="143">
        <f>'Raw Results 2024'!AZ7</f>
        <v>0</v>
      </c>
      <c r="AO7" s="143">
        <f>'Raw Results 2024'!BB7</f>
        <v>0</v>
      </c>
      <c r="AP7" s="143">
        <f>'Raw Results 2024'!BD7</f>
        <v>0</v>
      </c>
      <c r="AQ7" s="155" t="e">
        <f t="shared" si="20"/>
        <v>#DIV/0!</v>
      </c>
      <c r="AT7" s="152">
        <f t="shared" si="0"/>
        <v>95305546.260000005</v>
      </c>
      <c r="AU7" s="152">
        <f t="shared" si="1"/>
        <v>102167251.15000001</v>
      </c>
      <c r="AV7" s="152">
        <f t="shared" si="2"/>
        <v>101414884.90000001</v>
      </c>
      <c r="AW7" s="155">
        <f t="shared" si="21"/>
        <v>-7.3640647226124369E-3</v>
      </c>
      <c r="AY7" s="152">
        <f t="shared" si="3"/>
        <v>26101494.329999998</v>
      </c>
      <c r="AZ7" s="152">
        <f t="shared" si="4"/>
        <v>26814941.390000001</v>
      </c>
      <c r="BA7" s="152">
        <f t="shared" si="5"/>
        <v>27800211.630000003</v>
      </c>
      <c r="BB7" s="155">
        <f t="shared" si="22"/>
        <v>3.6743329984209303E-2</v>
      </c>
      <c r="BD7" s="152">
        <f t="shared" si="6"/>
        <v>12169909.59</v>
      </c>
      <c r="BE7" s="152">
        <f t="shared" si="7"/>
        <v>12237622.74</v>
      </c>
      <c r="BF7" s="152">
        <f t="shared" si="8"/>
        <v>12284944.939999999</v>
      </c>
      <c r="BG7" s="155">
        <f t="shared" si="23"/>
        <v>3.8669438505667853E-3</v>
      </c>
      <c r="BJ7" s="152">
        <f t="shared" si="9"/>
        <v>133576950.18000001</v>
      </c>
      <c r="BK7" s="152">
        <f t="shared" si="10"/>
        <v>141219815.28</v>
      </c>
      <c r="BL7" s="152">
        <f t="shared" si="11"/>
        <v>141500041.47</v>
      </c>
      <c r="BM7" s="155">
        <f t="shared" si="24"/>
        <v>1.9843262749238573E-3</v>
      </c>
    </row>
    <row r="8" spans="1:65">
      <c r="A8" t="s">
        <v>407</v>
      </c>
      <c r="B8">
        <v>0</v>
      </c>
      <c r="C8" t="s">
        <v>408</v>
      </c>
      <c r="D8" t="s">
        <v>408</v>
      </c>
      <c r="F8" t="s">
        <v>418</v>
      </c>
      <c r="G8" t="s">
        <v>415</v>
      </c>
      <c r="H8" s="143">
        <f>'Raw Results 2024'!G8</f>
        <v>1002620.93</v>
      </c>
      <c r="I8" s="143">
        <f>'Raw Results 2024'!H8</f>
        <v>1002661.91</v>
      </c>
      <c r="J8" s="143">
        <f>'Raw Results 2024'!J8</f>
        <v>1002682.59</v>
      </c>
      <c r="K8" s="155">
        <f t="shared" si="12"/>
        <v>2.0625097845728285E-5</v>
      </c>
      <c r="L8" s="143">
        <f>'Raw Results 2024'!L8</f>
        <v>216955.9</v>
      </c>
      <c r="M8" s="143">
        <f>'Raw Results 2024'!N8</f>
        <v>217179.34</v>
      </c>
      <c r="N8" s="143">
        <f>'Raw Results 2024'!P8</f>
        <v>217316.56</v>
      </c>
      <c r="O8" s="155">
        <f t="shared" si="13"/>
        <v>6.3182805509953742E-4</v>
      </c>
      <c r="P8" s="143">
        <f>'Raw Results 2024'!R8</f>
        <v>217536.72</v>
      </c>
      <c r="Q8" s="143">
        <f>'Raw Results 2024'!T8</f>
        <v>217928.66</v>
      </c>
      <c r="R8" s="143">
        <f>'Raw Results 2024'!V8</f>
        <v>218311.77</v>
      </c>
      <c r="S8" s="155">
        <f t="shared" si="14"/>
        <v>1.7579606096783508E-3</v>
      </c>
      <c r="T8" s="143">
        <f>'Raw Results 2024'!Y8</f>
        <v>253778.75</v>
      </c>
      <c r="U8" s="143">
        <f>'Raw Results 2024'!Z8</f>
        <v>266873.08</v>
      </c>
      <c r="V8" s="143">
        <f>'Raw Results 2024'!AB8</f>
        <v>273352.11</v>
      </c>
      <c r="W8" s="155">
        <f t="shared" si="15"/>
        <v>2.4277570446595696E-2</v>
      </c>
      <c r="X8" s="143">
        <f>'Raw Results 2024'!AD8</f>
        <v>223607.28</v>
      </c>
      <c r="Y8" s="143">
        <f>'Raw Results 2024'!AE8</f>
        <v>225996.9</v>
      </c>
      <c r="Z8" s="143">
        <f>'Raw Results 2024'!AF8</f>
        <v>227492.31</v>
      </c>
      <c r="AA8" s="155">
        <f t="shared" si="16"/>
        <v>6.6169491705417357E-3</v>
      </c>
      <c r="AB8" s="143">
        <f>'Raw Results 2024'!AH8</f>
        <v>0</v>
      </c>
      <c r="AC8" s="143">
        <f>'Raw Results 2024'!AJ8</f>
        <v>0</v>
      </c>
      <c r="AD8" s="143">
        <f>'Raw Results 2024'!AL8</f>
        <v>0</v>
      </c>
      <c r="AE8" s="155" t="e">
        <f t="shared" si="17"/>
        <v>#DIV/0!</v>
      </c>
      <c r="AF8" s="143">
        <f>'Raw Results 2024'!AN8</f>
        <v>0</v>
      </c>
      <c r="AG8" s="143">
        <f>'Raw Results 2024'!AP8</f>
        <v>0</v>
      </c>
      <c r="AH8" s="143">
        <f>'Raw Results 2024'!AR8</f>
        <v>0</v>
      </c>
      <c r="AI8" s="155" t="e">
        <f t="shared" si="18"/>
        <v>#DIV/0!</v>
      </c>
      <c r="AJ8" s="143">
        <f>'Raw Results 2024'!AT8</f>
        <v>0</v>
      </c>
      <c r="AK8" s="143">
        <f>'Raw Results 2024'!AV8</f>
        <v>0</v>
      </c>
      <c r="AL8" s="143">
        <f>'Raw Results 2024'!AX8</f>
        <v>0</v>
      </c>
      <c r="AM8" s="155" t="e">
        <f t="shared" si="19"/>
        <v>#DIV/0!</v>
      </c>
      <c r="AN8" s="143">
        <f>'Raw Results 2024'!AZ8</f>
        <v>0</v>
      </c>
      <c r="AO8" s="143">
        <f>'Raw Results 2024'!BB8</f>
        <v>0</v>
      </c>
      <c r="AP8" s="143">
        <f>'Raw Results 2024'!BD8</f>
        <v>0</v>
      </c>
      <c r="AQ8" s="155" t="e">
        <f t="shared" si="20"/>
        <v>#DIV/0!</v>
      </c>
      <c r="AT8" s="152">
        <f t="shared" si="0"/>
        <v>1256399.6800000002</v>
      </c>
      <c r="AU8" s="152">
        <f t="shared" si="1"/>
        <v>1269534.99</v>
      </c>
      <c r="AV8" s="152">
        <f t="shared" si="2"/>
        <v>1276034.7</v>
      </c>
      <c r="AW8" s="155">
        <f t="shared" si="21"/>
        <v>5.1197564865856611E-3</v>
      </c>
      <c r="AY8" s="152">
        <f t="shared" si="3"/>
        <v>440563.18</v>
      </c>
      <c r="AZ8" s="152">
        <f t="shared" si="4"/>
        <v>443176.24</v>
      </c>
      <c r="BA8" s="152">
        <f t="shared" si="5"/>
        <v>444808.87</v>
      </c>
      <c r="BB8" s="155">
        <f t="shared" si="22"/>
        <v>3.683929445315039E-3</v>
      </c>
      <c r="BD8" s="152">
        <f t="shared" si="6"/>
        <v>217536.72</v>
      </c>
      <c r="BE8" s="152">
        <f t="shared" si="7"/>
        <v>217928.66</v>
      </c>
      <c r="BF8" s="152">
        <f t="shared" si="8"/>
        <v>218311.77</v>
      </c>
      <c r="BG8" s="155">
        <f t="shared" si="23"/>
        <v>1.7579606096783508E-3</v>
      </c>
      <c r="BJ8" s="152">
        <f t="shared" si="9"/>
        <v>1914499.58</v>
      </c>
      <c r="BK8" s="152">
        <f t="shared" si="10"/>
        <v>1930639.89</v>
      </c>
      <c r="BL8" s="152">
        <f t="shared" si="11"/>
        <v>1939155.3399999999</v>
      </c>
      <c r="BM8" s="155">
        <f t="shared" si="24"/>
        <v>4.4106878989224416E-3</v>
      </c>
    </row>
    <row r="9" spans="1:65">
      <c r="A9" t="s">
        <v>407</v>
      </c>
      <c r="B9">
        <v>0</v>
      </c>
      <c r="C9" t="s">
        <v>408</v>
      </c>
      <c r="D9" t="s">
        <v>408</v>
      </c>
      <c r="F9" t="s">
        <v>419</v>
      </c>
      <c r="G9" t="s">
        <v>415</v>
      </c>
      <c r="H9" s="143">
        <f>'Raw Results 2024'!G9</f>
        <v>4221694.8</v>
      </c>
      <c r="I9" s="143">
        <f>'Raw Results 2024'!H9</f>
        <v>4221746.51</v>
      </c>
      <c r="J9" s="143">
        <f>'Raw Results 2024'!J9</f>
        <v>4221772.6100000003</v>
      </c>
      <c r="K9" s="155">
        <f t="shared" si="12"/>
        <v>6.1822754963463672E-6</v>
      </c>
      <c r="L9" s="143">
        <f>'Raw Results 2024'!L9</f>
        <v>570288.97</v>
      </c>
      <c r="M9" s="143">
        <f>'Raw Results 2024'!N9</f>
        <v>571982.49</v>
      </c>
      <c r="N9" s="143">
        <f>'Raw Results 2024'!P9</f>
        <v>573022.48</v>
      </c>
      <c r="O9" s="155">
        <f t="shared" si="13"/>
        <v>1.8182199948113633E-3</v>
      </c>
      <c r="P9" s="143">
        <f>'Raw Results 2024'!R9</f>
        <v>574691.13</v>
      </c>
      <c r="Q9" s="143">
        <f>'Raw Results 2024'!T9</f>
        <v>577661.69999999995</v>
      </c>
      <c r="R9" s="143">
        <f>'Raw Results 2024'!V9</f>
        <v>580565.39</v>
      </c>
      <c r="S9" s="155">
        <f t="shared" si="14"/>
        <v>5.0266271764253384E-3</v>
      </c>
      <c r="T9" s="143">
        <f>'Raw Results 2024'!Y9</f>
        <v>849377.63</v>
      </c>
      <c r="U9" s="143">
        <f>'Raw Results 2024'!Z9</f>
        <v>948622.47</v>
      </c>
      <c r="V9" s="143">
        <f>'Raw Results 2024'!AB9</f>
        <v>997728.55</v>
      </c>
      <c r="W9" s="155">
        <f t="shared" si="15"/>
        <v>5.1765672385980989E-2</v>
      </c>
      <c r="X9" s="143">
        <f>'Raw Results 2024'!AD9</f>
        <v>602189.32999999996</v>
      </c>
      <c r="Y9" s="143">
        <f>'Raw Results 2024'!AE9</f>
        <v>614339.78</v>
      </c>
      <c r="Z9" s="143">
        <f>'Raw Results 2024'!AF9</f>
        <v>627376.35</v>
      </c>
      <c r="AA9" s="155">
        <f t="shared" si="16"/>
        <v>2.1220455559625241E-2</v>
      </c>
      <c r="AB9" s="143">
        <f>'Raw Results 2024'!AH9</f>
        <v>0</v>
      </c>
      <c r="AC9" s="143">
        <f>'Raw Results 2024'!AJ9</f>
        <v>0</v>
      </c>
      <c r="AD9" s="143">
        <f>'Raw Results 2024'!AL9</f>
        <v>0</v>
      </c>
      <c r="AE9" s="155" t="e">
        <f t="shared" si="17"/>
        <v>#DIV/0!</v>
      </c>
      <c r="AF9" s="143">
        <f>'Raw Results 2024'!AN9</f>
        <v>0</v>
      </c>
      <c r="AG9" s="143">
        <f>'Raw Results 2024'!AP9</f>
        <v>0</v>
      </c>
      <c r="AH9" s="143">
        <f>'Raw Results 2024'!AR9</f>
        <v>0</v>
      </c>
      <c r="AI9" s="155" t="e">
        <f t="shared" si="18"/>
        <v>#DIV/0!</v>
      </c>
      <c r="AJ9" s="143">
        <f>'Raw Results 2024'!AT9</f>
        <v>0</v>
      </c>
      <c r="AK9" s="143">
        <f>'Raw Results 2024'!AV9</f>
        <v>0</v>
      </c>
      <c r="AL9" s="143">
        <f>'Raw Results 2024'!AX9</f>
        <v>0</v>
      </c>
      <c r="AM9" s="155" t="e">
        <f t="shared" si="19"/>
        <v>#DIV/0!</v>
      </c>
      <c r="AN9" s="143">
        <f>'Raw Results 2024'!AZ9</f>
        <v>0</v>
      </c>
      <c r="AO9" s="143">
        <f>'Raw Results 2024'!BB9</f>
        <v>0</v>
      </c>
      <c r="AP9" s="143">
        <f>'Raw Results 2024'!BD9</f>
        <v>0</v>
      </c>
      <c r="AQ9" s="155" t="e">
        <f t="shared" si="20"/>
        <v>#DIV/0!</v>
      </c>
      <c r="AT9" s="152">
        <f t="shared" si="0"/>
        <v>5071072.43</v>
      </c>
      <c r="AU9" s="152">
        <f t="shared" si="1"/>
        <v>5170368.9799999995</v>
      </c>
      <c r="AV9" s="152">
        <f t="shared" si="2"/>
        <v>5219501.16</v>
      </c>
      <c r="AW9" s="155">
        <f t="shared" si="21"/>
        <v>9.5026448189778207E-3</v>
      </c>
      <c r="AY9" s="152">
        <f t="shared" si="3"/>
        <v>1172478.2999999998</v>
      </c>
      <c r="AZ9" s="152">
        <f t="shared" si="4"/>
        <v>1186322.27</v>
      </c>
      <c r="BA9" s="152">
        <f t="shared" si="5"/>
        <v>1200398.83</v>
      </c>
      <c r="BB9" s="155">
        <f t="shared" si="22"/>
        <v>1.1865713352915525E-2</v>
      </c>
      <c r="BD9" s="152">
        <f t="shared" si="6"/>
        <v>574691.13</v>
      </c>
      <c r="BE9" s="152">
        <f t="shared" si="7"/>
        <v>577661.69999999995</v>
      </c>
      <c r="BF9" s="152">
        <f t="shared" si="8"/>
        <v>580565.39</v>
      </c>
      <c r="BG9" s="155">
        <f t="shared" si="23"/>
        <v>5.0266271764253384E-3</v>
      </c>
      <c r="BJ9" s="152">
        <f t="shared" si="9"/>
        <v>6818241.8599999994</v>
      </c>
      <c r="BK9" s="152">
        <f t="shared" si="10"/>
        <v>6934352.9500000002</v>
      </c>
      <c r="BL9" s="152">
        <f t="shared" si="11"/>
        <v>7000465.3799999999</v>
      </c>
      <c r="BM9" s="155">
        <f t="shared" si="24"/>
        <v>9.5340445571060386E-3</v>
      </c>
    </row>
    <row r="10" spans="1:65">
      <c r="A10" t="s">
        <v>407</v>
      </c>
      <c r="B10">
        <v>0</v>
      </c>
      <c r="C10" t="s">
        <v>408</v>
      </c>
      <c r="D10" t="s">
        <v>408</v>
      </c>
      <c r="F10" t="s">
        <v>420</v>
      </c>
      <c r="G10" t="s">
        <v>421</v>
      </c>
      <c r="H10" s="143">
        <f>'Raw Results 2024'!G10</f>
        <v>208479.45</v>
      </c>
      <c r="I10" s="143">
        <f>'Raw Results 2024'!H10</f>
        <v>208623.45</v>
      </c>
      <c r="J10" s="143">
        <f>'Raw Results 2024'!J10</f>
        <v>208607.59</v>
      </c>
      <c r="K10" s="155">
        <f t="shared" si="12"/>
        <v>-7.6022134616291379E-5</v>
      </c>
      <c r="L10" s="143">
        <f>'Raw Results 2024'!L10</f>
        <v>67315.399999999994</v>
      </c>
      <c r="M10" s="143">
        <f>'Raw Results 2024'!N10</f>
        <v>67640.69</v>
      </c>
      <c r="N10" s="143">
        <f>'Raw Results 2024'!P10</f>
        <v>67645.119999999995</v>
      </c>
      <c r="O10" s="155">
        <f t="shared" si="13"/>
        <v>6.5493122556748243E-5</v>
      </c>
      <c r="P10" s="143">
        <f>'Raw Results 2024'!R10</f>
        <v>68292.25</v>
      </c>
      <c r="Q10" s="143">
        <f>'Raw Results 2024'!T10</f>
        <v>68900.990000000005</v>
      </c>
      <c r="R10" s="143">
        <f>'Raw Results 2024'!V10</f>
        <v>69021.36</v>
      </c>
      <c r="S10" s="155">
        <f t="shared" si="14"/>
        <v>1.7469995714139278E-3</v>
      </c>
      <c r="T10" s="143">
        <f>'Raw Results 2024'!Y10</f>
        <v>123037.16</v>
      </c>
      <c r="U10" s="143">
        <f>'Raw Results 2024'!Z10</f>
        <v>142832.44</v>
      </c>
      <c r="V10" s="143">
        <f>'Raw Results 2024'!AB10</f>
        <v>140817.93</v>
      </c>
      <c r="W10" s="155">
        <f t="shared" si="15"/>
        <v>-1.4104008865213038E-2</v>
      </c>
      <c r="X10" s="143">
        <f>'Raw Results 2024'!AD10</f>
        <v>72595.460000000006</v>
      </c>
      <c r="Y10" s="143">
        <f>'Raw Results 2024'!AE10</f>
        <v>74656.5</v>
      </c>
      <c r="Z10" s="143">
        <f>'Raw Results 2024'!AF10</f>
        <v>76846.55</v>
      </c>
      <c r="AA10" s="155">
        <f t="shared" si="16"/>
        <v>2.9335021063135867E-2</v>
      </c>
      <c r="AB10" s="143">
        <f>'Raw Results 2024'!AH10</f>
        <v>0</v>
      </c>
      <c r="AC10" s="143">
        <f>'Raw Results 2024'!AJ10</f>
        <v>0</v>
      </c>
      <c r="AD10" s="143">
        <f>'Raw Results 2024'!AL10</f>
        <v>0</v>
      </c>
      <c r="AE10" s="155" t="e">
        <f t="shared" si="17"/>
        <v>#DIV/0!</v>
      </c>
      <c r="AF10" s="143">
        <f>'Raw Results 2024'!AN10</f>
        <v>0</v>
      </c>
      <c r="AG10" s="143">
        <f>'Raw Results 2024'!AP10</f>
        <v>0</v>
      </c>
      <c r="AH10" s="143">
        <f>'Raw Results 2024'!AR10</f>
        <v>0</v>
      </c>
      <c r="AI10" s="155" t="e">
        <f t="shared" si="18"/>
        <v>#DIV/0!</v>
      </c>
      <c r="AJ10" s="143">
        <f>'Raw Results 2024'!AT10</f>
        <v>0</v>
      </c>
      <c r="AK10" s="143">
        <f>'Raw Results 2024'!AV10</f>
        <v>0</v>
      </c>
      <c r="AL10" s="143">
        <f>'Raw Results 2024'!AX10</f>
        <v>0</v>
      </c>
      <c r="AM10" s="155" t="e">
        <f t="shared" si="19"/>
        <v>#DIV/0!</v>
      </c>
      <c r="AN10" s="143">
        <f>'Raw Results 2024'!AZ10</f>
        <v>0</v>
      </c>
      <c r="AO10" s="143">
        <f>'Raw Results 2024'!BB10</f>
        <v>0</v>
      </c>
      <c r="AP10" s="143">
        <f>'Raw Results 2024'!BD10</f>
        <v>0</v>
      </c>
      <c r="AQ10" s="155" t="e">
        <f t="shared" si="20"/>
        <v>#DIV/0!</v>
      </c>
      <c r="AT10" s="152">
        <f t="shared" si="0"/>
        <v>331516.61</v>
      </c>
      <c r="AU10" s="152">
        <f t="shared" si="1"/>
        <v>351455.89</v>
      </c>
      <c r="AV10" s="152">
        <f t="shared" si="2"/>
        <v>349425.52</v>
      </c>
      <c r="AW10" s="155">
        <f t="shared" si="21"/>
        <v>-5.7770265281369883E-3</v>
      </c>
      <c r="AY10" s="152">
        <f t="shared" si="3"/>
        <v>139910.85999999999</v>
      </c>
      <c r="AZ10" s="152">
        <f t="shared" si="4"/>
        <v>142297.19</v>
      </c>
      <c r="BA10" s="152">
        <f t="shared" si="5"/>
        <v>144491.66999999998</v>
      </c>
      <c r="BB10" s="155">
        <f t="shared" si="22"/>
        <v>1.5421808399730039E-2</v>
      </c>
      <c r="BD10" s="152">
        <f t="shared" si="6"/>
        <v>68292.25</v>
      </c>
      <c r="BE10" s="152">
        <f t="shared" si="7"/>
        <v>68900.990000000005</v>
      </c>
      <c r="BF10" s="152">
        <f t="shared" si="8"/>
        <v>69021.36</v>
      </c>
      <c r="BG10" s="155">
        <f t="shared" si="23"/>
        <v>1.7469995714139278E-3</v>
      </c>
      <c r="BJ10" s="152">
        <f t="shared" si="9"/>
        <v>539719.72</v>
      </c>
      <c r="BK10" s="152">
        <f t="shared" si="10"/>
        <v>562654.07000000007</v>
      </c>
      <c r="BL10" s="152">
        <f t="shared" si="11"/>
        <v>562938.55000000005</v>
      </c>
      <c r="BM10" s="155">
        <f t="shared" si="24"/>
        <v>5.0560373623527032E-4</v>
      </c>
    </row>
    <row r="11" spans="1:65">
      <c r="A11" t="s">
        <v>407</v>
      </c>
      <c r="B11">
        <v>0</v>
      </c>
      <c r="C11" t="s">
        <v>408</v>
      </c>
      <c r="D11" t="s">
        <v>408</v>
      </c>
      <c r="F11" t="s">
        <v>422</v>
      </c>
      <c r="G11" t="s">
        <v>421</v>
      </c>
      <c r="H11" s="143">
        <f>'Raw Results 2024'!G11</f>
        <v>690912.65</v>
      </c>
      <c r="I11" s="143">
        <f>'Raw Results 2024'!H11</f>
        <v>692348.28</v>
      </c>
      <c r="J11" s="143">
        <f>'Raw Results 2024'!J11</f>
        <v>692927.49</v>
      </c>
      <c r="K11" s="155">
        <f t="shared" si="12"/>
        <v>8.3658762032305873E-4</v>
      </c>
      <c r="L11" s="143">
        <f>'Raw Results 2024'!L11</f>
        <v>227089.47</v>
      </c>
      <c r="M11" s="143">
        <f>'Raw Results 2024'!N11</f>
        <v>230124.49</v>
      </c>
      <c r="N11" s="143">
        <f>'Raw Results 2024'!P11</f>
        <v>229438.17</v>
      </c>
      <c r="O11" s="155">
        <f t="shared" si="13"/>
        <v>-2.9823857512947792E-3</v>
      </c>
      <c r="P11" s="143">
        <f>'Raw Results 2024'!R11</f>
        <v>233348.49</v>
      </c>
      <c r="Q11" s="143">
        <f>'Raw Results 2024'!T11</f>
        <v>238200.92</v>
      </c>
      <c r="R11" s="143">
        <f>'Raw Results 2024'!V11</f>
        <v>241570.1</v>
      </c>
      <c r="S11" s="155">
        <f t="shared" si="14"/>
        <v>1.4144277864250033E-2</v>
      </c>
      <c r="T11" s="143">
        <f>'Raw Results 2024'!Y11</f>
        <v>498839.85</v>
      </c>
      <c r="U11" s="143">
        <f>'Raw Results 2024'!Z11</f>
        <v>599956.78</v>
      </c>
      <c r="V11" s="143">
        <f>'Raw Results 2024'!AB11</f>
        <v>644542.05000000005</v>
      </c>
      <c r="W11" s="155">
        <f t="shared" si="15"/>
        <v>7.4314136428294084E-2</v>
      </c>
      <c r="X11" s="143">
        <f>'Raw Results 2024'!AD11</f>
        <v>245729.99</v>
      </c>
      <c r="Y11" s="143">
        <f>'Raw Results 2024'!AE11</f>
        <v>255131.87</v>
      </c>
      <c r="Z11" s="143">
        <f>'Raw Results 2024'!AF11</f>
        <v>269627.62</v>
      </c>
      <c r="AA11" s="155">
        <f t="shared" si="16"/>
        <v>5.6816696400963158E-2</v>
      </c>
      <c r="AB11" s="143">
        <f>'Raw Results 2024'!AH11</f>
        <v>0</v>
      </c>
      <c r="AC11" s="143">
        <f>'Raw Results 2024'!AJ11</f>
        <v>0</v>
      </c>
      <c r="AD11" s="143">
        <f>'Raw Results 2024'!AL11</f>
        <v>0</v>
      </c>
      <c r="AE11" s="155" t="e">
        <f t="shared" si="17"/>
        <v>#DIV/0!</v>
      </c>
      <c r="AF11" s="143">
        <f>'Raw Results 2024'!AN11</f>
        <v>0</v>
      </c>
      <c r="AG11" s="143">
        <f>'Raw Results 2024'!AP11</f>
        <v>0</v>
      </c>
      <c r="AH11" s="143">
        <f>'Raw Results 2024'!AR11</f>
        <v>0</v>
      </c>
      <c r="AI11" s="155" t="e">
        <f t="shared" si="18"/>
        <v>#DIV/0!</v>
      </c>
      <c r="AJ11" s="143">
        <f>'Raw Results 2024'!AT11</f>
        <v>0</v>
      </c>
      <c r="AK11" s="143">
        <f>'Raw Results 2024'!AV11</f>
        <v>0</v>
      </c>
      <c r="AL11" s="143">
        <f>'Raw Results 2024'!AX11</f>
        <v>0</v>
      </c>
      <c r="AM11" s="155" t="e">
        <f t="shared" si="19"/>
        <v>#DIV/0!</v>
      </c>
      <c r="AN11" s="143">
        <f>'Raw Results 2024'!AZ11</f>
        <v>0</v>
      </c>
      <c r="AO11" s="143">
        <f>'Raw Results 2024'!BB11</f>
        <v>0</v>
      </c>
      <c r="AP11" s="143">
        <f>'Raw Results 2024'!BD11</f>
        <v>0</v>
      </c>
      <c r="AQ11" s="155" t="e">
        <f t="shared" si="20"/>
        <v>#DIV/0!</v>
      </c>
      <c r="AT11" s="152">
        <f t="shared" si="0"/>
        <v>1189752.5</v>
      </c>
      <c r="AU11" s="152">
        <f t="shared" si="1"/>
        <v>1292305.06</v>
      </c>
      <c r="AV11" s="152">
        <f t="shared" si="2"/>
        <v>1337469.54</v>
      </c>
      <c r="AW11" s="155">
        <f t="shared" si="21"/>
        <v>3.4948775949232902E-2</v>
      </c>
      <c r="AY11" s="152">
        <f t="shared" si="3"/>
        <v>472819.45999999996</v>
      </c>
      <c r="AZ11" s="152">
        <f t="shared" si="4"/>
        <v>485256.36</v>
      </c>
      <c r="BA11" s="152">
        <f t="shared" si="5"/>
        <v>499065.79000000004</v>
      </c>
      <c r="BB11" s="155">
        <f t="shared" si="22"/>
        <v>2.8458009288121543E-2</v>
      </c>
      <c r="BD11" s="152">
        <f t="shared" si="6"/>
        <v>233348.49</v>
      </c>
      <c r="BE11" s="152">
        <f t="shared" si="7"/>
        <v>238200.92</v>
      </c>
      <c r="BF11" s="152">
        <f t="shared" si="8"/>
        <v>241570.1</v>
      </c>
      <c r="BG11" s="155">
        <f t="shared" si="23"/>
        <v>1.4144277864250033E-2</v>
      </c>
      <c r="BJ11" s="152">
        <f t="shared" si="9"/>
        <v>1895920.45</v>
      </c>
      <c r="BK11" s="152">
        <f t="shared" si="10"/>
        <v>2015762.3399999999</v>
      </c>
      <c r="BL11" s="152">
        <f t="shared" si="11"/>
        <v>2078105.4300000002</v>
      </c>
      <c r="BM11" s="155">
        <f t="shared" si="24"/>
        <v>3.0927797768064424E-2</v>
      </c>
    </row>
    <row r="12" spans="1:65">
      <c r="A12" t="s">
        <v>407</v>
      </c>
      <c r="B12">
        <v>0</v>
      </c>
      <c r="C12" t="s">
        <v>408</v>
      </c>
      <c r="D12" t="s">
        <v>408</v>
      </c>
      <c r="F12" t="s">
        <v>423</v>
      </c>
      <c r="G12" t="s">
        <v>424</v>
      </c>
      <c r="H12" s="143">
        <f>'Raw Results 2024'!G12</f>
        <v>131.18</v>
      </c>
      <c r="I12" s="143">
        <f>'Raw Results 2024'!H12</f>
        <v>131.16</v>
      </c>
      <c r="J12" s="143">
        <f>'Raw Results 2024'!J12</f>
        <v>131.05000000000001</v>
      </c>
      <c r="K12" s="155">
        <f t="shared" si="12"/>
        <v>-8.3867032631888708E-4</v>
      </c>
      <c r="L12" s="143">
        <f>'Raw Results 2024'!L12</f>
        <v>251.75</v>
      </c>
      <c r="M12" s="143">
        <f>'Raw Results 2024'!N12</f>
        <v>250.78</v>
      </c>
      <c r="N12" s="143">
        <f>'Raw Results 2024'!P12</f>
        <v>249.58</v>
      </c>
      <c r="O12" s="155">
        <f t="shared" si="13"/>
        <v>-4.7850705797910066E-3</v>
      </c>
      <c r="P12" s="143">
        <f>'Raw Results 2024'!R12</f>
        <v>248.81</v>
      </c>
      <c r="Q12" s="143">
        <f>'Raw Results 2024'!T12</f>
        <v>247.05</v>
      </c>
      <c r="R12" s="143">
        <f>'Raw Results 2024'!V12</f>
        <v>244.6</v>
      </c>
      <c r="S12" s="155">
        <f t="shared" si="14"/>
        <v>-9.9170208459826627E-3</v>
      </c>
      <c r="T12" s="143">
        <f>'Raw Results 2024'!Y12</f>
        <v>171.03</v>
      </c>
      <c r="U12" s="143">
        <f>'Raw Results 2024'!Z12</f>
        <v>159.03</v>
      </c>
      <c r="V12" s="143">
        <f>'Raw Results 2024'!AB12</f>
        <v>144</v>
      </c>
      <c r="W12" s="155">
        <f t="shared" si="15"/>
        <v>-9.4510469722693835E-2</v>
      </c>
      <c r="X12" s="143">
        <f>'Raw Results 2024'!AD12</f>
        <v>238.47</v>
      </c>
      <c r="Y12" s="143">
        <f>'Raw Results 2024'!AE12</f>
        <v>233.86</v>
      </c>
      <c r="Z12" s="143">
        <f>'Raw Results 2024'!AF12</f>
        <v>223.55</v>
      </c>
      <c r="AA12" s="155">
        <f t="shared" si="16"/>
        <v>-4.4086205422047386E-2</v>
      </c>
      <c r="AB12" s="143">
        <f>'Raw Results 2024'!AH12</f>
        <v>0</v>
      </c>
      <c r="AC12" s="143">
        <f>'Raw Results 2024'!AJ12</f>
        <v>0</v>
      </c>
      <c r="AD12" s="143">
        <f>'Raw Results 2024'!AL12</f>
        <v>0</v>
      </c>
      <c r="AE12" s="155" t="e">
        <f t="shared" si="17"/>
        <v>#DIV/0!</v>
      </c>
      <c r="AF12" s="143">
        <f>'Raw Results 2024'!AN12</f>
        <v>0</v>
      </c>
      <c r="AG12" s="143">
        <f>'Raw Results 2024'!AP12</f>
        <v>0</v>
      </c>
      <c r="AH12" s="143">
        <f>'Raw Results 2024'!AR12</f>
        <v>0</v>
      </c>
      <c r="AI12" s="155" t="e">
        <f t="shared" si="18"/>
        <v>#DIV/0!</v>
      </c>
      <c r="AJ12" s="143">
        <f>'Raw Results 2024'!AT12</f>
        <v>0</v>
      </c>
      <c r="AK12" s="143">
        <f>'Raw Results 2024'!AV12</f>
        <v>0</v>
      </c>
      <c r="AL12" s="143">
        <f>'Raw Results 2024'!AX12</f>
        <v>0</v>
      </c>
      <c r="AM12" s="155" t="e">
        <f t="shared" si="19"/>
        <v>#DIV/0!</v>
      </c>
      <c r="AN12" s="143">
        <f>'Raw Results 2024'!AZ12</f>
        <v>0</v>
      </c>
      <c r="AO12" s="143">
        <f>'Raw Results 2024'!BB12</f>
        <v>0</v>
      </c>
      <c r="AP12" s="143">
        <f>'Raw Results 2024'!BD12</f>
        <v>0</v>
      </c>
      <c r="AQ12" s="155" t="e">
        <f t="shared" si="20"/>
        <v>#DIV/0!</v>
      </c>
      <c r="AT12" s="152">
        <f t="shared" si="0"/>
        <v>302.21000000000004</v>
      </c>
      <c r="AU12" s="152">
        <f t="shared" si="1"/>
        <v>290.19</v>
      </c>
      <c r="AV12" s="152">
        <f t="shared" si="2"/>
        <v>275.05</v>
      </c>
      <c r="AW12" s="155">
        <f t="shared" si="21"/>
        <v>-5.2172714428477845E-2</v>
      </c>
      <c r="AY12" s="152">
        <f t="shared" si="3"/>
        <v>490.22</v>
      </c>
      <c r="AZ12" s="152">
        <f t="shared" si="4"/>
        <v>484.64</v>
      </c>
      <c r="BA12" s="152">
        <f t="shared" si="5"/>
        <v>473.13</v>
      </c>
      <c r="BB12" s="155">
        <f t="shared" si="22"/>
        <v>-2.3749587322548678E-2</v>
      </c>
      <c r="BD12" s="152">
        <f t="shared" si="6"/>
        <v>248.81</v>
      </c>
      <c r="BE12" s="152">
        <f t="shared" si="7"/>
        <v>247.05</v>
      </c>
      <c r="BF12" s="152">
        <f t="shared" si="8"/>
        <v>244.6</v>
      </c>
      <c r="BG12" s="155">
        <f t="shared" si="23"/>
        <v>-9.9170208459826627E-3</v>
      </c>
      <c r="BJ12" s="152">
        <f t="shared" si="9"/>
        <v>1041.24</v>
      </c>
      <c r="BK12" s="152">
        <f t="shared" si="10"/>
        <v>1021.8799999999999</v>
      </c>
      <c r="BL12" s="152">
        <f t="shared" si="11"/>
        <v>992.78000000000009</v>
      </c>
      <c r="BM12" s="155">
        <f t="shared" si="24"/>
        <v>-2.8476924883547774E-2</v>
      </c>
    </row>
    <row r="13" spans="1:65">
      <c r="A13" t="s">
        <v>407</v>
      </c>
      <c r="B13">
        <v>1</v>
      </c>
      <c r="C13" t="s">
        <v>408</v>
      </c>
      <c r="D13" t="s">
        <v>408</v>
      </c>
      <c r="F13" t="s">
        <v>425</v>
      </c>
      <c r="G13" t="s">
        <v>426</v>
      </c>
      <c r="H13" s="143">
        <f>'Raw Results 2024'!G13</f>
        <v>0</v>
      </c>
      <c r="I13" s="143">
        <f>'Raw Results 2024'!H13</f>
        <v>0</v>
      </c>
      <c r="J13" s="143">
        <f>'Raw Results 2024'!J13</f>
        <v>0</v>
      </c>
      <c r="K13" s="155" t="e">
        <f t="shared" si="12"/>
        <v>#DIV/0!</v>
      </c>
      <c r="L13" s="143">
        <f>'Raw Results 2024'!L13</f>
        <v>0</v>
      </c>
      <c r="M13" s="143">
        <f>'Raw Results 2024'!N13</f>
        <v>0</v>
      </c>
      <c r="N13" s="143">
        <f>'Raw Results 2024'!P13</f>
        <v>0</v>
      </c>
      <c r="O13" s="155" t="e">
        <f t="shared" si="13"/>
        <v>#DIV/0!</v>
      </c>
      <c r="P13" s="143">
        <f>'Raw Results 2024'!R13</f>
        <v>0</v>
      </c>
      <c r="Q13" s="143">
        <f>'Raw Results 2024'!T13</f>
        <v>0</v>
      </c>
      <c r="R13" s="143">
        <f>'Raw Results 2024'!V13</f>
        <v>0</v>
      </c>
      <c r="S13" s="155" t="e">
        <f t="shared" si="14"/>
        <v>#DIV/0!</v>
      </c>
      <c r="T13" s="143">
        <f>'Raw Results 2024'!Y13</f>
        <v>0</v>
      </c>
      <c r="U13" s="143">
        <f>'Raw Results 2024'!Z13</f>
        <v>0</v>
      </c>
      <c r="V13" s="143">
        <f>'Raw Results 2024'!AB13</f>
        <v>0</v>
      </c>
      <c r="W13" s="155" t="e">
        <f t="shared" si="15"/>
        <v>#DIV/0!</v>
      </c>
      <c r="X13" s="143">
        <f>'Raw Results 2024'!AD13</f>
        <v>0</v>
      </c>
      <c r="Y13" s="143">
        <f>'Raw Results 2024'!AE13</f>
        <v>0</v>
      </c>
      <c r="Z13" s="143">
        <f>'Raw Results 2024'!AF13</f>
        <v>0</v>
      </c>
      <c r="AA13" s="155" t="e">
        <f t="shared" si="16"/>
        <v>#DIV/0!</v>
      </c>
      <c r="AB13" s="143">
        <f>'Raw Results 2024'!AH13</f>
        <v>0</v>
      </c>
      <c r="AC13" s="143">
        <f>'Raw Results 2024'!AJ13</f>
        <v>0</v>
      </c>
      <c r="AD13" s="143">
        <f>'Raw Results 2024'!AL13</f>
        <v>0</v>
      </c>
      <c r="AE13" s="155" t="e">
        <f t="shared" si="17"/>
        <v>#DIV/0!</v>
      </c>
      <c r="AF13" s="143">
        <f>'Raw Results 2024'!AN13</f>
        <v>0</v>
      </c>
      <c r="AG13" s="143">
        <f>'Raw Results 2024'!AP13</f>
        <v>0</v>
      </c>
      <c r="AH13" s="143">
        <f>'Raw Results 2024'!AR13</f>
        <v>0</v>
      </c>
      <c r="AI13" s="155" t="e">
        <f t="shared" si="18"/>
        <v>#DIV/0!</v>
      </c>
      <c r="AJ13" s="143">
        <f>'Raw Results 2024'!AT13</f>
        <v>0</v>
      </c>
      <c r="AK13" s="143">
        <f>'Raw Results 2024'!AV13</f>
        <v>0</v>
      </c>
      <c r="AL13" s="143">
        <f>'Raw Results 2024'!AX13</f>
        <v>0</v>
      </c>
      <c r="AM13" s="155" t="e">
        <f t="shared" si="19"/>
        <v>#DIV/0!</v>
      </c>
      <c r="AN13" s="143">
        <f>'Raw Results 2024'!AZ13</f>
        <v>0</v>
      </c>
      <c r="AO13" s="143">
        <f>'Raw Results 2024'!BB13</f>
        <v>0</v>
      </c>
      <c r="AP13" s="143">
        <f>'Raw Results 2024'!BD13</f>
        <v>0</v>
      </c>
      <c r="AQ13" s="155" t="e">
        <f t="shared" si="20"/>
        <v>#DIV/0!</v>
      </c>
      <c r="AT13" s="152">
        <f t="shared" si="0"/>
        <v>0</v>
      </c>
      <c r="AU13" s="152">
        <f t="shared" si="1"/>
        <v>0</v>
      </c>
      <c r="AV13" s="152">
        <f t="shared" si="2"/>
        <v>0</v>
      </c>
      <c r="AW13" s="155" t="e">
        <f t="shared" si="21"/>
        <v>#DIV/0!</v>
      </c>
      <c r="AY13" s="152">
        <f t="shared" si="3"/>
        <v>0</v>
      </c>
      <c r="AZ13" s="152">
        <f t="shared" si="4"/>
        <v>0</v>
      </c>
      <c r="BA13" s="152">
        <f t="shared" si="5"/>
        <v>0</v>
      </c>
      <c r="BB13" s="155" t="e">
        <f t="shared" si="22"/>
        <v>#DIV/0!</v>
      </c>
      <c r="BD13" s="152">
        <f t="shared" si="6"/>
        <v>0</v>
      </c>
      <c r="BE13" s="152">
        <f t="shared" si="7"/>
        <v>0</v>
      </c>
      <c r="BF13" s="152">
        <f t="shared" si="8"/>
        <v>0</v>
      </c>
      <c r="BG13" s="155" t="e">
        <f t="shared" si="23"/>
        <v>#DIV/0!</v>
      </c>
      <c r="BJ13" s="152">
        <f t="shared" si="9"/>
        <v>0</v>
      </c>
      <c r="BK13" s="152">
        <f t="shared" si="10"/>
        <v>0</v>
      </c>
      <c r="BL13" s="152">
        <f t="shared" si="11"/>
        <v>0</v>
      </c>
      <c r="BM13" s="155" t="e">
        <f t="shared" si="24"/>
        <v>#DIV/0!</v>
      </c>
    </row>
    <row r="14" spans="1:65">
      <c r="A14" t="s">
        <v>407</v>
      </c>
      <c r="B14">
        <v>0</v>
      </c>
      <c r="C14" t="s">
        <v>408</v>
      </c>
      <c r="D14" t="s">
        <v>408</v>
      </c>
      <c r="F14" t="s">
        <v>427</v>
      </c>
      <c r="G14" t="s">
        <v>421</v>
      </c>
      <c r="H14" s="143">
        <f>'Raw Results 2024'!G14</f>
        <v>999.28</v>
      </c>
      <c r="I14" s="143">
        <f>'Raw Results 2024'!H14</f>
        <v>1000.29</v>
      </c>
      <c r="J14" s="143">
        <f>'Raw Results 2024'!J14</f>
        <v>998.83</v>
      </c>
      <c r="K14" s="155">
        <f t="shared" si="12"/>
        <v>-1.4595767227503251E-3</v>
      </c>
      <c r="L14" s="143">
        <f>'Raw Results 2024'!L14</f>
        <v>294.64</v>
      </c>
      <c r="M14" s="143">
        <f>'Raw Results 2024'!N14</f>
        <v>296.69</v>
      </c>
      <c r="N14" s="143">
        <f>'Raw Results 2024'!P14</f>
        <v>294.52999999999997</v>
      </c>
      <c r="O14" s="155">
        <f t="shared" si="13"/>
        <v>-7.2803262664735075E-3</v>
      </c>
      <c r="P14" s="143">
        <f>'Raw Results 2024'!R14</f>
        <v>303.16000000000003</v>
      </c>
      <c r="Q14" s="143">
        <f>'Raw Results 2024'!T14</f>
        <v>307.68</v>
      </c>
      <c r="R14" s="143">
        <f>'Raw Results 2024'!V14</f>
        <v>300.02</v>
      </c>
      <c r="S14" s="155">
        <f t="shared" si="14"/>
        <v>-2.4895995839833675E-2</v>
      </c>
      <c r="T14" s="143">
        <f>'Raw Results 2024'!Y14</f>
        <v>673.26</v>
      </c>
      <c r="U14" s="143">
        <f>'Raw Results 2024'!Z14</f>
        <v>807.56</v>
      </c>
      <c r="V14" s="143">
        <f>'Raw Results 2024'!AB14</f>
        <v>646.54999999999995</v>
      </c>
      <c r="W14" s="155">
        <f t="shared" si="15"/>
        <v>-0.19937837436227648</v>
      </c>
      <c r="X14" s="143">
        <f>'Raw Results 2024'!AD14</f>
        <v>328.12</v>
      </c>
      <c r="Y14" s="143">
        <f>'Raw Results 2024'!AE14</f>
        <v>341.16</v>
      </c>
      <c r="Z14" s="143">
        <f>'Raw Results 2024'!AF14</f>
        <v>338.68</v>
      </c>
      <c r="AA14" s="155">
        <f t="shared" si="16"/>
        <v>-7.2693164497596961E-3</v>
      </c>
      <c r="AB14" s="143">
        <f>'Raw Results 2024'!AH14</f>
        <v>0</v>
      </c>
      <c r="AC14" s="143">
        <f>'Raw Results 2024'!AJ14</f>
        <v>0</v>
      </c>
      <c r="AD14" s="143">
        <f>'Raw Results 2024'!AL14</f>
        <v>0</v>
      </c>
      <c r="AE14" s="155" t="e">
        <f t="shared" si="17"/>
        <v>#DIV/0!</v>
      </c>
      <c r="AF14" s="143">
        <f>'Raw Results 2024'!AN14</f>
        <v>0</v>
      </c>
      <c r="AG14" s="143">
        <f>'Raw Results 2024'!AP14</f>
        <v>0</v>
      </c>
      <c r="AH14" s="143">
        <f>'Raw Results 2024'!AR14</f>
        <v>0</v>
      </c>
      <c r="AI14" s="155" t="e">
        <f t="shared" si="18"/>
        <v>#DIV/0!</v>
      </c>
      <c r="AJ14" s="143">
        <f>'Raw Results 2024'!AT14</f>
        <v>0</v>
      </c>
      <c r="AK14" s="143">
        <f>'Raw Results 2024'!AV14</f>
        <v>0</v>
      </c>
      <c r="AL14" s="143">
        <f>'Raw Results 2024'!AX14</f>
        <v>0</v>
      </c>
      <c r="AM14" s="155" t="e">
        <f t="shared" si="19"/>
        <v>#DIV/0!</v>
      </c>
      <c r="AN14" s="143">
        <f>'Raw Results 2024'!AZ14</f>
        <v>0</v>
      </c>
      <c r="AO14" s="143">
        <f>'Raw Results 2024'!BB14</f>
        <v>0</v>
      </c>
      <c r="AP14" s="143">
        <f>'Raw Results 2024'!BD14</f>
        <v>0</v>
      </c>
      <c r="AQ14" s="155" t="e">
        <f t="shared" si="20"/>
        <v>#DIV/0!</v>
      </c>
      <c r="AT14" s="152">
        <f t="shared" si="0"/>
        <v>1672.54</v>
      </c>
      <c r="AU14" s="152">
        <f t="shared" si="1"/>
        <v>1807.85</v>
      </c>
      <c r="AV14" s="152">
        <f t="shared" si="2"/>
        <v>1645.38</v>
      </c>
      <c r="AW14" s="155">
        <f t="shared" si="21"/>
        <v>-8.9869181624581573E-2</v>
      </c>
      <c r="AY14" s="152">
        <f t="shared" si="3"/>
        <v>622.76</v>
      </c>
      <c r="AZ14" s="152">
        <f t="shared" si="4"/>
        <v>637.85</v>
      </c>
      <c r="BA14" s="152">
        <f t="shared" si="5"/>
        <v>633.21</v>
      </c>
      <c r="BB14" s="155">
        <f t="shared" si="22"/>
        <v>-7.2744375636905013E-3</v>
      </c>
      <c r="BD14" s="152">
        <f t="shared" si="6"/>
        <v>303.16000000000003</v>
      </c>
      <c r="BE14" s="152">
        <f t="shared" si="7"/>
        <v>307.68</v>
      </c>
      <c r="BF14" s="152">
        <f t="shared" si="8"/>
        <v>300.02</v>
      </c>
      <c r="BG14" s="155">
        <f t="shared" si="23"/>
        <v>-2.4895995839833675E-2</v>
      </c>
      <c r="BJ14" s="152">
        <f t="shared" si="9"/>
        <v>2598.46</v>
      </c>
      <c r="BK14" s="152">
        <f t="shared" si="10"/>
        <v>2753.3799999999997</v>
      </c>
      <c r="BL14" s="152">
        <f t="shared" si="11"/>
        <v>2578.61</v>
      </c>
      <c r="BM14" s="155">
        <f t="shared" si="24"/>
        <v>-6.3474711082378579E-2</v>
      </c>
    </row>
    <row r="15" spans="1:65">
      <c r="A15" t="s">
        <v>407</v>
      </c>
      <c r="B15">
        <v>0</v>
      </c>
      <c r="C15" t="s">
        <v>408</v>
      </c>
      <c r="D15" t="s">
        <v>408</v>
      </c>
      <c r="F15" t="s">
        <v>428</v>
      </c>
      <c r="G15" t="s">
        <v>421</v>
      </c>
      <c r="H15" s="143">
        <f>'Raw Results 2024'!G15</f>
        <v>325626.05</v>
      </c>
      <c r="I15" s="143">
        <f>'Raw Results 2024'!H15</f>
        <v>325832.11</v>
      </c>
      <c r="J15" s="143">
        <f>'Raw Results 2024'!J15</f>
        <v>325917.53000000003</v>
      </c>
      <c r="K15" s="155">
        <f t="shared" si="12"/>
        <v>2.6215955204673323E-4</v>
      </c>
      <c r="L15" s="143">
        <f>'Raw Results 2024'!L15</f>
        <v>104419.2</v>
      </c>
      <c r="M15" s="143">
        <f>'Raw Results 2024'!N15</f>
        <v>104947.99</v>
      </c>
      <c r="N15" s="143">
        <f>'Raw Results 2024'!P15</f>
        <v>105085.47</v>
      </c>
      <c r="O15" s="155">
        <f t="shared" si="13"/>
        <v>1.3099822111885698E-3</v>
      </c>
      <c r="P15" s="143">
        <f>'Raw Results 2024'!R15</f>
        <v>105738.58</v>
      </c>
      <c r="Q15" s="143">
        <f>'Raw Results 2024'!T15</f>
        <v>106650.2</v>
      </c>
      <c r="R15" s="143">
        <f>'Raw Results 2024'!V15</f>
        <v>107486.32</v>
      </c>
      <c r="S15" s="155">
        <f t="shared" si="14"/>
        <v>7.839835274570604E-3</v>
      </c>
      <c r="T15" s="143">
        <f>'Raw Results 2024'!Y15</f>
        <v>178802.98</v>
      </c>
      <c r="U15" s="143">
        <f>'Raw Results 2024'!Z15</f>
        <v>205341.31</v>
      </c>
      <c r="V15" s="143">
        <f>'Raw Results 2024'!AB15</f>
        <v>211018.08</v>
      </c>
      <c r="W15" s="155">
        <f t="shared" si="15"/>
        <v>2.7645533185699407E-2</v>
      </c>
      <c r="X15" s="143">
        <f>'Raw Results 2024'!AD15</f>
        <v>111351.48</v>
      </c>
      <c r="Y15" s="143">
        <f>'Raw Results 2024'!AE15</f>
        <v>114170.33</v>
      </c>
      <c r="Z15" s="143">
        <f>'Raw Results 2024'!AF15</f>
        <v>115263.12</v>
      </c>
      <c r="AA15" s="155">
        <f t="shared" si="16"/>
        <v>9.5715760828578977E-3</v>
      </c>
      <c r="AB15" s="143">
        <f>'Raw Results 2024'!AH15</f>
        <v>0</v>
      </c>
      <c r="AC15" s="143">
        <f>'Raw Results 2024'!AJ15</f>
        <v>0</v>
      </c>
      <c r="AD15" s="143">
        <f>'Raw Results 2024'!AL15</f>
        <v>0</v>
      </c>
      <c r="AE15" s="155" t="e">
        <f t="shared" si="17"/>
        <v>#DIV/0!</v>
      </c>
      <c r="AF15" s="143">
        <f>'Raw Results 2024'!AN15</f>
        <v>0</v>
      </c>
      <c r="AG15" s="143">
        <f>'Raw Results 2024'!AP15</f>
        <v>0</v>
      </c>
      <c r="AH15" s="143">
        <f>'Raw Results 2024'!AR15</f>
        <v>0</v>
      </c>
      <c r="AI15" s="155" t="e">
        <f t="shared" si="18"/>
        <v>#DIV/0!</v>
      </c>
      <c r="AJ15" s="143">
        <f>'Raw Results 2024'!AT15</f>
        <v>0</v>
      </c>
      <c r="AK15" s="143">
        <f>'Raw Results 2024'!AV15</f>
        <v>0</v>
      </c>
      <c r="AL15" s="143">
        <f>'Raw Results 2024'!AX15</f>
        <v>0</v>
      </c>
      <c r="AM15" s="155" t="e">
        <f t="shared" si="19"/>
        <v>#DIV/0!</v>
      </c>
      <c r="AN15" s="143">
        <f>'Raw Results 2024'!AZ15</f>
        <v>0</v>
      </c>
      <c r="AO15" s="143">
        <f>'Raw Results 2024'!BB15</f>
        <v>0</v>
      </c>
      <c r="AP15" s="143">
        <f>'Raw Results 2024'!BD15</f>
        <v>0</v>
      </c>
      <c r="AQ15" s="155" t="e">
        <f t="shared" si="20"/>
        <v>#DIV/0!</v>
      </c>
      <c r="AT15" s="152">
        <f t="shared" si="0"/>
        <v>504429.03</v>
      </c>
      <c r="AU15" s="152">
        <f t="shared" si="1"/>
        <v>531173.41999999993</v>
      </c>
      <c r="AV15" s="152">
        <f t="shared" si="2"/>
        <v>536935.61</v>
      </c>
      <c r="AW15" s="155">
        <f t="shared" si="21"/>
        <v>1.0848039045327346E-2</v>
      </c>
      <c r="AY15" s="152">
        <f t="shared" si="3"/>
        <v>215770.68</v>
      </c>
      <c r="AZ15" s="152">
        <f t="shared" si="4"/>
        <v>219118.32</v>
      </c>
      <c r="BA15" s="152">
        <f t="shared" si="5"/>
        <v>220348.59</v>
      </c>
      <c r="BB15" s="155">
        <f t="shared" si="22"/>
        <v>5.6146377902130205E-3</v>
      </c>
      <c r="BD15" s="152">
        <f t="shared" si="6"/>
        <v>105738.58</v>
      </c>
      <c r="BE15" s="152">
        <f t="shared" si="7"/>
        <v>106650.2</v>
      </c>
      <c r="BF15" s="152">
        <f t="shared" si="8"/>
        <v>107486.32</v>
      </c>
      <c r="BG15" s="155">
        <f t="shared" si="23"/>
        <v>7.839835274570604E-3</v>
      </c>
      <c r="BJ15" s="152">
        <f t="shared" si="9"/>
        <v>825938.28999999992</v>
      </c>
      <c r="BK15" s="152">
        <f t="shared" si="10"/>
        <v>856941.94</v>
      </c>
      <c r="BL15" s="152">
        <f t="shared" si="11"/>
        <v>864770.52</v>
      </c>
      <c r="BM15" s="155">
        <f t="shared" si="24"/>
        <v>9.1354847214037329E-3</v>
      </c>
    </row>
    <row r="16" spans="1:65">
      <c r="A16" t="s">
        <v>407</v>
      </c>
      <c r="B16">
        <v>0</v>
      </c>
      <c r="C16" t="s">
        <v>408</v>
      </c>
      <c r="D16" t="s">
        <v>408</v>
      </c>
      <c r="F16" t="s">
        <v>429</v>
      </c>
      <c r="G16" t="s">
        <v>430</v>
      </c>
      <c r="H16" s="143">
        <f>'Raw Results 2024'!G16</f>
        <v>1211910.1299999999</v>
      </c>
      <c r="I16" s="143">
        <f>'Raw Results 2024'!H16</f>
        <v>1212629.55</v>
      </c>
      <c r="J16" s="143">
        <f>'Raw Results 2024'!J16</f>
        <v>1212317.96</v>
      </c>
      <c r="K16" s="155">
        <f t="shared" si="12"/>
        <v>-2.5695398895737268E-4</v>
      </c>
      <c r="L16" s="143">
        <f>'Raw Results 2024'!L16</f>
        <v>459655.5</v>
      </c>
      <c r="M16" s="143">
        <f>'Raw Results 2024'!N16</f>
        <v>461353.36</v>
      </c>
      <c r="N16" s="143">
        <f>'Raw Results 2024'!P16</f>
        <v>460708.99</v>
      </c>
      <c r="O16" s="155">
        <f t="shared" si="13"/>
        <v>-1.3966951492452452E-3</v>
      </c>
      <c r="P16" s="143">
        <f>'Raw Results 2024'!R16</f>
        <v>464234.89</v>
      </c>
      <c r="Q16" s="143">
        <f>'Raw Results 2024'!T16</f>
        <v>467261.5</v>
      </c>
      <c r="R16" s="143">
        <f>'Raw Results 2024'!V16</f>
        <v>466407</v>
      </c>
      <c r="S16" s="155">
        <f t="shared" si="14"/>
        <v>-1.8287404376350288E-3</v>
      </c>
      <c r="T16" s="143">
        <f>'Raw Results 2024'!Y16</f>
        <v>719662.86</v>
      </c>
      <c r="U16" s="143">
        <f>'Raw Results 2024'!Z16</f>
        <v>812249.53</v>
      </c>
      <c r="V16" s="143">
        <f>'Raw Results 2024'!AB16</f>
        <v>773240.01</v>
      </c>
      <c r="W16" s="155">
        <f t="shared" si="15"/>
        <v>-4.802652209598695E-2</v>
      </c>
      <c r="X16" s="143">
        <f>'Raw Results 2024'!AD16</f>
        <v>484923.58</v>
      </c>
      <c r="Y16" s="143">
        <f>'Raw Results 2024'!AE16</f>
        <v>494943.49</v>
      </c>
      <c r="Z16" s="143">
        <f>'Raw Results 2024'!AF16</f>
        <v>492505.07</v>
      </c>
      <c r="AA16" s="155">
        <f t="shared" si="16"/>
        <v>-4.9266634459622528E-3</v>
      </c>
      <c r="AB16" s="143">
        <f>'Raw Results 2024'!AH16</f>
        <v>0</v>
      </c>
      <c r="AC16" s="143">
        <f>'Raw Results 2024'!AJ16</f>
        <v>0</v>
      </c>
      <c r="AD16" s="143">
        <f>'Raw Results 2024'!AL16</f>
        <v>0</v>
      </c>
      <c r="AE16" s="155" t="e">
        <f t="shared" si="17"/>
        <v>#DIV/0!</v>
      </c>
      <c r="AF16" s="143">
        <f>'Raw Results 2024'!AN16</f>
        <v>0</v>
      </c>
      <c r="AG16" s="143">
        <f>'Raw Results 2024'!AP16</f>
        <v>0</v>
      </c>
      <c r="AH16" s="143">
        <f>'Raw Results 2024'!AR16</f>
        <v>0</v>
      </c>
      <c r="AI16" s="155" t="e">
        <f t="shared" si="18"/>
        <v>#DIV/0!</v>
      </c>
      <c r="AJ16" s="143">
        <f>'Raw Results 2024'!AT16</f>
        <v>0</v>
      </c>
      <c r="AK16" s="143">
        <f>'Raw Results 2024'!AV16</f>
        <v>0</v>
      </c>
      <c r="AL16" s="143">
        <f>'Raw Results 2024'!AX16</f>
        <v>0</v>
      </c>
      <c r="AM16" s="155" t="e">
        <f t="shared" si="19"/>
        <v>#DIV/0!</v>
      </c>
      <c r="AN16" s="143">
        <f>'Raw Results 2024'!AZ16</f>
        <v>0</v>
      </c>
      <c r="AO16" s="143">
        <f>'Raw Results 2024'!BB16</f>
        <v>0</v>
      </c>
      <c r="AP16" s="143">
        <f>'Raw Results 2024'!BD16</f>
        <v>0</v>
      </c>
      <c r="AQ16" s="155" t="e">
        <f t="shared" si="20"/>
        <v>#DIV/0!</v>
      </c>
      <c r="AT16" s="152">
        <f t="shared" si="0"/>
        <v>1931572.9899999998</v>
      </c>
      <c r="AU16" s="152">
        <f t="shared" si="1"/>
        <v>2024879.08</v>
      </c>
      <c r="AV16" s="152">
        <f t="shared" si="2"/>
        <v>1985557.97</v>
      </c>
      <c r="AW16" s="155">
        <f t="shared" si="21"/>
        <v>-1.9418991676283259E-2</v>
      </c>
      <c r="AY16" s="152">
        <f t="shared" si="3"/>
        <v>944579.08000000007</v>
      </c>
      <c r="AZ16" s="152">
        <f t="shared" si="4"/>
        <v>956296.85</v>
      </c>
      <c r="BA16" s="152">
        <f t="shared" si="5"/>
        <v>953214.06</v>
      </c>
      <c r="BB16" s="155">
        <f t="shared" si="22"/>
        <v>-3.2236747407459526E-3</v>
      </c>
      <c r="BD16" s="152">
        <f t="shared" si="6"/>
        <v>464234.89</v>
      </c>
      <c r="BE16" s="152">
        <f t="shared" si="7"/>
        <v>467261.5</v>
      </c>
      <c r="BF16" s="152">
        <f t="shared" si="8"/>
        <v>466407</v>
      </c>
      <c r="BG16" s="155">
        <f t="shared" si="23"/>
        <v>-1.8287404376350288E-3</v>
      </c>
      <c r="BJ16" s="152">
        <f t="shared" si="9"/>
        <v>3340386.96</v>
      </c>
      <c r="BK16" s="152">
        <f t="shared" si="10"/>
        <v>3448437.43</v>
      </c>
      <c r="BL16" s="152">
        <f t="shared" si="11"/>
        <v>3405179.0300000003</v>
      </c>
      <c r="BM16" s="155">
        <f t="shared" si="24"/>
        <v>-1.2544348238326571E-2</v>
      </c>
    </row>
    <row r="17" spans="1:65">
      <c r="A17" t="s">
        <v>407</v>
      </c>
      <c r="B17">
        <v>0</v>
      </c>
      <c r="C17" t="s">
        <v>408</v>
      </c>
      <c r="D17" t="s">
        <v>408</v>
      </c>
      <c r="F17" t="s">
        <v>431</v>
      </c>
      <c r="G17" t="s">
        <v>410</v>
      </c>
      <c r="H17" s="143">
        <f>'Raw Results 2024'!G17</f>
        <v>46727292.009999998</v>
      </c>
      <c r="I17" s="143">
        <f>'Raw Results 2024'!H17</f>
        <v>46758869.170000002</v>
      </c>
      <c r="J17" s="143">
        <f>'Raw Results 2024'!J17</f>
        <v>46755319.640000001</v>
      </c>
      <c r="K17" s="155">
        <f t="shared" si="12"/>
        <v>-7.5911373884947008E-5</v>
      </c>
      <c r="L17" s="143">
        <f>'Raw Results 2024'!L17</f>
        <v>15990618.810000001</v>
      </c>
      <c r="M17" s="143">
        <f>'Raw Results 2024'!N17</f>
        <v>16059963.93</v>
      </c>
      <c r="N17" s="143">
        <f>'Raw Results 2024'!P17</f>
        <v>16061697.85</v>
      </c>
      <c r="O17" s="155">
        <f t="shared" si="13"/>
        <v>1.0796537324476578E-4</v>
      </c>
      <c r="P17" s="143">
        <f>'Raw Results 2024'!R17</f>
        <v>16201355.060000001</v>
      </c>
      <c r="Q17" s="143">
        <f>'Raw Results 2024'!T17</f>
        <v>16331849.130000001</v>
      </c>
      <c r="R17" s="143">
        <f>'Raw Results 2024'!V17</f>
        <v>16356319.810000001</v>
      </c>
      <c r="S17" s="155">
        <f t="shared" si="14"/>
        <v>1.4983410515989563E-3</v>
      </c>
      <c r="T17" s="143">
        <f>'Raw Results 2024'!Y17</f>
        <v>27781002.57</v>
      </c>
      <c r="U17" s="143">
        <f>'Raw Results 2024'!Z17</f>
        <v>31970185.059999999</v>
      </c>
      <c r="V17" s="143">
        <f>'Raw Results 2024'!AB17</f>
        <v>29538980.399999999</v>
      </c>
      <c r="W17" s="155">
        <f t="shared" si="15"/>
        <v>-7.604599896551241E-2</v>
      </c>
      <c r="X17" s="143">
        <f>'Raw Results 2024'!AD17</f>
        <v>17363222.300000001</v>
      </c>
      <c r="Y17" s="143">
        <f>'Raw Results 2024'!AE17</f>
        <v>17882129.890000001</v>
      </c>
      <c r="Z17" s="143">
        <f>'Raw Results 2024'!AF17</f>
        <v>18035663.850000001</v>
      </c>
      <c r="AA17" s="155">
        <f t="shared" si="16"/>
        <v>8.5858877518756732E-3</v>
      </c>
      <c r="AB17" s="143">
        <f>'Raw Results 2024'!AH17</f>
        <v>0</v>
      </c>
      <c r="AC17" s="143">
        <f>'Raw Results 2024'!AJ17</f>
        <v>0</v>
      </c>
      <c r="AD17" s="143">
        <f>'Raw Results 2024'!AL17</f>
        <v>0</v>
      </c>
      <c r="AE17" s="155" t="e">
        <f t="shared" si="17"/>
        <v>#DIV/0!</v>
      </c>
      <c r="AF17" s="143">
        <f>'Raw Results 2024'!AN17</f>
        <v>0</v>
      </c>
      <c r="AG17" s="143">
        <f>'Raw Results 2024'!AP17</f>
        <v>0</v>
      </c>
      <c r="AH17" s="143">
        <f>'Raw Results 2024'!AR17</f>
        <v>0</v>
      </c>
      <c r="AI17" s="155" t="e">
        <f t="shared" si="18"/>
        <v>#DIV/0!</v>
      </c>
      <c r="AJ17" s="143">
        <f>'Raw Results 2024'!AT17</f>
        <v>0</v>
      </c>
      <c r="AK17" s="143">
        <f>'Raw Results 2024'!AV17</f>
        <v>0</v>
      </c>
      <c r="AL17" s="143">
        <f>'Raw Results 2024'!AX17</f>
        <v>0</v>
      </c>
      <c r="AM17" s="155" t="e">
        <f t="shared" si="19"/>
        <v>#DIV/0!</v>
      </c>
      <c r="AN17" s="143">
        <f>'Raw Results 2024'!AZ17</f>
        <v>0</v>
      </c>
      <c r="AO17" s="143">
        <f>'Raw Results 2024'!BB17</f>
        <v>0</v>
      </c>
      <c r="AP17" s="143">
        <f>'Raw Results 2024'!BD17</f>
        <v>0</v>
      </c>
      <c r="AQ17" s="155" t="e">
        <f t="shared" si="20"/>
        <v>#DIV/0!</v>
      </c>
      <c r="AT17" s="152">
        <f t="shared" si="0"/>
        <v>74508294.579999998</v>
      </c>
      <c r="AU17" s="152">
        <f t="shared" si="1"/>
        <v>78729054.230000004</v>
      </c>
      <c r="AV17" s="152">
        <f t="shared" si="2"/>
        <v>76294300.039999992</v>
      </c>
      <c r="AW17" s="155">
        <f t="shared" si="21"/>
        <v>-3.0925739091023401E-2</v>
      </c>
      <c r="AY17" s="152">
        <f t="shared" si="3"/>
        <v>33353841.109999999</v>
      </c>
      <c r="AZ17" s="152">
        <f t="shared" si="4"/>
        <v>33942093.82</v>
      </c>
      <c r="BA17" s="152">
        <f t="shared" si="5"/>
        <v>34097361.700000003</v>
      </c>
      <c r="BB17" s="155">
        <f t="shared" si="22"/>
        <v>4.5744932773862292E-3</v>
      </c>
      <c r="BD17" s="152">
        <f t="shared" si="6"/>
        <v>16201355.060000001</v>
      </c>
      <c r="BE17" s="152">
        <f t="shared" si="7"/>
        <v>16331849.130000001</v>
      </c>
      <c r="BF17" s="152">
        <f t="shared" si="8"/>
        <v>16356319.810000001</v>
      </c>
      <c r="BG17" s="155">
        <f t="shared" si="23"/>
        <v>1.4983410515989563E-3</v>
      </c>
      <c r="BJ17" s="152">
        <f t="shared" si="9"/>
        <v>124063490.75</v>
      </c>
      <c r="BK17" s="152">
        <f t="shared" si="10"/>
        <v>129002997.18000001</v>
      </c>
      <c r="BL17" s="152">
        <f t="shared" si="11"/>
        <v>126747981.55</v>
      </c>
      <c r="BM17" s="155">
        <f t="shared" si="24"/>
        <v>-1.7480335180534989E-2</v>
      </c>
    </row>
    <row r="18" spans="1:65">
      <c r="A18" t="s">
        <v>407</v>
      </c>
      <c r="B18">
        <v>0</v>
      </c>
      <c r="C18" t="s">
        <v>408</v>
      </c>
      <c r="D18" t="s">
        <v>408</v>
      </c>
      <c r="F18" t="s">
        <v>432</v>
      </c>
      <c r="G18" t="s">
        <v>415</v>
      </c>
      <c r="H18" s="143">
        <f>'Raw Results 2024'!G18</f>
        <v>74422577.189999998</v>
      </c>
      <c r="I18" s="143">
        <f>'Raw Results 2024'!H18</f>
        <v>74428728.299999997</v>
      </c>
      <c r="J18" s="143">
        <f>'Raw Results 2024'!J18</f>
        <v>74433016.680000007</v>
      </c>
      <c r="K18" s="155">
        <f t="shared" si="12"/>
        <v>5.7617268196830562E-5</v>
      </c>
      <c r="L18" s="143">
        <f>'Raw Results 2024'!L18</f>
        <v>13894930.27</v>
      </c>
      <c r="M18" s="143">
        <f>'Raw Results 2024'!N18</f>
        <v>13947185.130000001</v>
      </c>
      <c r="N18" s="143">
        <f>'Raw Results 2024'!P18</f>
        <v>13975505.9</v>
      </c>
      <c r="O18" s="155">
        <f t="shared" si="13"/>
        <v>2.0305724586018705E-3</v>
      </c>
      <c r="P18" s="143">
        <f>'Raw Results 2024'!R18</f>
        <v>14043055.9</v>
      </c>
      <c r="Q18" s="143">
        <f>'Raw Results 2024'!T18</f>
        <v>14138285.32</v>
      </c>
      <c r="R18" s="143">
        <f>'Raw Results 2024'!V18</f>
        <v>14246668.43</v>
      </c>
      <c r="S18" s="155">
        <f t="shared" si="14"/>
        <v>7.6659303124036399E-3</v>
      </c>
      <c r="T18" s="143">
        <f>'Raw Results 2024'!Y18</f>
        <v>35829476.600000001</v>
      </c>
      <c r="U18" s="143">
        <f>'Raw Results 2024'!Z18</f>
        <v>43531017.560000002</v>
      </c>
      <c r="V18" s="143">
        <f>'Raw Results 2024'!AB18</f>
        <v>44098685.57</v>
      </c>
      <c r="W18" s="155">
        <f t="shared" si="15"/>
        <v>1.304054078721145E-2</v>
      </c>
      <c r="X18" s="143">
        <f>'Raw Results 2024'!AD18</f>
        <v>16107054.83</v>
      </c>
      <c r="Y18" s="143">
        <f>'Raw Results 2024'!AE18</f>
        <v>16877314.609999999</v>
      </c>
      <c r="Z18" s="143">
        <f>'Raw Results 2024'!AF18</f>
        <v>18458166.030000001</v>
      </c>
      <c r="AA18" s="155">
        <f t="shared" si="16"/>
        <v>9.3667236555709493E-2</v>
      </c>
      <c r="AB18" s="143">
        <f>'Raw Results 2024'!AH18</f>
        <v>0</v>
      </c>
      <c r="AC18" s="143">
        <f>'Raw Results 2024'!AJ18</f>
        <v>0</v>
      </c>
      <c r="AD18" s="143">
        <f>'Raw Results 2024'!AL18</f>
        <v>0</v>
      </c>
      <c r="AE18" s="155" t="e">
        <f t="shared" si="17"/>
        <v>#DIV/0!</v>
      </c>
      <c r="AF18" s="143">
        <f>'Raw Results 2024'!AN18</f>
        <v>0</v>
      </c>
      <c r="AG18" s="143">
        <f>'Raw Results 2024'!AP18</f>
        <v>0</v>
      </c>
      <c r="AH18" s="143">
        <f>'Raw Results 2024'!AR18</f>
        <v>0</v>
      </c>
      <c r="AI18" s="155" t="e">
        <f t="shared" si="18"/>
        <v>#DIV/0!</v>
      </c>
      <c r="AJ18" s="143">
        <f>'Raw Results 2024'!AT18</f>
        <v>0</v>
      </c>
      <c r="AK18" s="143">
        <f>'Raw Results 2024'!AV18</f>
        <v>0</v>
      </c>
      <c r="AL18" s="143">
        <f>'Raw Results 2024'!AX18</f>
        <v>0</v>
      </c>
      <c r="AM18" s="155" t="e">
        <f t="shared" si="19"/>
        <v>#DIV/0!</v>
      </c>
      <c r="AN18" s="143">
        <f>'Raw Results 2024'!AZ18</f>
        <v>0</v>
      </c>
      <c r="AO18" s="143">
        <f>'Raw Results 2024'!BB18</f>
        <v>0</v>
      </c>
      <c r="AP18" s="143">
        <f>'Raw Results 2024'!BD18</f>
        <v>0</v>
      </c>
      <c r="AQ18" s="155" t="e">
        <f t="shared" si="20"/>
        <v>#DIV/0!</v>
      </c>
      <c r="AT18" s="152">
        <f t="shared" si="0"/>
        <v>110252053.78999999</v>
      </c>
      <c r="AU18" s="152">
        <f t="shared" si="1"/>
        <v>117959745.86</v>
      </c>
      <c r="AV18" s="152">
        <f t="shared" si="2"/>
        <v>118531702.25</v>
      </c>
      <c r="AW18" s="155">
        <f t="shared" si="21"/>
        <v>4.8487421351248458E-3</v>
      </c>
      <c r="AY18" s="152">
        <f t="shared" si="3"/>
        <v>30001985.100000001</v>
      </c>
      <c r="AZ18" s="152">
        <f t="shared" si="4"/>
        <v>30824499.740000002</v>
      </c>
      <c r="BA18" s="152">
        <f t="shared" si="5"/>
        <v>32433671.93</v>
      </c>
      <c r="BB18" s="155">
        <f t="shared" si="22"/>
        <v>5.2204324598067182E-2</v>
      </c>
      <c r="BD18" s="152">
        <f t="shared" si="6"/>
        <v>14043055.9</v>
      </c>
      <c r="BE18" s="152">
        <f t="shared" si="7"/>
        <v>14138285.32</v>
      </c>
      <c r="BF18" s="152">
        <f t="shared" si="8"/>
        <v>14246668.43</v>
      </c>
      <c r="BG18" s="155">
        <f t="shared" si="23"/>
        <v>7.6659303124036399E-3</v>
      </c>
      <c r="BJ18" s="152">
        <f t="shared" si="9"/>
        <v>154297094.78999999</v>
      </c>
      <c r="BK18" s="152">
        <f t="shared" si="10"/>
        <v>162922530.91999999</v>
      </c>
      <c r="BL18" s="152">
        <f t="shared" si="11"/>
        <v>165212042.61000001</v>
      </c>
      <c r="BM18" s="155">
        <f t="shared" si="24"/>
        <v>1.4052762850365053E-2</v>
      </c>
    </row>
    <row r="19" spans="1:65">
      <c r="A19" t="s">
        <v>407</v>
      </c>
      <c r="B19">
        <v>0</v>
      </c>
      <c r="C19" t="s">
        <v>408</v>
      </c>
      <c r="D19" t="s">
        <v>408</v>
      </c>
      <c r="F19" t="s">
        <v>433</v>
      </c>
      <c r="G19" t="s">
        <v>434</v>
      </c>
      <c r="H19" s="143">
        <f>'Raw Results 2024'!G19</f>
        <v>1425228178.27</v>
      </c>
      <c r="I19" s="143">
        <f>'Raw Results 2024'!H19</f>
        <v>1426143440.96</v>
      </c>
      <c r="J19" s="143">
        <f>'Raw Results 2024'!J19</f>
        <v>1426074813.0899999</v>
      </c>
      <c r="K19" s="155">
        <f t="shared" si="12"/>
        <v>-4.8121295536673037E-5</v>
      </c>
      <c r="L19" s="143">
        <f>'Raw Results 2024'!L19</f>
        <v>474228517.94999999</v>
      </c>
      <c r="M19" s="143">
        <f>'Raw Results 2024'!N19</f>
        <v>476298007.08999997</v>
      </c>
      <c r="N19" s="143">
        <f>'Raw Results 2024'!P19</f>
        <v>476410088.22000003</v>
      </c>
      <c r="O19" s="155">
        <f t="shared" si="13"/>
        <v>2.3531723486484437E-4</v>
      </c>
      <c r="P19" s="143">
        <f>'Raw Results 2024'!R19</f>
        <v>480429037.95999998</v>
      </c>
      <c r="Q19" s="143">
        <f>'Raw Results 2024'!T19</f>
        <v>484297713.30000001</v>
      </c>
      <c r="R19" s="143">
        <f>'Raw Results 2024'!V19</f>
        <v>485292973.63999999</v>
      </c>
      <c r="S19" s="155">
        <f t="shared" si="14"/>
        <v>2.0550589289763093E-3</v>
      </c>
      <c r="T19" s="143">
        <f>'Raw Results 2024'!Y19</f>
        <v>834913558.85000002</v>
      </c>
      <c r="U19" s="143">
        <f>'Raw Results 2024'!Z19</f>
        <v>963004655.91999996</v>
      </c>
      <c r="V19" s="143">
        <f>'Raw Results 2024'!AB19</f>
        <v>899435599.41999996</v>
      </c>
      <c r="W19" s="155">
        <f t="shared" si="15"/>
        <v>-6.6011162157123465E-2</v>
      </c>
      <c r="X19" s="143">
        <f>'Raw Results 2024'!AD19</f>
        <v>515402588.80000001</v>
      </c>
      <c r="Y19" s="143">
        <f>'Raw Results 2024'!AE19</f>
        <v>530956458.12</v>
      </c>
      <c r="Z19" s="143">
        <f>'Raw Results 2024'!AF19</f>
        <v>536980383.01999998</v>
      </c>
      <c r="AA19" s="155">
        <f t="shared" si="16"/>
        <v>1.1345421659111878E-2</v>
      </c>
      <c r="AB19" s="143">
        <f>'Raw Results 2024'!AH19</f>
        <v>0</v>
      </c>
      <c r="AC19" s="143">
        <f>'Raw Results 2024'!AJ19</f>
        <v>0</v>
      </c>
      <c r="AD19" s="143">
        <f>'Raw Results 2024'!AL19</f>
        <v>0</v>
      </c>
      <c r="AE19" s="155" t="e">
        <f t="shared" si="17"/>
        <v>#DIV/0!</v>
      </c>
      <c r="AF19" s="143">
        <f>'Raw Results 2024'!AN19</f>
        <v>0</v>
      </c>
      <c r="AG19" s="143">
        <f>'Raw Results 2024'!AP19</f>
        <v>0</v>
      </c>
      <c r="AH19" s="143">
        <f>'Raw Results 2024'!AR19</f>
        <v>0</v>
      </c>
      <c r="AI19" s="155" t="e">
        <f t="shared" si="18"/>
        <v>#DIV/0!</v>
      </c>
      <c r="AJ19" s="143">
        <f>'Raw Results 2024'!AT19</f>
        <v>0</v>
      </c>
      <c r="AK19" s="143">
        <f>'Raw Results 2024'!AV19</f>
        <v>0</v>
      </c>
      <c r="AL19" s="143">
        <f>'Raw Results 2024'!AX19</f>
        <v>0</v>
      </c>
      <c r="AM19" s="155" t="e">
        <f t="shared" si="19"/>
        <v>#DIV/0!</v>
      </c>
      <c r="AN19" s="143">
        <f>'Raw Results 2024'!AZ19</f>
        <v>0</v>
      </c>
      <c r="AO19" s="143">
        <f>'Raw Results 2024'!BB19</f>
        <v>0</v>
      </c>
      <c r="AP19" s="143">
        <f>'Raw Results 2024'!BD19</f>
        <v>0</v>
      </c>
      <c r="AQ19" s="155" t="e">
        <f t="shared" si="20"/>
        <v>#DIV/0!</v>
      </c>
      <c r="AT19" s="152">
        <f t="shared" si="0"/>
        <v>2260141737.1199999</v>
      </c>
      <c r="AU19" s="152">
        <f t="shared" si="1"/>
        <v>2389148096.8800001</v>
      </c>
      <c r="AV19" s="152">
        <f t="shared" si="2"/>
        <v>2325510412.5099998</v>
      </c>
      <c r="AW19" s="155">
        <f t="shared" si="21"/>
        <v>-2.6636140494222655E-2</v>
      </c>
      <c r="AY19" s="152">
        <f t="shared" si="3"/>
        <v>989631106.75</v>
      </c>
      <c r="AZ19" s="152">
        <f t="shared" si="4"/>
        <v>1007254465.21</v>
      </c>
      <c r="BA19" s="152">
        <f t="shared" si="5"/>
        <v>1013390471.24</v>
      </c>
      <c r="BB19" s="155">
        <f t="shared" si="22"/>
        <v>6.091813183196652E-3</v>
      </c>
      <c r="BD19" s="152">
        <f t="shared" si="6"/>
        <v>480429037.95999998</v>
      </c>
      <c r="BE19" s="152">
        <f t="shared" si="7"/>
        <v>484297713.30000001</v>
      </c>
      <c r="BF19" s="152">
        <f t="shared" si="8"/>
        <v>485292973.63999999</v>
      </c>
      <c r="BG19" s="155">
        <f t="shared" si="23"/>
        <v>2.0550589289763093E-3</v>
      </c>
      <c r="BJ19" s="152">
        <f t="shared" si="9"/>
        <v>3730201881.8299999</v>
      </c>
      <c r="BK19" s="152">
        <f t="shared" si="10"/>
        <v>3880700275.3900003</v>
      </c>
      <c r="BL19" s="152">
        <f t="shared" si="11"/>
        <v>3824193857.3899999</v>
      </c>
      <c r="BM19" s="155">
        <f t="shared" si="24"/>
        <v>-1.4560881797118879E-2</v>
      </c>
    </row>
    <row r="20" spans="1:65">
      <c r="A20" t="s">
        <v>407</v>
      </c>
      <c r="B20">
        <v>0</v>
      </c>
      <c r="C20" t="s">
        <v>408</v>
      </c>
      <c r="D20" t="s">
        <v>408</v>
      </c>
      <c r="F20" t="s">
        <v>435</v>
      </c>
      <c r="G20" t="s">
        <v>421</v>
      </c>
      <c r="H20" s="143">
        <f>'Raw Results 2024'!G20</f>
        <v>326625.34000000003</v>
      </c>
      <c r="I20" s="143">
        <f>'Raw Results 2024'!H20</f>
        <v>326832.40000000002</v>
      </c>
      <c r="J20" s="143">
        <f>'Raw Results 2024'!J20</f>
        <v>326916.36</v>
      </c>
      <c r="K20" s="155">
        <f t="shared" si="12"/>
        <v>2.5689007576960773E-4</v>
      </c>
      <c r="L20" s="143">
        <f>'Raw Results 2024'!L20</f>
        <v>104713.85</v>
      </c>
      <c r="M20" s="143">
        <f>'Raw Results 2024'!N20</f>
        <v>105244.67</v>
      </c>
      <c r="N20" s="143">
        <f>'Raw Results 2024'!P20</f>
        <v>105380</v>
      </c>
      <c r="O20" s="155">
        <f t="shared" si="13"/>
        <v>1.2858608421690309E-3</v>
      </c>
      <c r="P20" s="143">
        <f>'Raw Results 2024'!R20</f>
        <v>106041.74</v>
      </c>
      <c r="Q20" s="143">
        <f>'Raw Results 2024'!T20</f>
        <v>106957.88</v>
      </c>
      <c r="R20" s="143">
        <f>'Raw Results 2024'!V20</f>
        <v>107786.34</v>
      </c>
      <c r="S20" s="155">
        <f t="shared" si="14"/>
        <v>7.7456658639830167E-3</v>
      </c>
      <c r="T20" s="143">
        <f>'Raw Results 2024'!Y20</f>
        <v>179476.24</v>
      </c>
      <c r="U20" s="143">
        <f>'Raw Results 2024'!Z20</f>
        <v>206148.87</v>
      </c>
      <c r="V20" s="143">
        <f>'Raw Results 2024'!AB20</f>
        <v>211664.63</v>
      </c>
      <c r="W20" s="155">
        <f t="shared" si="15"/>
        <v>2.6756198081512691E-2</v>
      </c>
      <c r="X20" s="143">
        <f>'Raw Results 2024'!AD20</f>
        <v>111679.6</v>
      </c>
      <c r="Y20" s="143">
        <f>'Raw Results 2024'!AE20</f>
        <v>114511.49</v>
      </c>
      <c r="Z20" s="143">
        <f>'Raw Results 2024'!AF20</f>
        <v>115601.81</v>
      </c>
      <c r="AA20" s="155">
        <f t="shared" si="16"/>
        <v>9.5214899395684432E-3</v>
      </c>
      <c r="AB20" s="143">
        <f>'Raw Results 2024'!AH20</f>
        <v>0</v>
      </c>
      <c r="AC20" s="143">
        <f>'Raw Results 2024'!AJ20</f>
        <v>0</v>
      </c>
      <c r="AD20" s="143">
        <f>'Raw Results 2024'!AL20</f>
        <v>0</v>
      </c>
      <c r="AE20" s="155" t="e">
        <f t="shared" si="17"/>
        <v>#DIV/0!</v>
      </c>
      <c r="AF20" s="143">
        <f>'Raw Results 2024'!AN20</f>
        <v>0</v>
      </c>
      <c r="AG20" s="143">
        <f>'Raw Results 2024'!AP20</f>
        <v>0</v>
      </c>
      <c r="AH20" s="143">
        <f>'Raw Results 2024'!AR20</f>
        <v>0</v>
      </c>
      <c r="AI20" s="155" t="e">
        <f t="shared" si="18"/>
        <v>#DIV/0!</v>
      </c>
      <c r="AJ20" s="143">
        <f>'Raw Results 2024'!AT20</f>
        <v>0</v>
      </c>
      <c r="AK20" s="143">
        <f>'Raw Results 2024'!AV20</f>
        <v>0</v>
      </c>
      <c r="AL20" s="143">
        <f>'Raw Results 2024'!AX20</f>
        <v>0</v>
      </c>
      <c r="AM20" s="155" t="e">
        <f t="shared" si="19"/>
        <v>#DIV/0!</v>
      </c>
      <c r="AN20" s="143">
        <f>'Raw Results 2024'!AZ20</f>
        <v>0</v>
      </c>
      <c r="AO20" s="143">
        <f>'Raw Results 2024'!BB20</f>
        <v>0</v>
      </c>
      <c r="AP20" s="143">
        <f>'Raw Results 2024'!BD20</f>
        <v>0</v>
      </c>
      <c r="AQ20" s="155" t="e">
        <f t="shared" si="20"/>
        <v>#DIV/0!</v>
      </c>
      <c r="AT20" s="152">
        <f t="shared" si="0"/>
        <v>506101.58</v>
      </c>
      <c r="AU20" s="152">
        <f t="shared" si="1"/>
        <v>532981.27</v>
      </c>
      <c r="AV20" s="152">
        <f t="shared" si="2"/>
        <v>538580.99</v>
      </c>
      <c r="AW20" s="155">
        <f t="shared" si="21"/>
        <v>1.0506410478552036E-2</v>
      </c>
      <c r="AY20" s="152">
        <f t="shared" si="3"/>
        <v>216393.45</v>
      </c>
      <c r="AZ20" s="152">
        <f t="shared" si="4"/>
        <v>219756.16</v>
      </c>
      <c r="BA20" s="152">
        <f t="shared" si="5"/>
        <v>220981.81</v>
      </c>
      <c r="BB20" s="155">
        <f t="shared" si="22"/>
        <v>5.5773180601626556E-3</v>
      </c>
      <c r="BD20" s="152">
        <f t="shared" si="6"/>
        <v>106041.74</v>
      </c>
      <c r="BE20" s="152">
        <f t="shared" si="7"/>
        <v>106957.88</v>
      </c>
      <c r="BF20" s="152">
        <f t="shared" si="8"/>
        <v>107786.34</v>
      </c>
      <c r="BG20" s="155">
        <f t="shared" si="23"/>
        <v>7.7456658639830167E-3</v>
      </c>
      <c r="BJ20" s="152">
        <f t="shared" si="9"/>
        <v>828536.77</v>
      </c>
      <c r="BK20" s="152">
        <f t="shared" si="10"/>
        <v>859695.31</v>
      </c>
      <c r="BL20" s="152">
        <f t="shared" si="11"/>
        <v>867349.14</v>
      </c>
      <c r="BM20" s="155">
        <f t="shared" si="24"/>
        <v>8.90295656027245E-3</v>
      </c>
    </row>
    <row r="21" spans="1:65">
      <c r="A21" t="s">
        <v>407</v>
      </c>
      <c r="B21">
        <v>0</v>
      </c>
      <c r="C21" t="s">
        <v>436</v>
      </c>
      <c r="D21" t="s">
        <v>437</v>
      </c>
      <c r="F21" t="s">
        <v>409</v>
      </c>
      <c r="G21" t="s">
        <v>410</v>
      </c>
      <c r="H21" s="143">
        <f>'Raw Results 2024'!G21</f>
        <v>121836</v>
      </c>
      <c r="I21" s="143">
        <f>'Raw Results 2024'!H21</f>
        <v>151680.66</v>
      </c>
      <c r="J21" s="143">
        <f>'Raw Results 2024'!J21</f>
        <v>148483.28</v>
      </c>
      <c r="K21" s="155">
        <f t="shared" si="12"/>
        <v>-2.1079681483453492E-2</v>
      </c>
      <c r="L21" s="143">
        <f>'Raw Results 2024'!L21</f>
        <v>225184.51</v>
      </c>
      <c r="M21" s="143">
        <f>'Raw Results 2024'!N21</f>
        <v>290537.02</v>
      </c>
      <c r="N21" s="143">
        <f>'Raw Results 2024'!P21</f>
        <v>292265.46000000002</v>
      </c>
      <c r="O21" s="155">
        <f t="shared" si="13"/>
        <v>5.9491213890746257E-3</v>
      </c>
      <c r="P21" s="143">
        <f>'Raw Results 2024'!R21</f>
        <v>423378.55</v>
      </c>
      <c r="Q21" s="143">
        <f>'Raw Results 2024'!T21</f>
        <v>546240.64</v>
      </c>
      <c r="R21" s="143">
        <f>'Raw Results 2024'!V21</f>
        <v>570031.4</v>
      </c>
      <c r="S21" s="155">
        <f t="shared" si="14"/>
        <v>4.3553625010398361E-2</v>
      </c>
      <c r="T21" s="143">
        <f>'Raw Results 2024'!Y21</f>
        <v>11281776.48</v>
      </c>
      <c r="U21" s="143">
        <f>'Raw Results 2024'!Z21</f>
        <v>15210628.140000001</v>
      </c>
      <c r="V21" s="143">
        <f>'Raw Results 2024'!AB21</f>
        <v>13032816.539999999</v>
      </c>
      <c r="W21" s="155">
        <f t="shared" si="15"/>
        <v>-0.14317696678633032</v>
      </c>
      <c r="X21" s="143">
        <f>'Raw Results 2024'!AD21</f>
        <v>1302065.32</v>
      </c>
      <c r="Y21" s="143">
        <f>'Raw Results 2024'!AE21</f>
        <v>1721322.31</v>
      </c>
      <c r="Z21" s="143">
        <f>'Raw Results 2024'!AF21</f>
        <v>1880258.23</v>
      </c>
      <c r="AA21" s="155">
        <f t="shared" si="16"/>
        <v>9.2333619959878363E-2</v>
      </c>
      <c r="AB21" s="143">
        <f>'Raw Results 2024'!AH21</f>
        <v>0</v>
      </c>
      <c r="AC21" s="143">
        <f>'Raw Results 2024'!AJ21</f>
        <v>0</v>
      </c>
      <c r="AD21" s="143">
        <f>'Raw Results 2024'!AL21</f>
        <v>0</v>
      </c>
      <c r="AE21" s="155" t="e">
        <f t="shared" si="17"/>
        <v>#DIV/0!</v>
      </c>
      <c r="AF21" s="143">
        <f>'Raw Results 2024'!AN21</f>
        <v>0</v>
      </c>
      <c r="AG21" s="143">
        <f>'Raw Results 2024'!AP21</f>
        <v>0</v>
      </c>
      <c r="AH21" s="143">
        <f>'Raw Results 2024'!AR21</f>
        <v>0</v>
      </c>
      <c r="AI21" s="155" t="e">
        <f t="shared" si="18"/>
        <v>#DIV/0!</v>
      </c>
      <c r="AJ21" s="143">
        <f>'Raw Results 2024'!AT21</f>
        <v>0</v>
      </c>
      <c r="AK21" s="143">
        <f>'Raw Results 2024'!AV21</f>
        <v>0</v>
      </c>
      <c r="AL21" s="143">
        <f>'Raw Results 2024'!AX21</f>
        <v>0</v>
      </c>
      <c r="AM21" s="155" t="e">
        <f t="shared" si="19"/>
        <v>#DIV/0!</v>
      </c>
      <c r="AN21" s="143">
        <f>'Raw Results 2024'!AZ21</f>
        <v>0</v>
      </c>
      <c r="AO21" s="143">
        <f>'Raw Results 2024'!BB21</f>
        <v>0</v>
      </c>
      <c r="AP21" s="143">
        <f>'Raw Results 2024'!BD21</f>
        <v>0</v>
      </c>
      <c r="AQ21" s="155" t="e">
        <f t="shared" si="20"/>
        <v>#DIV/0!</v>
      </c>
      <c r="AT21" s="152">
        <f t="shared" si="0"/>
        <v>11403612.48</v>
      </c>
      <c r="AU21" s="152">
        <f t="shared" si="1"/>
        <v>15362308.800000001</v>
      </c>
      <c r="AV21" s="152">
        <f t="shared" si="2"/>
        <v>13181299.819999998</v>
      </c>
      <c r="AW21" s="155">
        <f t="shared" si="21"/>
        <v>-0.14197143205453611</v>
      </c>
      <c r="AY21" s="152">
        <f t="shared" si="3"/>
        <v>1527249.83</v>
      </c>
      <c r="AZ21" s="152">
        <f t="shared" si="4"/>
        <v>2011859.33</v>
      </c>
      <c r="BA21" s="152">
        <f t="shared" si="5"/>
        <v>2172523.69</v>
      </c>
      <c r="BB21" s="155">
        <f t="shared" si="22"/>
        <v>7.9858644987867947E-2</v>
      </c>
      <c r="BD21" s="152">
        <f t="shared" si="6"/>
        <v>423378.55</v>
      </c>
      <c r="BE21" s="152">
        <f t="shared" si="7"/>
        <v>546240.64</v>
      </c>
      <c r="BF21" s="152">
        <f t="shared" si="8"/>
        <v>570031.4</v>
      </c>
      <c r="BG21" s="155">
        <f t="shared" si="23"/>
        <v>4.3553625010398361E-2</v>
      </c>
      <c r="BJ21" s="152">
        <f t="shared" si="9"/>
        <v>13354240.860000001</v>
      </c>
      <c r="BK21" s="152">
        <f t="shared" si="10"/>
        <v>17920408.770000003</v>
      </c>
      <c r="BL21" s="152">
        <f t="shared" si="11"/>
        <v>15923854.909999998</v>
      </c>
      <c r="BM21" s="155">
        <f t="shared" si="24"/>
        <v>-0.11141229453104738</v>
      </c>
    </row>
    <row r="22" spans="1:65">
      <c r="A22" t="s">
        <v>407</v>
      </c>
      <c r="B22">
        <v>0</v>
      </c>
      <c r="C22" t="s">
        <v>436</v>
      </c>
      <c r="D22" t="s">
        <v>437</v>
      </c>
      <c r="F22" t="s">
        <v>411</v>
      </c>
      <c r="G22" t="s">
        <v>410</v>
      </c>
      <c r="H22" s="143">
        <f>'Raw Results 2024'!G22</f>
        <v>7076</v>
      </c>
      <c r="I22" s="143">
        <f>'Raw Results 2024'!H22</f>
        <v>8810.49</v>
      </c>
      <c r="J22" s="143">
        <f>'Raw Results 2024'!J22</f>
        <v>8458.35</v>
      </c>
      <c r="K22" s="155">
        <f t="shared" si="12"/>
        <v>-3.9968265102167916E-2</v>
      </c>
      <c r="L22" s="143">
        <f>'Raw Results 2024'!L22</f>
        <v>13757.29</v>
      </c>
      <c r="M22" s="143">
        <f>'Raw Results 2024'!N22</f>
        <v>17749.89</v>
      </c>
      <c r="N22" s="143">
        <f>'Raw Results 2024'!P22</f>
        <v>17755.37</v>
      </c>
      <c r="O22" s="155">
        <f t="shared" si="13"/>
        <v>3.0873430764920593E-4</v>
      </c>
      <c r="P22" s="143">
        <f>'Raw Results 2024'!R22</f>
        <v>26299.5</v>
      </c>
      <c r="Q22" s="143">
        <f>'Raw Results 2024'!T22</f>
        <v>33931.480000000003</v>
      </c>
      <c r="R22" s="143">
        <f>'Raw Results 2024'!V22</f>
        <v>34611.39</v>
      </c>
      <c r="S22" s="155">
        <f t="shared" si="14"/>
        <v>2.0037734870391628E-2</v>
      </c>
      <c r="T22" s="143">
        <f>'Raw Results 2024'!Y22</f>
        <v>747549.08</v>
      </c>
      <c r="U22" s="143">
        <f>'Raw Results 2024'!Z22</f>
        <v>1007879.9</v>
      </c>
      <c r="V22" s="143">
        <f>'Raw Results 2024'!AB22</f>
        <v>754486.85</v>
      </c>
      <c r="W22" s="155">
        <f t="shared" si="15"/>
        <v>-0.25141194898320729</v>
      </c>
      <c r="X22" s="143">
        <f>'Raw Results 2024'!AD22</f>
        <v>309479.96000000002</v>
      </c>
      <c r="Y22" s="143">
        <f>'Raw Results 2024'!AE22</f>
        <v>409130.57</v>
      </c>
      <c r="Z22" s="143">
        <f>'Raw Results 2024'!AF22</f>
        <v>403728.6</v>
      </c>
      <c r="AA22" s="155">
        <f t="shared" si="16"/>
        <v>-1.3203535487460715E-2</v>
      </c>
      <c r="AB22" s="143">
        <f>'Raw Results 2024'!AH22</f>
        <v>0</v>
      </c>
      <c r="AC22" s="143">
        <f>'Raw Results 2024'!AJ22</f>
        <v>0</v>
      </c>
      <c r="AD22" s="143">
        <f>'Raw Results 2024'!AL22</f>
        <v>0</v>
      </c>
      <c r="AE22" s="155" t="e">
        <f t="shared" si="17"/>
        <v>#DIV/0!</v>
      </c>
      <c r="AF22" s="143">
        <f>'Raw Results 2024'!AN22</f>
        <v>0</v>
      </c>
      <c r="AG22" s="143">
        <f>'Raw Results 2024'!AP22</f>
        <v>0</v>
      </c>
      <c r="AH22" s="143">
        <f>'Raw Results 2024'!AR22</f>
        <v>0</v>
      </c>
      <c r="AI22" s="155" t="e">
        <f t="shared" si="18"/>
        <v>#DIV/0!</v>
      </c>
      <c r="AJ22" s="143">
        <f>'Raw Results 2024'!AT22</f>
        <v>0</v>
      </c>
      <c r="AK22" s="143">
        <f>'Raw Results 2024'!AV22</f>
        <v>0</v>
      </c>
      <c r="AL22" s="143">
        <f>'Raw Results 2024'!AX22</f>
        <v>0</v>
      </c>
      <c r="AM22" s="155" t="e">
        <f t="shared" si="19"/>
        <v>#DIV/0!</v>
      </c>
      <c r="AN22" s="143">
        <f>'Raw Results 2024'!AZ22</f>
        <v>0</v>
      </c>
      <c r="AO22" s="143">
        <f>'Raw Results 2024'!BB22</f>
        <v>0</v>
      </c>
      <c r="AP22" s="143">
        <f>'Raw Results 2024'!BD22</f>
        <v>0</v>
      </c>
      <c r="AQ22" s="155" t="e">
        <f t="shared" si="20"/>
        <v>#DIV/0!</v>
      </c>
      <c r="AT22" s="152">
        <f t="shared" si="0"/>
        <v>754625.08</v>
      </c>
      <c r="AU22" s="152">
        <f t="shared" si="1"/>
        <v>1016690.39</v>
      </c>
      <c r="AV22" s="152">
        <f t="shared" si="2"/>
        <v>762945.2</v>
      </c>
      <c r="AW22" s="155">
        <f t="shared" si="21"/>
        <v>-0.24957960898991094</v>
      </c>
      <c r="AY22" s="152">
        <f t="shared" si="3"/>
        <v>323237.25</v>
      </c>
      <c r="AZ22" s="152">
        <f t="shared" si="4"/>
        <v>426880.46</v>
      </c>
      <c r="BA22" s="152">
        <f t="shared" si="5"/>
        <v>421483.97</v>
      </c>
      <c r="BB22" s="155">
        <f t="shared" si="22"/>
        <v>-1.2641688963697351E-2</v>
      </c>
      <c r="BD22" s="152">
        <f t="shared" si="6"/>
        <v>26299.5</v>
      </c>
      <c r="BE22" s="152">
        <f t="shared" si="7"/>
        <v>33931.480000000003</v>
      </c>
      <c r="BF22" s="152">
        <f t="shared" si="8"/>
        <v>34611.39</v>
      </c>
      <c r="BG22" s="155">
        <f t="shared" si="23"/>
        <v>2.0037734870391628E-2</v>
      </c>
      <c r="BJ22" s="152">
        <f t="shared" si="9"/>
        <v>1104161.83</v>
      </c>
      <c r="BK22" s="152">
        <f t="shared" si="10"/>
        <v>1477502.33</v>
      </c>
      <c r="BL22" s="152">
        <f t="shared" si="11"/>
        <v>1219040.5599999998</v>
      </c>
      <c r="BM22" s="155">
        <f t="shared" si="24"/>
        <v>-0.17493154816209341</v>
      </c>
    </row>
    <row r="23" spans="1:65">
      <c r="A23" t="s">
        <v>407</v>
      </c>
      <c r="B23">
        <v>0</v>
      </c>
      <c r="C23" t="s">
        <v>436</v>
      </c>
      <c r="D23" t="s">
        <v>437</v>
      </c>
      <c r="F23" t="s">
        <v>439</v>
      </c>
      <c r="G23" t="s">
        <v>415</v>
      </c>
      <c r="H23" s="143">
        <f>'Raw Results 2024'!G23</f>
        <v>0</v>
      </c>
      <c r="I23" s="143">
        <f>'Raw Results 2024'!H23</f>
        <v>0</v>
      </c>
      <c r="J23" s="143">
        <f>'Raw Results 2024'!J23</f>
        <v>0</v>
      </c>
      <c r="K23" s="155" t="e">
        <f t="shared" si="12"/>
        <v>#DIV/0!</v>
      </c>
      <c r="L23" s="143">
        <f>'Raw Results 2024'!L23</f>
        <v>0</v>
      </c>
      <c r="M23" s="143">
        <f>'Raw Results 2024'!N23</f>
        <v>0</v>
      </c>
      <c r="N23" s="143">
        <f>'Raw Results 2024'!P23</f>
        <v>0</v>
      </c>
      <c r="O23" s="155" t="e">
        <f t="shared" si="13"/>
        <v>#DIV/0!</v>
      </c>
      <c r="P23" s="143">
        <f>'Raw Results 2024'!R23</f>
        <v>0</v>
      </c>
      <c r="Q23" s="143">
        <f>'Raw Results 2024'!T23</f>
        <v>0</v>
      </c>
      <c r="R23" s="143">
        <f>'Raw Results 2024'!V23</f>
        <v>0</v>
      </c>
      <c r="S23" s="155" t="e">
        <f t="shared" si="14"/>
        <v>#DIV/0!</v>
      </c>
      <c r="T23" s="143">
        <f>'Raw Results 2024'!Y23</f>
        <v>0</v>
      </c>
      <c r="U23" s="143">
        <f>'Raw Results 2024'!Z23</f>
        <v>0</v>
      </c>
      <c r="V23" s="143">
        <f>'Raw Results 2024'!AB23</f>
        <v>0</v>
      </c>
      <c r="W23" s="155" t="e">
        <f t="shared" si="15"/>
        <v>#DIV/0!</v>
      </c>
      <c r="X23" s="143">
        <f>'Raw Results 2024'!AD23</f>
        <v>0</v>
      </c>
      <c r="Y23" s="143">
        <f>'Raw Results 2024'!AE23</f>
        <v>0</v>
      </c>
      <c r="Z23" s="143">
        <f>'Raw Results 2024'!AF23</f>
        <v>0</v>
      </c>
      <c r="AA23" s="155" t="e">
        <f t="shared" si="16"/>
        <v>#DIV/0!</v>
      </c>
      <c r="AB23" s="143">
        <f>'Raw Results 2024'!AH23</f>
        <v>0</v>
      </c>
      <c r="AC23" s="143">
        <f>'Raw Results 2024'!AJ23</f>
        <v>0</v>
      </c>
      <c r="AD23" s="143">
        <f>'Raw Results 2024'!AL23</f>
        <v>0</v>
      </c>
      <c r="AE23" s="155" t="e">
        <f t="shared" si="17"/>
        <v>#DIV/0!</v>
      </c>
      <c r="AF23" s="143">
        <f>'Raw Results 2024'!AN23</f>
        <v>0</v>
      </c>
      <c r="AG23" s="143">
        <f>'Raw Results 2024'!AP23</f>
        <v>0</v>
      </c>
      <c r="AH23" s="143">
        <f>'Raw Results 2024'!AR23</f>
        <v>0</v>
      </c>
      <c r="AI23" s="155" t="e">
        <f t="shared" si="18"/>
        <v>#DIV/0!</v>
      </c>
      <c r="AJ23" s="143">
        <f>'Raw Results 2024'!AT23</f>
        <v>0</v>
      </c>
      <c r="AK23" s="143">
        <f>'Raw Results 2024'!AV23</f>
        <v>0</v>
      </c>
      <c r="AL23" s="143">
        <f>'Raw Results 2024'!AX23</f>
        <v>0</v>
      </c>
      <c r="AM23" s="155" t="e">
        <f t="shared" si="19"/>
        <v>#DIV/0!</v>
      </c>
      <c r="AN23" s="143">
        <f>'Raw Results 2024'!AZ23</f>
        <v>0</v>
      </c>
      <c r="AO23" s="143">
        <f>'Raw Results 2024'!BB23</f>
        <v>0</v>
      </c>
      <c r="AP23" s="143">
        <f>'Raw Results 2024'!BD23</f>
        <v>0</v>
      </c>
      <c r="AQ23" s="155" t="e">
        <f t="shared" si="20"/>
        <v>#DIV/0!</v>
      </c>
      <c r="AT23" s="152">
        <f t="shared" si="0"/>
        <v>0</v>
      </c>
      <c r="AU23" s="152">
        <f t="shared" si="1"/>
        <v>0</v>
      </c>
      <c r="AV23" s="152">
        <f t="shared" si="2"/>
        <v>0</v>
      </c>
      <c r="AW23" s="155" t="e">
        <f t="shared" si="21"/>
        <v>#DIV/0!</v>
      </c>
      <c r="AY23" s="152">
        <f t="shared" si="3"/>
        <v>0</v>
      </c>
      <c r="AZ23" s="152">
        <f t="shared" si="4"/>
        <v>0</v>
      </c>
      <c r="BA23" s="152">
        <f t="shared" si="5"/>
        <v>0</v>
      </c>
      <c r="BB23" s="155" t="e">
        <f t="shared" si="22"/>
        <v>#DIV/0!</v>
      </c>
      <c r="BD23" s="152">
        <f t="shared" si="6"/>
        <v>0</v>
      </c>
      <c r="BE23" s="152">
        <f t="shared" si="7"/>
        <v>0</v>
      </c>
      <c r="BF23" s="152">
        <f t="shared" si="8"/>
        <v>0</v>
      </c>
      <c r="BG23" s="155" t="e">
        <f t="shared" si="23"/>
        <v>#DIV/0!</v>
      </c>
      <c r="BJ23" s="152">
        <f t="shared" si="9"/>
        <v>0</v>
      </c>
      <c r="BK23" s="152">
        <f t="shared" si="10"/>
        <v>0</v>
      </c>
      <c r="BL23" s="152">
        <f t="shared" si="11"/>
        <v>0</v>
      </c>
      <c r="BM23" s="155" t="e">
        <f t="shared" si="24"/>
        <v>#DIV/0!</v>
      </c>
    </row>
    <row r="24" spans="1:65">
      <c r="A24" t="s">
        <v>407</v>
      </c>
      <c r="B24">
        <v>0</v>
      </c>
      <c r="C24" t="s">
        <v>436</v>
      </c>
      <c r="D24" t="s">
        <v>437</v>
      </c>
      <c r="F24" t="s">
        <v>414</v>
      </c>
      <c r="G24" t="s">
        <v>415</v>
      </c>
      <c r="H24" s="143">
        <f>'Raw Results 2024'!G24</f>
        <v>9466.86</v>
      </c>
      <c r="I24" s="143">
        <f>'Raw Results 2024'!H24</f>
        <v>11785.93</v>
      </c>
      <c r="J24" s="143">
        <f>'Raw Results 2024'!J24</f>
        <v>13913.68</v>
      </c>
      <c r="K24" s="155">
        <f t="shared" si="12"/>
        <v>0.18053305933430794</v>
      </c>
      <c r="L24" s="143">
        <f>'Raw Results 2024'!L24</f>
        <v>33417.56</v>
      </c>
      <c r="M24" s="143">
        <f>'Raw Results 2024'!N24</f>
        <v>43116.15</v>
      </c>
      <c r="N24" s="143">
        <f>'Raw Results 2024'!P24</f>
        <v>50457.86</v>
      </c>
      <c r="O24" s="155">
        <f t="shared" si="13"/>
        <v>0.17027749462788302</v>
      </c>
      <c r="P24" s="143">
        <f>'Raw Results 2024'!R24</f>
        <v>61294</v>
      </c>
      <c r="Q24" s="143">
        <f>'Raw Results 2024'!T24</f>
        <v>79080.62</v>
      </c>
      <c r="R24" s="143">
        <f>'Raw Results 2024'!V24</f>
        <v>130560.26</v>
      </c>
      <c r="S24" s="155">
        <f t="shared" si="14"/>
        <v>0.65097668682921306</v>
      </c>
      <c r="T24" s="143">
        <f>'Raw Results 2024'!Y24</f>
        <v>1515049.91</v>
      </c>
      <c r="U24" s="143">
        <f>'Raw Results 2024'!Z24</f>
        <v>2042716.1599999999</v>
      </c>
      <c r="V24" s="143">
        <f>'Raw Results 2024'!AB24</f>
        <v>3176080.33</v>
      </c>
      <c r="W24" s="155">
        <f t="shared" si="15"/>
        <v>0.55483194003811087</v>
      </c>
      <c r="X24" s="143">
        <f>'Raw Results 2024'!AD24</f>
        <v>178370.89</v>
      </c>
      <c r="Y24" s="143">
        <f>'Raw Results 2024'!AE24</f>
        <v>235804.75</v>
      </c>
      <c r="Z24" s="143">
        <f>'Raw Results 2024'!AF24</f>
        <v>800445.69</v>
      </c>
      <c r="AA24" s="155">
        <f t="shared" si="16"/>
        <v>2.3945274215214067</v>
      </c>
      <c r="AB24" s="143">
        <f>'Raw Results 2024'!AH24</f>
        <v>0</v>
      </c>
      <c r="AC24" s="143">
        <f>'Raw Results 2024'!AJ24</f>
        <v>0</v>
      </c>
      <c r="AD24" s="143">
        <f>'Raw Results 2024'!AL24</f>
        <v>0</v>
      </c>
      <c r="AE24" s="155" t="e">
        <f t="shared" si="17"/>
        <v>#DIV/0!</v>
      </c>
      <c r="AF24" s="143">
        <f>'Raw Results 2024'!AN24</f>
        <v>0</v>
      </c>
      <c r="AG24" s="143">
        <f>'Raw Results 2024'!AP24</f>
        <v>0</v>
      </c>
      <c r="AH24" s="143">
        <f>'Raw Results 2024'!AR24</f>
        <v>0</v>
      </c>
      <c r="AI24" s="155" t="e">
        <f t="shared" si="18"/>
        <v>#DIV/0!</v>
      </c>
      <c r="AJ24" s="143">
        <f>'Raw Results 2024'!AT24</f>
        <v>0</v>
      </c>
      <c r="AK24" s="143">
        <f>'Raw Results 2024'!AV24</f>
        <v>0</v>
      </c>
      <c r="AL24" s="143">
        <f>'Raw Results 2024'!AX24</f>
        <v>0</v>
      </c>
      <c r="AM24" s="155" t="e">
        <f t="shared" si="19"/>
        <v>#DIV/0!</v>
      </c>
      <c r="AN24" s="143">
        <f>'Raw Results 2024'!AZ24</f>
        <v>0</v>
      </c>
      <c r="AO24" s="143">
        <f>'Raw Results 2024'!BB24</f>
        <v>0</v>
      </c>
      <c r="AP24" s="143">
        <f>'Raw Results 2024'!BD24</f>
        <v>0</v>
      </c>
      <c r="AQ24" s="155" t="e">
        <f t="shared" si="20"/>
        <v>#DIV/0!</v>
      </c>
      <c r="AT24" s="152">
        <f t="shared" si="0"/>
        <v>1524516.77</v>
      </c>
      <c r="AU24" s="152">
        <f t="shared" si="1"/>
        <v>2054502.0899999999</v>
      </c>
      <c r="AV24" s="152">
        <f t="shared" si="2"/>
        <v>3189994.0100000002</v>
      </c>
      <c r="AW24" s="155">
        <f t="shared" si="21"/>
        <v>0.55268472372301192</v>
      </c>
      <c r="AY24" s="152">
        <f t="shared" si="3"/>
        <v>211788.45</v>
      </c>
      <c r="AZ24" s="152">
        <f t="shared" si="4"/>
        <v>278920.90000000002</v>
      </c>
      <c r="BA24" s="152">
        <f t="shared" si="5"/>
        <v>850903.54999999993</v>
      </c>
      <c r="BB24" s="155">
        <f t="shared" si="22"/>
        <v>2.0506984238183654</v>
      </c>
      <c r="BD24" s="152">
        <f t="shared" si="6"/>
        <v>61294</v>
      </c>
      <c r="BE24" s="152">
        <f t="shared" si="7"/>
        <v>79080.62</v>
      </c>
      <c r="BF24" s="152">
        <f t="shared" si="8"/>
        <v>130560.26</v>
      </c>
      <c r="BG24" s="155">
        <f t="shared" si="23"/>
        <v>0.65097668682921306</v>
      </c>
      <c r="BJ24" s="152">
        <f t="shared" si="9"/>
        <v>1797599.22</v>
      </c>
      <c r="BK24" s="152">
        <f t="shared" si="10"/>
        <v>2412503.61</v>
      </c>
      <c r="BL24" s="152">
        <f t="shared" si="11"/>
        <v>4171457.82</v>
      </c>
      <c r="BM24" s="155">
        <f t="shared" si="24"/>
        <v>0.72909909966932651</v>
      </c>
    </row>
    <row r="25" spans="1:65">
      <c r="A25" t="s">
        <v>407</v>
      </c>
      <c r="B25">
        <v>0</v>
      </c>
      <c r="C25" t="s">
        <v>436</v>
      </c>
      <c r="D25" t="s">
        <v>437</v>
      </c>
      <c r="F25" t="s">
        <v>416</v>
      </c>
      <c r="G25" t="s">
        <v>415</v>
      </c>
      <c r="H25" s="143">
        <f>'Raw Results 2024'!G25</f>
        <v>3273.41</v>
      </c>
      <c r="I25" s="143">
        <f>'Raw Results 2024'!H25</f>
        <v>4075.28</v>
      </c>
      <c r="J25" s="143">
        <f>'Raw Results 2024'!J25</f>
        <v>4706.3100000000004</v>
      </c>
      <c r="K25" s="155">
        <f t="shared" si="12"/>
        <v>0.15484334818711848</v>
      </c>
      <c r="L25" s="143">
        <f>'Raw Results 2024'!L25</f>
        <v>11842.37</v>
      </c>
      <c r="M25" s="143">
        <f>'Raw Results 2024'!N25</f>
        <v>15279.3</v>
      </c>
      <c r="N25" s="143">
        <f>'Raw Results 2024'!P25</f>
        <v>18150.16</v>
      </c>
      <c r="O25" s="155">
        <f t="shared" si="13"/>
        <v>0.1878921154764944</v>
      </c>
      <c r="P25" s="143">
        <f>'Raw Results 2024'!R25</f>
        <v>21941.5</v>
      </c>
      <c r="Q25" s="143">
        <f>'Raw Results 2024'!T25</f>
        <v>28308.639999999999</v>
      </c>
      <c r="R25" s="143">
        <f>'Raw Results 2024'!V25</f>
        <v>34603.129999999997</v>
      </c>
      <c r="S25" s="155">
        <f t="shared" si="14"/>
        <v>0.22235225712008766</v>
      </c>
      <c r="T25" s="143">
        <f>'Raw Results 2024'!Y25</f>
        <v>582203.73</v>
      </c>
      <c r="U25" s="143">
        <f>'Raw Results 2024'!Z25</f>
        <v>784971.88</v>
      </c>
      <c r="V25" s="143">
        <f>'Raw Results 2024'!AB25</f>
        <v>917539.65</v>
      </c>
      <c r="W25" s="155">
        <f t="shared" si="15"/>
        <v>0.16888218976710354</v>
      </c>
      <c r="X25" s="143">
        <f>'Raw Results 2024'!AD25</f>
        <v>68452.56</v>
      </c>
      <c r="Y25" s="143">
        <f>'Raw Results 2024'!AE25</f>
        <v>90493.72</v>
      </c>
      <c r="Z25" s="143">
        <f>'Raw Results 2024'!AF25</f>
        <v>123832.98</v>
      </c>
      <c r="AA25" s="155">
        <f t="shared" si="16"/>
        <v>0.36841517842343086</v>
      </c>
      <c r="AB25" s="143">
        <f>'Raw Results 2024'!AH25</f>
        <v>0</v>
      </c>
      <c r="AC25" s="143">
        <f>'Raw Results 2024'!AJ25</f>
        <v>0</v>
      </c>
      <c r="AD25" s="143">
        <f>'Raw Results 2024'!AL25</f>
        <v>0</v>
      </c>
      <c r="AE25" s="155" t="e">
        <f t="shared" si="17"/>
        <v>#DIV/0!</v>
      </c>
      <c r="AF25" s="143">
        <f>'Raw Results 2024'!AN25</f>
        <v>0</v>
      </c>
      <c r="AG25" s="143">
        <f>'Raw Results 2024'!AP25</f>
        <v>0</v>
      </c>
      <c r="AH25" s="143">
        <f>'Raw Results 2024'!AR25</f>
        <v>0</v>
      </c>
      <c r="AI25" s="155" t="e">
        <f t="shared" si="18"/>
        <v>#DIV/0!</v>
      </c>
      <c r="AJ25" s="143">
        <f>'Raw Results 2024'!AT25</f>
        <v>0</v>
      </c>
      <c r="AK25" s="143">
        <f>'Raw Results 2024'!AV25</f>
        <v>0</v>
      </c>
      <c r="AL25" s="143">
        <f>'Raw Results 2024'!AX25</f>
        <v>0</v>
      </c>
      <c r="AM25" s="155" t="e">
        <f t="shared" si="19"/>
        <v>#DIV/0!</v>
      </c>
      <c r="AN25" s="143">
        <f>'Raw Results 2024'!AZ25</f>
        <v>0</v>
      </c>
      <c r="AO25" s="143">
        <f>'Raw Results 2024'!BB25</f>
        <v>0</v>
      </c>
      <c r="AP25" s="143">
        <f>'Raw Results 2024'!BD25</f>
        <v>0</v>
      </c>
      <c r="AQ25" s="155" t="e">
        <f t="shared" si="20"/>
        <v>#DIV/0!</v>
      </c>
      <c r="AT25" s="152">
        <f t="shared" si="0"/>
        <v>585477.14</v>
      </c>
      <c r="AU25" s="152">
        <f t="shared" si="1"/>
        <v>789047.16</v>
      </c>
      <c r="AV25" s="152">
        <f t="shared" si="2"/>
        <v>922245.96000000008</v>
      </c>
      <c r="AW25" s="155">
        <f t="shared" si="21"/>
        <v>0.16880968179392478</v>
      </c>
      <c r="AY25" s="152">
        <f t="shared" si="3"/>
        <v>80294.929999999993</v>
      </c>
      <c r="AZ25" s="152">
        <f t="shared" si="4"/>
        <v>105773.02</v>
      </c>
      <c r="BA25" s="152">
        <f t="shared" si="5"/>
        <v>141983.13999999998</v>
      </c>
      <c r="BB25" s="155">
        <f t="shared" si="22"/>
        <v>0.34233796104148279</v>
      </c>
      <c r="BD25" s="152">
        <f t="shared" si="6"/>
        <v>21941.5</v>
      </c>
      <c r="BE25" s="152">
        <f t="shared" si="7"/>
        <v>28308.639999999999</v>
      </c>
      <c r="BF25" s="152">
        <f t="shared" si="8"/>
        <v>34603.129999999997</v>
      </c>
      <c r="BG25" s="155">
        <f t="shared" si="23"/>
        <v>0.22235225712008766</v>
      </c>
      <c r="BJ25" s="152">
        <f t="shared" si="9"/>
        <v>687713.57000000007</v>
      </c>
      <c r="BK25" s="152">
        <f t="shared" si="10"/>
        <v>923128.82000000007</v>
      </c>
      <c r="BL25" s="152">
        <f t="shared" si="11"/>
        <v>1098832.23</v>
      </c>
      <c r="BM25" s="155">
        <f t="shared" si="24"/>
        <v>0.19033465990152912</v>
      </c>
    </row>
    <row r="26" spans="1:65">
      <c r="A26" t="s">
        <v>407</v>
      </c>
      <c r="B26">
        <v>0</v>
      </c>
      <c r="C26" t="s">
        <v>436</v>
      </c>
      <c r="D26" t="s">
        <v>437</v>
      </c>
      <c r="F26" t="s">
        <v>417</v>
      </c>
      <c r="G26" t="s">
        <v>415</v>
      </c>
      <c r="H26" s="143">
        <f>'Raw Results 2024'!G26</f>
        <v>11990.25</v>
      </c>
      <c r="I26" s="143">
        <f>'Raw Results 2024'!H26</f>
        <v>14927.74</v>
      </c>
      <c r="J26" s="143">
        <f>'Raw Results 2024'!J26</f>
        <v>16410.560000000001</v>
      </c>
      <c r="K26" s="155">
        <f t="shared" si="12"/>
        <v>9.9333187743087803E-2</v>
      </c>
      <c r="L26" s="143">
        <f>'Raw Results 2024'!L26</f>
        <v>128182.67</v>
      </c>
      <c r="M26" s="143">
        <f>'Raw Results 2024'!N26</f>
        <v>165385.04999999999</v>
      </c>
      <c r="N26" s="143">
        <f>'Raw Results 2024'!P26</f>
        <v>182316.04</v>
      </c>
      <c r="O26" s="155">
        <f t="shared" si="13"/>
        <v>0.10237315887983842</v>
      </c>
      <c r="P26" s="143">
        <f>'Raw Results 2024'!R26</f>
        <v>233349.75</v>
      </c>
      <c r="Q26" s="143">
        <f>'Raw Results 2024'!T26</f>
        <v>301062.90000000002</v>
      </c>
      <c r="R26" s="143">
        <f>'Raw Results 2024'!V26</f>
        <v>348385.1</v>
      </c>
      <c r="S26" s="155">
        <f t="shared" si="14"/>
        <v>0.15718376458872863</v>
      </c>
      <c r="T26" s="143">
        <f>'Raw Results 2024'!Y26</f>
        <v>19694823.789999999</v>
      </c>
      <c r="U26" s="143">
        <f>'Raw Results 2024'!Z26</f>
        <v>26553591.18</v>
      </c>
      <c r="V26" s="143">
        <f>'Raw Results 2024'!AB26</f>
        <v>25799742.120000001</v>
      </c>
      <c r="W26" s="155">
        <f t="shared" si="15"/>
        <v>-2.838972155931184E-2</v>
      </c>
      <c r="X26" s="143">
        <f>'Raw Results 2024'!AD26</f>
        <v>2100191.98</v>
      </c>
      <c r="Y26" s="143">
        <f>'Raw Results 2024'!AE26</f>
        <v>2776436.66</v>
      </c>
      <c r="Z26" s="143">
        <f>'Raw Results 2024'!AF26</f>
        <v>3744775.91</v>
      </c>
      <c r="AA26" s="155">
        <f t="shared" si="16"/>
        <v>0.34877051724277403</v>
      </c>
      <c r="AB26" s="143">
        <f>'Raw Results 2024'!AH26</f>
        <v>0</v>
      </c>
      <c r="AC26" s="143">
        <f>'Raw Results 2024'!AJ26</f>
        <v>0</v>
      </c>
      <c r="AD26" s="143">
        <f>'Raw Results 2024'!AL26</f>
        <v>0</v>
      </c>
      <c r="AE26" s="155" t="e">
        <f t="shared" si="17"/>
        <v>#DIV/0!</v>
      </c>
      <c r="AF26" s="143">
        <f>'Raw Results 2024'!AN26</f>
        <v>0</v>
      </c>
      <c r="AG26" s="143">
        <f>'Raw Results 2024'!AP26</f>
        <v>0</v>
      </c>
      <c r="AH26" s="143">
        <f>'Raw Results 2024'!AR26</f>
        <v>0</v>
      </c>
      <c r="AI26" s="155" t="e">
        <f t="shared" si="18"/>
        <v>#DIV/0!</v>
      </c>
      <c r="AJ26" s="143">
        <f>'Raw Results 2024'!AT26</f>
        <v>0</v>
      </c>
      <c r="AK26" s="143">
        <f>'Raw Results 2024'!AV26</f>
        <v>0</v>
      </c>
      <c r="AL26" s="143">
        <f>'Raw Results 2024'!AX26</f>
        <v>0</v>
      </c>
      <c r="AM26" s="155" t="e">
        <f t="shared" si="19"/>
        <v>#DIV/0!</v>
      </c>
      <c r="AN26" s="143">
        <f>'Raw Results 2024'!AZ26</f>
        <v>0</v>
      </c>
      <c r="AO26" s="143">
        <f>'Raw Results 2024'!BB26</f>
        <v>0</v>
      </c>
      <c r="AP26" s="143">
        <f>'Raw Results 2024'!BD26</f>
        <v>0</v>
      </c>
      <c r="AQ26" s="155" t="e">
        <f t="shared" si="20"/>
        <v>#DIV/0!</v>
      </c>
      <c r="AT26" s="152">
        <f t="shared" si="0"/>
        <v>19706814.039999999</v>
      </c>
      <c r="AU26" s="152">
        <f t="shared" si="1"/>
        <v>26568518.919999998</v>
      </c>
      <c r="AV26" s="152">
        <f t="shared" si="2"/>
        <v>25816152.68</v>
      </c>
      <c r="AW26" s="155">
        <f t="shared" si="21"/>
        <v>-2.8317959396435877E-2</v>
      </c>
      <c r="AY26" s="152">
        <f t="shared" si="3"/>
        <v>2228374.65</v>
      </c>
      <c r="AZ26" s="152">
        <f t="shared" si="4"/>
        <v>2941821.71</v>
      </c>
      <c r="BA26" s="152">
        <f t="shared" si="5"/>
        <v>3927091.95</v>
      </c>
      <c r="BB26" s="155">
        <f t="shared" si="22"/>
        <v>0.33491840673104567</v>
      </c>
      <c r="BD26" s="152">
        <f t="shared" si="6"/>
        <v>233349.75</v>
      </c>
      <c r="BE26" s="152">
        <f t="shared" si="7"/>
        <v>301062.90000000002</v>
      </c>
      <c r="BF26" s="152">
        <f t="shared" si="8"/>
        <v>348385.1</v>
      </c>
      <c r="BG26" s="155">
        <f t="shared" si="23"/>
        <v>0.15718376458872863</v>
      </c>
      <c r="BJ26" s="152">
        <f t="shared" si="9"/>
        <v>22168538.439999998</v>
      </c>
      <c r="BK26" s="152">
        <f t="shared" si="10"/>
        <v>29811403.529999997</v>
      </c>
      <c r="BL26" s="152">
        <f t="shared" si="11"/>
        <v>30091629.73</v>
      </c>
      <c r="BM26" s="155">
        <f t="shared" si="24"/>
        <v>9.3999666844938722E-3</v>
      </c>
    </row>
    <row r="27" spans="1:65">
      <c r="A27" t="s">
        <v>407</v>
      </c>
      <c r="B27">
        <v>0</v>
      </c>
      <c r="C27" t="s">
        <v>436</v>
      </c>
      <c r="D27" t="s">
        <v>437</v>
      </c>
      <c r="F27" t="s">
        <v>418</v>
      </c>
      <c r="G27" t="s">
        <v>415</v>
      </c>
      <c r="H27" s="143">
        <f>'Raw Results 2024'!G27</f>
        <v>167.26</v>
      </c>
      <c r="I27" s="143">
        <f>'Raw Results 2024'!H27</f>
        <v>208.23</v>
      </c>
      <c r="J27" s="143">
        <f>'Raw Results 2024'!J27</f>
        <v>228.91</v>
      </c>
      <c r="K27" s="155">
        <f t="shared" si="12"/>
        <v>9.931325937665085E-2</v>
      </c>
      <c r="L27" s="143">
        <f>'Raw Results 2024'!L27</f>
        <v>769.87</v>
      </c>
      <c r="M27" s="143">
        <f>'Raw Results 2024'!N27</f>
        <v>993.32</v>
      </c>
      <c r="N27" s="143">
        <f>'Raw Results 2024'!P27</f>
        <v>1130.53</v>
      </c>
      <c r="O27" s="155">
        <f t="shared" si="13"/>
        <v>0.13813272661377995</v>
      </c>
      <c r="P27" s="143">
        <f>'Raw Results 2024'!R27</f>
        <v>1350.69</v>
      </c>
      <c r="Q27" s="143">
        <f>'Raw Results 2024'!T27</f>
        <v>1742.63</v>
      </c>
      <c r="R27" s="143">
        <f>'Raw Results 2024'!V27</f>
        <v>2125.7399999999998</v>
      </c>
      <c r="S27" s="155">
        <f t="shared" si="14"/>
        <v>0.21984586515783594</v>
      </c>
      <c r="T27" s="143">
        <f>'Raw Results 2024'!Y27</f>
        <v>37592.720000000001</v>
      </c>
      <c r="U27" s="143">
        <f>'Raw Results 2024'!Z27</f>
        <v>50687.05</v>
      </c>
      <c r="V27" s="143">
        <f>'Raw Results 2024'!AB27</f>
        <v>57166.09</v>
      </c>
      <c r="W27" s="155">
        <f t="shared" si="15"/>
        <v>0.12782436539510572</v>
      </c>
      <c r="X27" s="143">
        <f>'Raw Results 2024'!AD27</f>
        <v>7421.25</v>
      </c>
      <c r="Y27" s="143">
        <f>'Raw Results 2024'!AE27</f>
        <v>9810.8700000000008</v>
      </c>
      <c r="Z27" s="143">
        <f>'Raw Results 2024'!AF27</f>
        <v>11306.28</v>
      </c>
      <c r="AA27" s="155">
        <f t="shared" si="16"/>
        <v>0.15242379116225163</v>
      </c>
      <c r="AB27" s="143">
        <f>'Raw Results 2024'!AH27</f>
        <v>0</v>
      </c>
      <c r="AC27" s="143">
        <f>'Raw Results 2024'!AJ27</f>
        <v>0</v>
      </c>
      <c r="AD27" s="143">
        <f>'Raw Results 2024'!AL27</f>
        <v>0</v>
      </c>
      <c r="AE27" s="155" t="e">
        <f t="shared" si="17"/>
        <v>#DIV/0!</v>
      </c>
      <c r="AF27" s="143">
        <f>'Raw Results 2024'!AN27</f>
        <v>0</v>
      </c>
      <c r="AG27" s="143">
        <f>'Raw Results 2024'!AP27</f>
        <v>0</v>
      </c>
      <c r="AH27" s="143">
        <f>'Raw Results 2024'!AR27</f>
        <v>0</v>
      </c>
      <c r="AI27" s="155" t="e">
        <f t="shared" si="18"/>
        <v>#DIV/0!</v>
      </c>
      <c r="AJ27" s="143">
        <f>'Raw Results 2024'!AT27</f>
        <v>0</v>
      </c>
      <c r="AK27" s="143">
        <f>'Raw Results 2024'!AV27</f>
        <v>0</v>
      </c>
      <c r="AL27" s="143">
        <f>'Raw Results 2024'!AX27</f>
        <v>0</v>
      </c>
      <c r="AM27" s="155" t="e">
        <f t="shared" si="19"/>
        <v>#DIV/0!</v>
      </c>
      <c r="AN27" s="143">
        <f>'Raw Results 2024'!AZ27</f>
        <v>0</v>
      </c>
      <c r="AO27" s="143">
        <f>'Raw Results 2024'!BB27</f>
        <v>0</v>
      </c>
      <c r="AP27" s="143">
        <f>'Raw Results 2024'!BD27</f>
        <v>0</v>
      </c>
      <c r="AQ27" s="155" t="e">
        <f t="shared" si="20"/>
        <v>#DIV/0!</v>
      </c>
      <c r="AT27" s="152">
        <f t="shared" si="0"/>
        <v>37759.980000000003</v>
      </c>
      <c r="AU27" s="152">
        <f t="shared" si="1"/>
        <v>50895.280000000006</v>
      </c>
      <c r="AV27" s="152">
        <f t="shared" si="2"/>
        <v>57395</v>
      </c>
      <c r="AW27" s="155">
        <f t="shared" si="21"/>
        <v>0.12770771670771813</v>
      </c>
      <c r="AY27" s="152">
        <f t="shared" si="3"/>
        <v>8191.12</v>
      </c>
      <c r="AZ27" s="152">
        <f t="shared" si="4"/>
        <v>10804.19</v>
      </c>
      <c r="BA27" s="152">
        <f t="shared" si="5"/>
        <v>12436.810000000001</v>
      </c>
      <c r="BB27" s="155">
        <f t="shared" si="22"/>
        <v>0.15110989347651241</v>
      </c>
      <c r="BD27" s="152">
        <f t="shared" si="6"/>
        <v>1350.69</v>
      </c>
      <c r="BE27" s="152">
        <f t="shared" si="7"/>
        <v>1742.63</v>
      </c>
      <c r="BF27" s="152">
        <f t="shared" si="8"/>
        <v>2125.7399999999998</v>
      </c>
      <c r="BG27" s="155">
        <f t="shared" si="23"/>
        <v>0.21984586515783594</v>
      </c>
      <c r="BJ27" s="152">
        <f t="shared" si="9"/>
        <v>47301.790000000008</v>
      </c>
      <c r="BK27" s="152">
        <f t="shared" si="10"/>
        <v>63442.100000000006</v>
      </c>
      <c r="BL27" s="152">
        <f t="shared" si="11"/>
        <v>71957.55</v>
      </c>
      <c r="BM27" s="155">
        <f t="shared" si="24"/>
        <v>0.13422396169105366</v>
      </c>
    </row>
    <row r="28" spans="1:65">
      <c r="A28" t="s">
        <v>407</v>
      </c>
      <c r="B28">
        <v>0</v>
      </c>
      <c r="C28" t="s">
        <v>436</v>
      </c>
      <c r="D28" t="s">
        <v>437</v>
      </c>
      <c r="F28" t="s">
        <v>419</v>
      </c>
      <c r="G28" t="s">
        <v>415</v>
      </c>
      <c r="H28" s="143">
        <f>'Raw Results 2024'!G28</f>
        <v>211.09</v>
      </c>
      <c r="I28" s="143">
        <f>'Raw Results 2024'!H28</f>
        <v>262.8</v>
      </c>
      <c r="J28" s="143">
        <f>'Raw Results 2024'!J28</f>
        <v>288.89999999999998</v>
      </c>
      <c r="K28" s="155">
        <f t="shared" si="12"/>
        <v>9.9315068493150555E-2</v>
      </c>
      <c r="L28" s="143">
        <f>'Raw Results 2024'!L28</f>
        <v>5835.04</v>
      </c>
      <c r="M28" s="143">
        <f>'Raw Results 2024'!N28</f>
        <v>7528.56</v>
      </c>
      <c r="N28" s="143">
        <f>'Raw Results 2024'!P28</f>
        <v>8568.5499999999993</v>
      </c>
      <c r="O28" s="155">
        <f t="shared" si="13"/>
        <v>0.13813929888318599</v>
      </c>
      <c r="P28" s="143">
        <f>'Raw Results 2024'!R28</f>
        <v>10237.200000000001</v>
      </c>
      <c r="Q28" s="143">
        <f>'Raw Results 2024'!T28</f>
        <v>13207.77</v>
      </c>
      <c r="R28" s="143">
        <f>'Raw Results 2024'!V28</f>
        <v>16111.47</v>
      </c>
      <c r="S28" s="155">
        <f t="shared" si="14"/>
        <v>0.21984786228106629</v>
      </c>
      <c r="T28" s="143">
        <f>'Raw Results 2024'!Y28</f>
        <v>284923.7</v>
      </c>
      <c r="U28" s="143">
        <f>'Raw Results 2024'!Z28</f>
        <v>384168.54</v>
      </c>
      <c r="V28" s="143">
        <f>'Raw Results 2024'!AB28</f>
        <v>433274.63</v>
      </c>
      <c r="W28" s="155">
        <f t="shared" si="15"/>
        <v>0.12782433980669014</v>
      </c>
      <c r="X28" s="143">
        <f>'Raw Results 2024'!AD28</f>
        <v>37735.4</v>
      </c>
      <c r="Y28" s="143">
        <f>'Raw Results 2024'!AE28</f>
        <v>49885.85</v>
      </c>
      <c r="Z28" s="143">
        <f>'Raw Results 2024'!AF28</f>
        <v>62922.42</v>
      </c>
      <c r="AA28" s="155">
        <f t="shared" si="16"/>
        <v>0.26132801185105597</v>
      </c>
      <c r="AB28" s="143">
        <f>'Raw Results 2024'!AH28</f>
        <v>0</v>
      </c>
      <c r="AC28" s="143">
        <f>'Raw Results 2024'!AJ28</f>
        <v>0</v>
      </c>
      <c r="AD28" s="143">
        <f>'Raw Results 2024'!AL28</f>
        <v>0</v>
      </c>
      <c r="AE28" s="155" t="e">
        <f t="shared" si="17"/>
        <v>#DIV/0!</v>
      </c>
      <c r="AF28" s="143">
        <f>'Raw Results 2024'!AN28</f>
        <v>0</v>
      </c>
      <c r="AG28" s="143">
        <f>'Raw Results 2024'!AP28</f>
        <v>0</v>
      </c>
      <c r="AH28" s="143">
        <f>'Raw Results 2024'!AR28</f>
        <v>0</v>
      </c>
      <c r="AI28" s="155" t="e">
        <f t="shared" si="18"/>
        <v>#DIV/0!</v>
      </c>
      <c r="AJ28" s="143">
        <f>'Raw Results 2024'!AT28</f>
        <v>0</v>
      </c>
      <c r="AK28" s="143">
        <f>'Raw Results 2024'!AV28</f>
        <v>0</v>
      </c>
      <c r="AL28" s="143">
        <f>'Raw Results 2024'!AX28</f>
        <v>0</v>
      </c>
      <c r="AM28" s="155" t="e">
        <f t="shared" si="19"/>
        <v>#DIV/0!</v>
      </c>
      <c r="AN28" s="143">
        <f>'Raw Results 2024'!AZ28</f>
        <v>0</v>
      </c>
      <c r="AO28" s="143">
        <f>'Raw Results 2024'!BB28</f>
        <v>0</v>
      </c>
      <c r="AP28" s="143">
        <f>'Raw Results 2024'!BD28</f>
        <v>0</v>
      </c>
      <c r="AQ28" s="155" t="e">
        <f t="shared" si="20"/>
        <v>#DIV/0!</v>
      </c>
      <c r="AT28" s="152">
        <f t="shared" si="0"/>
        <v>285134.79000000004</v>
      </c>
      <c r="AU28" s="152">
        <f t="shared" si="1"/>
        <v>384431.33999999997</v>
      </c>
      <c r="AV28" s="152">
        <f t="shared" si="2"/>
        <v>433563.53</v>
      </c>
      <c r="AW28" s="155">
        <f t="shared" si="21"/>
        <v>0.12780485066592143</v>
      </c>
      <c r="AY28" s="152">
        <f t="shared" si="3"/>
        <v>43570.44</v>
      </c>
      <c r="AZ28" s="152">
        <f t="shared" si="4"/>
        <v>57414.409999999996</v>
      </c>
      <c r="BA28" s="152">
        <f t="shared" si="5"/>
        <v>71490.97</v>
      </c>
      <c r="BB28" s="155">
        <f t="shared" si="22"/>
        <v>0.24517468698189193</v>
      </c>
      <c r="BD28" s="152">
        <f t="shared" si="6"/>
        <v>10237.200000000001</v>
      </c>
      <c r="BE28" s="152">
        <f t="shared" si="7"/>
        <v>13207.77</v>
      </c>
      <c r="BF28" s="152">
        <f t="shared" si="8"/>
        <v>16111.47</v>
      </c>
      <c r="BG28" s="155">
        <f t="shared" si="23"/>
        <v>0.21984786228106629</v>
      </c>
      <c r="BJ28" s="152">
        <f t="shared" si="9"/>
        <v>338942.43000000005</v>
      </c>
      <c r="BK28" s="152">
        <f t="shared" si="10"/>
        <v>455053.51999999996</v>
      </c>
      <c r="BL28" s="152">
        <f t="shared" si="11"/>
        <v>521165.97</v>
      </c>
      <c r="BM28" s="155">
        <f t="shared" si="24"/>
        <v>0.14528499856456448</v>
      </c>
    </row>
    <row r="29" spans="1:65">
      <c r="A29" t="s">
        <v>407</v>
      </c>
      <c r="B29">
        <v>0</v>
      </c>
      <c r="C29" t="s">
        <v>436</v>
      </c>
      <c r="D29" t="s">
        <v>437</v>
      </c>
      <c r="F29" t="s">
        <v>420</v>
      </c>
      <c r="G29" t="s">
        <v>421</v>
      </c>
      <c r="H29" s="143">
        <f>'Raw Results 2024'!G29</f>
        <v>587.9</v>
      </c>
      <c r="I29" s="143">
        <f>'Raw Results 2024'!H29</f>
        <v>731.9</v>
      </c>
      <c r="J29" s="143">
        <f>'Raw Results 2024'!J29</f>
        <v>716.03</v>
      </c>
      <c r="K29" s="155">
        <f t="shared" si="12"/>
        <v>-2.1683290066949044E-2</v>
      </c>
      <c r="L29" s="143">
        <f>'Raw Results 2024'!L29</f>
        <v>1120.82</v>
      </c>
      <c r="M29" s="143">
        <f>'Raw Results 2024'!N29</f>
        <v>1446.11</v>
      </c>
      <c r="N29" s="143">
        <f>'Raw Results 2024'!P29</f>
        <v>1450.54</v>
      </c>
      <c r="O29" s="155">
        <f t="shared" si="13"/>
        <v>3.0633907517409213E-3</v>
      </c>
      <c r="P29" s="143">
        <f>'Raw Results 2024'!R29</f>
        <v>2097.67</v>
      </c>
      <c r="Q29" s="143">
        <f>'Raw Results 2024'!T29</f>
        <v>2706.41</v>
      </c>
      <c r="R29" s="143">
        <f>'Raw Results 2024'!V29</f>
        <v>2826.78</v>
      </c>
      <c r="S29" s="155">
        <f t="shared" si="14"/>
        <v>4.4475892418369856E-2</v>
      </c>
      <c r="T29" s="143">
        <f>'Raw Results 2024'!Y29</f>
        <v>56842.58</v>
      </c>
      <c r="U29" s="143">
        <f>'Raw Results 2024'!Z29</f>
        <v>76637.86</v>
      </c>
      <c r="V29" s="143">
        <f>'Raw Results 2024'!AB29</f>
        <v>74623.350000000006</v>
      </c>
      <c r="W29" s="155">
        <f t="shared" si="15"/>
        <v>-2.6286094105445985E-2</v>
      </c>
      <c r="X29" s="143">
        <f>'Raw Results 2024'!AD29</f>
        <v>6400.88</v>
      </c>
      <c r="Y29" s="143">
        <f>'Raw Results 2024'!AE29</f>
        <v>8461.92</v>
      </c>
      <c r="Z29" s="143">
        <f>'Raw Results 2024'!AF29</f>
        <v>10651.97</v>
      </c>
      <c r="AA29" s="155">
        <f t="shared" si="16"/>
        <v>0.25881242082175193</v>
      </c>
      <c r="AB29" s="143">
        <f>'Raw Results 2024'!AH29</f>
        <v>0</v>
      </c>
      <c r="AC29" s="143">
        <f>'Raw Results 2024'!AJ29</f>
        <v>0</v>
      </c>
      <c r="AD29" s="143">
        <f>'Raw Results 2024'!AL29</f>
        <v>0</v>
      </c>
      <c r="AE29" s="155" t="e">
        <f t="shared" si="17"/>
        <v>#DIV/0!</v>
      </c>
      <c r="AF29" s="143">
        <f>'Raw Results 2024'!AN29</f>
        <v>0</v>
      </c>
      <c r="AG29" s="143">
        <f>'Raw Results 2024'!AP29</f>
        <v>0</v>
      </c>
      <c r="AH29" s="143">
        <f>'Raw Results 2024'!AR29</f>
        <v>0</v>
      </c>
      <c r="AI29" s="155" t="e">
        <f t="shared" si="18"/>
        <v>#DIV/0!</v>
      </c>
      <c r="AJ29" s="143">
        <f>'Raw Results 2024'!AT29</f>
        <v>0</v>
      </c>
      <c r="AK29" s="143">
        <f>'Raw Results 2024'!AV29</f>
        <v>0</v>
      </c>
      <c r="AL29" s="143">
        <f>'Raw Results 2024'!AX29</f>
        <v>0</v>
      </c>
      <c r="AM29" s="155" t="e">
        <f t="shared" si="19"/>
        <v>#DIV/0!</v>
      </c>
      <c r="AN29" s="143">
        <f>'Raw Results 2024'!AZ29</f>
        <v>0</v>
      </c>
      <c r="AO29" s="143">
        <f>'Raw Results 2024'!BB29</f>
        <v>0</v>
      </c>
      <c r="AP29" s="143">
        <f>'Raw Results 2024'!BD29</f>
        <v>0</v>
      </c>
      <c r="AQ29" s="155" t="e">
        <f t="shared" si="20"/>
        <v>#DIV/0!</v>
      </c>
      <c r="AT29" s="152">
        <f t="shared" si="0"/>
        <v>57430.48</v>
      </c>
      <c r="AU29" s="152">
        <f t="shared" si="1"/>
        <v>77369.759999999995</v>
      </c>
      <c r="AV29" s="152">
        <f t="shared" si="2"/>
        <v>75339.38</v>
      </c>
      <c r="AW29" s="155">
        <f t="shared" si="21"/>
        <v>-2.6242552645891499E-2</v>
      </c>
      <c r="AY29" s="152">
        <f t="shared" si="3"/>
        <v>7521.7</v>
      </c>
      <c r="AZ29" s="152">
        <f t="shared" si="4"/>
        <v>9908.0300000000007</v>
      </c>
      <c r="BA29" s="152">
        <f t="shared" si="5"/>
        <v>12102.509999999998</v>
      </c>
      <c r="BB29" s="155">
        <f t="shared" si="22"/>
        <v>0.22148499752221154</v>
      </c>
      <c r="BD29" s="152">
        <f t="shared" si="6"/>
        <v>2097.67</v>
      </c>
      <c r="BE29" s="152">
        <f t="shared" si="7"/>
        <v>2706.41</v>
      </c>
      <c r="BF29" s="152">
        <f t="shared" si="8"/>
        <v>2826.78</v>
      </c>
      <c r="BG29" s="155">
        <f t="shared" si="23"/>
        <v>4.4475892418369856E-2</v>
      </c>
      <c r="BJ29" s="152">
        <f t="shared" si="9"/>
        <v>67049.850000000006</v>
      </c>
      <c r="BK29" s="152">
        <f t="shared" si="10"/>
        <v>89984.2</v>
      </c>
      <c r="BL29" s="152">
        <f t="shared" si="11"/>
        <v>90268.67</v>
      </c>
      <c r="BM29" s="155">
        <f t="shared" si="24"/>
        <v>3.1613327673080515E-3</v>
      </c>
    </row>
    <row r="30" spans="1:65">
      <c r="A30" t="s">
        <v>407</v>
      </c>
      <c r="B30">
        <v>0</v>
      </c>
      <c r="C30" t="s">
        <v>436</v>
      </c>
      <c r="D30" t="s">
        <v>437</v>
      </c>
      <c r="F30" t="s">
        <v>422</v>
      </c>
      <c r="G30" t="s">
        <v>421</v>
      </c>
      <c r="H30" s="143">
        <f>'Raw Results 2024'!G30</f>
        <v>5550.12</v>
      </c>
      <c r="I30" s="143">
        <f>'Raw Results 2024'!H30</f>
        <v>6909.61</v>
      </c>
      <c r="J30" s="143">
        <f>'Raw Results 2024'!J30</f>
        <v>7457.25</v>
      </c>
      <c r="K30" s="155">
        <f t="shared" si="12"/>
        <v>7.9257729452168843E-2</v>
      </c>
      <c r="L30" s="143">
        <f>'Raw Results 2024'!L30</f>
        <v>10248.719999999999</v>
      </c>
      <c r="M30" s="143">
        <f>'Raw Results 2024'!N30</f>
        <v>13223.42</v>
      </c>
      <c r="N30" s="143">
        <f>'Raw Results 2024'!P30</f>
        <v>12521.42</v>
      </c>
      <c r="O30" s="155">
        <f t="shared" si="13"/>
        <v>-5.3087627860266107E-2</v>
      </c>
      <c r="P30" s="143">
        <f>'Raw Results 2024'!R30</f>
        <v>16357.24</v>
      </c>
      <c r="Q30" s="143">
        <f>'Raw Results 2024'!T30</f>
        <v>21105.67</v>
      </c>
      <c r="R30" s="143">
        <f>'Raw Results 2024'!V30</f>
        <v>24379.47</v>
      </c>
      <c r="S30" s="155">
        <f t="shared" si="14"/>
        <v>0.15511471561907314</v>
      </c>
      <c r="T30" s="143">
        <f>'Raw Results 2024'!Y30</f>
        <v>273513.84000000003</v>
      </c>
      <c r="U30" s="143">
        <f>'Raw Results 2024'!Z30</f>
        <v>371603.43</v>
      </c>
      <c r="V30" s="143">
        <f>'Raw Results 2024'!AB30</f>
        <v>415541.13</v>
      </c>
      <c r="W30" s="155">
        <f t="shared" si="15"/>
        <v>0.11823814435727897</v>
      </c>
      <c r="X30" s="143">
        <f>'Raw Results 2024'!AD30</f>
        <v>28157.62</v>
      </c>
      <c r="Y30" s="143">
        <f>'Raw Results 2024'!AE30</f>
        <v>37256.980000000003</v>
      </c>
      <c r="Z30" s="143">
        <f>'Raw Results 2024'!AF30</f>
        <v>51437.3</v>
      </c>
      <c r="AA30" s="155">
        <f t="shared" si="16"/>
        <v>0.38060841216867281</v>
      </c>
      <c r="AB30" s="143">
        <f>'Raw Results 2024'!AH30</f>
        <v>0</v>
      </c>
      <c r="AC30" s="143">
        <f>'Raw Results 2024'!AJ30</f>
        <v>0</v>
      </c>
      <c r="AD30" s="143">
        <f>'Raw Results 2024'!AL30</f>
        <v>0</v>
      </c>
      <c r="AE30" s="155" t="e">
        <f t="shared" si="17"/>
        <v>#DIV/0!</v>
      </c>
      <c r="AF30" s="143">
        <f>'Raw Results 2024'!AN30</f>
        <v>0</v>
      </c>
      <c r="AG30" s="143">
        <f>'Raw Results 2024'!AP30</f>
        <v>0</v>
      </c>
      <c r="AH30" s="143">
        <f>'Raw Results 2024'!AR30</f>
        <v>0</v>
      </c>
      <c r="AI30" s="155" t="e">
        <f t="shared" si="18"/>
        <v>#DIV/0!</v>
      </c>
      <c r="AJ30" s="143">
        <f>'Raw Results 2024'!AT30</f>
        <v>0</v>
      </c>
      <c r="AK30" s="143">
        <f>'Raw Results 2024'!AV30</f>
        <v>0</v>
      </c>
      <c r="AL30" s="143">
        <f>'Raw Results 2024'!AX30</f>
        <v>0</v>
      </c>
      <c r="AM30" s="155" t="e">
        <f t="shared" si="19"/>
        <v>#DIV/0!</v>
      </c>
      <c r="AN30" s="143">
        <f>'Raw Results 2024'!AZ30</f>
        <v>0</v>
      </c>
      <c r="AO30" s="143">
        <f>'Raw Results 2024'!BB30</f>
        <v>0</v>
      </c>
      <c r="AP30" s="143">
        <f>'Raw Results 2024'!BD30</f>
        <v>0</v>
      </c>
      <c r="AQ30" s="155" t="e">
        <f t="shared" si="20"/>
        <v>#DIV/0!</v>
      </c>
      <c r="AT30" s="152">
        <f t="shared" si="0"/>
        <v>279063.96000000002</v>
      </c>
      <c r="AU30" s="152">
        <f t="shared" si="1"/>
        <v>378513.04</v>
      </c>
      <c r="AV30" s="152">
        <f t="shared" si="2"/>
        <v>422998.38</v>
      </c>
      <c r="AW30" s="155">
        <f t="shared" si="21"/>
        <v>0.11752657187187006</v>
      </c>
      <c r="AY30" s="152">
        <f t="shared" si="3"/>
        <v>38406.339999999997</v>
      </c>
      <c r="AZ30" s="152">
        <f t="shared" si="4"/>
        <v>50480.4</v>
      </c>
      <c r="BA30" s="152">
        <f t="shared" si="5"/>
        <v>63958.720000000001</v>
      </c>
      <c r="BB30" s="155">
        <f t="shared" si="22"/>
        <v>0.26700105387437501</v>
      </c>
      <c r="BD30" s="152">
        <f t="shared" si="6"/>
        <v>16357.24</v>
      </c>
      <c r="BE30" s="152">
        <f t="shared" si="7"/>
        <v>21105.67</v>
      </c>
      <c r="BF30" s="152">
        <f t="shared" si="8"/>
        <v>24379.47</v>
      </c>
      <c r="BG30" s="155">
        <f t="shared" si="23"/>
        <v>0.15511471561907314</v>
      </c>
      <c r="BJ30" s="152">
        <f t="shared" si="9"/>
        <v>333827.54000000004</v>
      </c>
      <c r="BK30" s="152">
        <f t="shared" si="10"/>
        <v>450099.11</v>
      </c>
      <c r="BL30" s="152">
        <f t="shared" si="11"/>
        <v>511336.56999999995</v>
      </c>
      <c r="BM30" s="155">
        <f t="shared" si="24"/>
        <v>0.13605327946549364</v>
      </c>
    </row>
    <row r="31" spans="1:65">
      <c r="A31" t="s">
        <v>407</v>
      </c>
      <c r="B31">
        <v>0</v>
      </c>
      <c r="C31" t="s">
        <v>436</v>
      </c>
      <c r="D31" t="s">
        <v>437</v>
      </c>
      <c r="F31" t="s">
        <v>440</v>
      </c>
      <c r="G31" t="s">
        <v>413</v>
      </c>
      <c r="H31" s="143">
        <f>'Raw Results 2024'!G31</f>
        <v>0</v>
      </c>
      <c r="I31" s="143">
        <f>'Raw Results 2024'!H31</f>
        <v>0</v>
      </c>
      <c r="J31" s="143">
        <f>'Raw Results 2024'!J31</f>
        <v>0</v>
      </c>
      <c r="K31" s="155" t="e">
        <f t="shared" si="12"/>
        <v>#DIV/0!</v>
      </c>
      <c r="L31" s="143">
        <f>'Raw Results 2024'!L31</f>
        <v>0</v>
      </c>
      <c r="M31" s="143">
        <f>'Raw Results 2024'!N31</f>
        <v>0</v>
      </c>
      <c r="N31" s="143">
        <f>'Raw Results 2024'!P31</f>
        <v>0</v>
      </c>
      <c r="O31" s="155" t="e">
        <f t="shared" si="13"/>
        <v>#DIV/0!</v>
      </c>
      <c r="P31" s="143">
        <f>'Raw Results 2024'!R31</f>
        <v>0</v>
      </c>
      <c r="Q31" s="143">
        <f>'Raw Results 2024'!T31</f>
        <v>0</v>
      </c>
      <c r="R31" s="143">
        <f>'Raw Results 2024'!V31</f>
        <v>0</v>
      </c>
      <c r="S31" s="155" t="e">
        <f t="shared" si="14"/>
        <v>#DIV/0!</v>
      </c>
      <c r="T31" s="143">
        <f>'Raw Results 2024'!Y31</f>
        <v>0</v>
      </c>
      <c r="U31" s="143">
        <f>'Raw Results 2024'!Z31</f>
        <v>0</v>
      </c>
      <c r="V31" s="143">
        <f>'Raw Results 2024'!AB31</f>
        <v>0</v>
      </c>
      <c r="W31" s="155" t="e">
        <f t="shared" si="15"/>
        <v>#DIV/0!</v>
      </c>
      <c r="X31" s="143">
        <f>'Raw Results 2024'!AD31</f>
        <v>0</v>
      </c>
      <c r="Y31" s="143">
        <f>'Raw Results 2024'!AE31</f>
        <v>0</v>
      </c>
      <c r="Z31" s="143">
        <f>'Raw Results 2024'!AF31</f>
        <v>0</v>
      </c>
      <c r="AA31" s="155" t="e">
        <f t="shared" si="16"/>
        <v>#DIV/0!</v>
      </c>
      <c r="AB31" s="143">
        <f>'Raw Results 2024'!AH31</f>
        <v>0</v>
      </c>
      <c r="AC31" s="143">
        <f>'Raw Results 2024'!AJ31</f>
        <v>0</v>
      </c>
      <c r="AD31" s="143">
        <f>'Raw Results 2024'!AL31</f>
        <v>0</v>
      </c>
      <c r="AE31" s="155" t="e">
        <f t="shared" si="17"/>
        <v>#DIV/0!</v>
      </c>
      <c r="AF31" s="143">
        <f>'Raw Results 2024'!AN31</f>
        <v>0</v>
      </c>
      <c r="AG31" s="143">
        <f>'Raw Results 2024'!AP31</f>
        <v>0</v>
      </c>
      <c r="AH31" s="143">
        <f>'Raw Results 2024'!AR31</f>
        <v>0</v>
      </c>
      <c r="AI31" s="155" t="e">
        <f t="shared" si="18"/>
        <v>#DIV/0!</v>
      </c>
      <c r="AJ31" s="143">
        <f>'Raw Results 2024'!AT31</f>
        <v>0</v>
      </c>
      <c r="AK31" s="143">
        <f>'Raw Results 2024'!AV31</f>
        <v>0</v>
      </c>
      <c r="AL31" s="143">
        <f>'Raw Results 2024'!AX31</f>
        <v>0</v>
      </c>
      <c r="AM31" s="155" t="e">
        <f t="shared" si="19"/>
        <v>#DIV/0!</v>
      </c>
      <c r="AN31" s="143">
        <f>'Raw Results 2024'!AZ31</f>
        <v>0</v>
      </c>
      <c r="AO31" s="143">
        <f>'Raw Results 2024'!BB31</f>
        <v>0</v>
      </c>
      <c r="AP31" s="143">
        <f>'Raw Results 2024'!BD31</f>
        <v>0</v>
      </c>
      <c r="AQ31" s="155" t="e">
        <f t="shared" si="20"/>
        <v>#DIV/0!</v>
      </c>
      <c r="AT31" s="152">
        <f t="shared" si="0"/>
        <v>0</v>
      </c>
      <c r="AU31" s="152">
        <f t="shared" si="1"/>
        <v>0</v>
      </c>
      <c r="AV31" s="152">
        <f t="shared" si="2"/>
        <v>0</v>
      </c>
      <c r="AW31" s="155" t="e">
        <f t="shared" si="21"/>
        <v>#DIV/0!</v>
      </c>
      <c r="AY31" s="152">
        <f t="shared" si="3"/>
        <v>0</v>
      </c>
      <c r="AZ31" s="152">
        <f t="shared" si="4"/>
        <v>0</v>
      </c>
      <c r="BA31" s="152">
        <f t="shared" si="5"/>
        <v>0</v>
      </c>
      <c r="BB31" s="155" t="e">
        <f t="shared" si="22"/>
        <v>#DIV/0!</v>
      </c>
      <c r="BD31" s="152">
        <f t="shared" si="6"/>
        <v>0</v>
      </c>
      <c r="BE31" s="152">
        <f t="shared" si="7"/>
        <v>0</v>
      </c>
      <c r="BF31" s="152">
        <f t="shared" si="8"/>
        <v>0</v>
      </c>
      <c r="BG31" s="155" t="e">
        <f t="shared" si="23"/>
        <v>#DIV/0!</v>
      </c>
      <c r="BJ31" s="152">
        <f t="shared" si="9"/>
        <v>0</v>
      </c>
      <c r="BK31" s="152">
        <f t="shared" si="10"/>
        <v>0</v>
      </c>
      <c r="BL31" s="152">
        <f t="shared" si="11"/>
        <v>0</v>
      </c>
      <c r="BM31" s="155" t="e">
        <f t="shared" si="24"/>
        <v>#DIV/0!</v>
      </c>
    </row>
    <row r="32" spans="1:65">
      <c r="A32" t="s">
        <v>407</v>
      </c>
      <c r="B32">
        <v>0</v>
      </c>
      <c r="C32" t="s">
        <v>436</v>
      </c>
      <c r="D32" t="s">
        <v>437</v>
      </c>
      <c r="F32" t="s">
        <v>441</v>
      </c>
      <c r="G32" t="s">
        <v>415</v>
      </c>
      <c r="H32" s="143">
        <f>'Raw Results 2024'!G32</f>
        <v>1234788.54</v>
      </c>
      <c r="I32" s="143">
        <f>'Raw Results 2024'!H32</f>
        <v>1537247.76</v>
      </c>
      <c r="J32" s="143">
        <f>'Raw Results 2024'!J32</f>
        <v>1504392.83</v>
      </c>
      <c r="K32" s="155">
        <f t="shared" si="12"/>
        <v>-2.1372566514587039E-2</v>
      </c>
      <c r="L32" s="143">
        <f>'Raw Results 2024'!L32</f>
        <v>2150054.9300000002</v>
      </c>
      <c r="M32" s="143">
        <f>'Raw Results 2024'!N32</f>
        <v>2774063.66</v>
      </c>
      <c r="N32" s="143">
        <f>'Raw Results 2024'!P32</f>
        <v>2857998.34</v>
      </c>
      <c r="O32" s="155">
        <f t="shared" si="13"/>
        <v>3.0256940823052237E-2</v>
      </c>
      <c r="P32" s="143">
        <f>'Raw Results 2024'!R32</f>
        <v>3841435.23</v>
      </c>
      <c r="Q32" s="143">
        <f>'Raw Results 2024'!T32</f>
        <v>4956139.12</v>
      </c>
      <c r="R32" s="143">
        <f>'Raw Results 2024'!V32</f>
        <v>5218300.09</v>
      </c>
      <c r="S32" s="155">
        <f t="shared" si="14"/>
        <v>5.289620885379822E-2</v>
      </c>
      <c r="T32" s="143">
        <f>'Raw Results 2024'!Y32</f>
        <v>103538592.72</v>
      </c>
      <c r="U32" s="143">
        <f>'Raw Results 2024'!Z32</f>
        <v>139601532.31</v>
      </c>
      <c r="V32" s="143">
        <f>'Raw Results 2024'!AB32</f>
        <v>137892697.61000001</v>
      </c>
      <c r="W32" s="155">
        <f t="shared" si="15"/>
        <v>-1.2240801886080588E-2</v>
      </c>
      <c r="X32" s="143">
        <f>'Raw Results 2024'!AD32</f>
        <v>13924046.24</v>
      </c>
      <c r="Y32" s="143">
        <f>'Raw Results 2024'!AE32</f>
        <v>18407443.550000001</v>
      </c>
      <c r="Z32" s="143">
        <f>'Raw Results 2024'!AF32</f>
        <v>20161754.460000001</v>
      </c>
      <c r="AA32" s="155">
        <f t="shared" si="16"/>
        <v>9.5304429712620251E-2</v>
      </c>
      <c r="AB32" s="143">
        <f>'Raw Results 2024'!AH32</f>
        <v>0</v>
      </c>
      <c r="AC32" s="143">
        <f>'Raw Results 2024'!AJ32</f>
        <v>0</v>
      </c>
      <c r="AD32" s="143">
        <f>'Raw Results 2024'!AL32</f>
        <v>0</v>
      </c>
      <c r="AE32" s="155" t="e">
        <f t="shared" si="17"/>
        <v>#DIV/0!</v>
      </c>
      <c r="AF32" s="143">
        <f>'Raw Results 2024'!AN32</f>
        <v>0</v>
      </c>
      <c r="AG32" s="143">
        <f>'Raw Results 2024'!AP32</f>
        <v>0</v>
      </c>
      <c r="AH32" s="143">
        <f>'Raw Results 2024'!AR32</f>
        <v>0</v>
      </c>
      <c r="AI32" s="155" t="e">
        <f t="shared" si="18"/>
        <v>#DIV/0!</v>
      </c>
      <c r="AJ32" s="143">
        <f>'Raw Results 2024'!AT32</f>
        <v>0</v>
      </c>
      <c r="AK32" s="143">
        <f>'Raw Results 2024'!AV32</f>
        <v>0</v>
      </c>
      <c r="AL32" s="143">
        <f>'Raw Results 2024'!AX32</f>
        <v>0</v>
      </c>
      <c r="AM32" s="155" t="e">
        <f t="shared" si="19"/>
        <v>#DIV/0!</v>
      </c>
      <c r="AN32" s="143">
        <f>'Raw Results 2024'!AZ32</f>
        <v>0</v>
      </c>
      <c r="AO32" s="143">
        <f>'Raw Results 2024'!BB32</f>
        <v>0</v>
      </c>
      <c r="AP32" s="143">
        <f>'Raw Results 2024'!BD32</f>
        <v>0</v>
      </c>
      <c r="AQ32" s="155" t="e">
        <f t="shared" si="20"/>
        <v>#DIV/0!</v>
      </c>
      <c r="AT32" s="152">
        <f t="shared" si="0"/>
        <v>104773381.26000001</v>
      </c>
      <c r="AU32" s="152">
        <f t="shared" si="1"/>
        <v>141138780.06999999</v>
      </c>
      <c r="AV32" s="152">
        <f t="shared" si="2"/>
        <v>139397090.44000003</v>
      </c>
      <c r="AW32" s="155">
        <f t="shared" si="21"/>
        <v>-1.2340262748028198E-2</v>
      </c>
      <c r="AY32" s="152">
        <f t="shared" si="3"/>
        <v>16074101.17</v>
      </c>
      <c r="AZ32" s="152">
        <f t="shared" si="4"/>
        <v>21181507.210000001</v>
      </c>
      <c r="BA32" s="152">
        <f t="shared" si="5"/>
        <v>23019752.800000001</v>
      </c>
      <c r="BB32" s="155">
        <f t="shared" si="22"/>
        <v>8.6785400669322804E-2</v>
      </c>
      <c r="BD32" s="152">
        <f t="shared" si="6"/>
        <v>3841435.23</v>
      </c>
      <c r="BE32" s="152">
        <f t="shared" si="7"/>
        <v>4956139.12</v>
      </c>
      <c r="BF32" s="152">
        <f t="shared" si="8"/>
        <v>5218300.09</v>
      </c>
      <c r="BG32" s="155">
        <f t="shared" si="23"/>
        <v>5.289620885379822E-2</v>
      </c>
      <c r="BJ32" s="152">
        <f t="shared" si="9"/>
        <v>124688917.66000001</v>
      </c>
      <c r="BK32" s="152">
        <f t="shared" si="10"/>
        <v>167276426.40000001</v>
      </c>
      <c r="BL32" s="152">
        <f t="shared" si="11"/>
        <v>167635143.33000004</v>
      </c>
      <c r="BM32" s="155">
        <f t="shared" si="24"/>
        <v>2.1444559626247308E-3</v>
      </c>
    </row>
    <row r="33" spans="1:65">
      <c r="A33" t="s">
        <v>407</v>
      </c>
      <c r="B33">
        <v>0</v>
      </c>
      <c r="C33" t="s">
        <v>436</v>
      </c>
      <c r="D33" t="s">
        <v>437</v>
      </c>
      <c r="F33" t="s">
        <v>442</v>
      </c>
      <c r="G33" t="s">
        <v>415</v>
      </c>
      <c r="H33" s="143">
        <f>'Raw Results 2024'!G33</f>
        <v>2501766.2999999998</v>
      </c>
      <c r="I33" s="143">
        <f>'Raw Results 2024'!H33</f>
        <v>3114566.78</v>
      </c>
      <c r="J33" s="143">
        <f>'Raw Results 2024'!J33</f>
        <v>3078793.51</v>
      </c>
      <c r="K33" s="155">
        <f t="shared" si="12"/>
        <v>-1.1485793218407094E-2</v>
      </c>
      <c r="L33" s="143">
        <f>'Raw Results 2024'!L33</f>
        <v>4831252.41</v>
      </c>
      <c r="M33" s="143">
        <f>'Raw Results 2024'!N33</f>
        <v>6233394.1799999997</v>
      </c>
      <c r="N33" s="143">
        <f>'Raw Results 2024'!P33</f>
        <v>6256617.1600000001</v>
      </c>
      <c r="O33" s="155">
        <f t="shared" si="13"/>
        <v>3.725575397511673E-3</v>
      </c>
      <c r="P33" s="143">
        <f>'Raw Results 2024'!R33</f>
        <v>9113557.9700000007</v>
      </c>
      <c r="Q33" s="143">
        <f>'Raw Results 2024'!T33</f>
        <v>11758191.970000001</v>
      </c>
      <c r="R33" s="143">
        <f>'Raw Results 2024'!V33</f>
        <v>12484920.24</v>
      </c>
      <c r="S33" s="155">
        <f t="shared" si="14"/>
        <v>6.1806123922298874E-2</v>
      </c>
      <c r="T33" s="143">
        <f>'Raw Results 2024'!Y33</f>
        <v>253765825.12</v>
      </c>
      <c r="U33" s="143">
        <f>'Raw Results 2024'!Z33</f>
        <v>342146733.49000001</v>
      </c>
      <c r="V33" s="143">
        <f>'Raw Results 2024'!AB33</f>
        <v>283353395.91000003</v>
      </c>
      <c r="W33" s="155">
        <f t="shared" si="15"/>
        <v>-0.1718366181091083</v>
      </c>
      <c r="X33" s="143">
        <f>'Raw Results 2024'!AD33</f>
        <v>33495979.859999999</v>
      </c>
      <c r="Y33" s="143">
        <f>'Raw Results 2024'!AE33</f>
        <v>44281405.710000001</v>
      </c>
      <c r="Z33" s="143">
        <f>'Raw Results 2024'!AF33</f>
        <v>48410729.850000001</v>
      </c>
      <c r="AA33" s="155">
        <f t="shared" si="16"/>
        <v>9.3251875675380416E-2</v>
      </c>
      <c r="AB33" s="143">
        <f>'Raw Results 2024'!AH33</f>
        <v>0</v>
      </c>
      <c r="AC33" s="143">
        <f>'Raw Results 2024'!AJ33</f>
        <v>0</v>
      </c>
      <c r="AD33" s="143">
        <f>'Raw Results 2024'!AL33</f>
        <v>0</v>
      </c>
      <c r="AE33" s="155" t="e">
        <f t="shared" si="17"/>
        <v>#DIV/0!</v>
      </c>
      <c r="AF33" s="143">
        <f>'Raw Results 2024'!AN33</f>
        <v>0</v>
      </c>
      <c r="AG33" s="143">
        <f>'Raw Results 2024'!AP33</f>
        <v>0</v>
      </c>
      <c r="AH33" s="143">
        <f>'Raw Results 2024'!AR33</f>
        <v>0</v>
      </c>
      <c r="AI33" s="155" t="e">
        <f t="shared" si="18"/>
        <v>#DIV/0!</v>
      </c>
      <c r="AJ33" s="143">
        <f>'Raw Results 2024'!AT33</f>
        <v>0</v>
      </c>
      <c r="AK33" s="143">
        <f>'Raw Results 2024'!AV33</f>
        <v>0</v>
      </c>
      <c r="AL33" s="143">
        <f>'Raw Results 2024'!AX33</f>
        <v>0</v>
      </c>
      <c r="AM33" s="155" t="e">
        <f t="shared" si="19"/>
        <v>#DIV/0!</v>
      </c>
      <c r="AN33" s="143">
        <f>'Raw Results 2024'!AZ33</f>
        <v>0</v>
      </c>
      <c r="AO33" s="143">
        <f>'Raw Results 2024'!BB33</f>
        <v>0</v>
      </c>
      <c r="AP33" s="143">
        <f>'Raw Results 2024'!BD33</f>
        <v>0</v>
      </c>
      <c r="AQ33" s="155" t="e">
        <f t="shared" si="20"/>
        <v>#DIV/0!</v>
      </c>
      <c r="AT33" s="152">
        <f t="shared" si="0"/>
        <v>256267591.42000002</v>
      </c>
      <c r="AU33" s="152">
        <f t="shared" si="1"/>
        <v>345261300.26999998</v>
      </c>
      <c r="AV33" s="152">
        <f t="shared" si="2"/>
        <v>286432189.42000002</v>
      </c>
      <c r="AW33" s="155">
        <f t="shared" si="21"/>
        <v>-0.17039010976322755</v>
      </c>
      <c r="AY33" s="152">
        <f t="shared" si="3"/>
        <v>38327232.269999996</v>
      </c>
      <c r="AZ33" s="152">
        <f t="shared" si="4"/>
        <v>50514799.890000001</v>
      </c>
      <c r="BA33" s="152">
        <f t="shared" si="5"/>
        <v>54667347.010000005</v>
      </c>
      <c r="BB33" s="155">
        <f t="shared" si="22"/>
        <v>8.2204564385932571E-2</v>
      </c>
      <c r="BD33" s="152">
        <f t="shared" si="6"/>
        <v>9113557.9700000007</v>
      </c>
      <c r="BE33" s="152">
        <f t="shared" si="7"/>
        <v>11758191.970000001</v>
      </c>
      <c r="BF33" s="152">
        <f t="shared" si="8"/>
        <v>12484920.24</v>
      </c>
      <c r="BG33" s="155">
        <f t="shared" si="23"/>
        <v>6.1806123922298874E-2</v>
      </c>
      <c r="BJ33" s="152">
        <f t="shared" si="9"/>
        <v>303708381.66000003</v>
      </c>
      <c r="BK33" s="152">
        <f t="shared" si="10"/>
        <v>407534292.13</v>
      </c>
      <c r="BL33" s="152">
        <f t="shared" si="11"/>
        <v>353584456.67000002</v>
      </c>
      <c r="BM33" s="155">
        <f t="shared" si="24"/>
        <v>-0.13238109406211745</v>
      </c>
    </row>
    <row r="34" spans="1:65">
      <c r="A34" t="s">
        <v>407</v>
      </c>
      <c r="B34">
        <v>0</v>
      </c>
      <c r="C34" t="s">
        <v>436</v>
      </c>
      <c r="D34" t="s">
        <v>437</v>
      </c>
      <c r="F34" t="s">
        <v>423</v>
      </c>
      <c r="G34" t="s">
        <v>424</v>
      </c>
      <c r="H34" s="143">
        <f>'Raw Results 2024'!G34</f>
        <v>110.41</v>
      </c>
      <c r="I34" s="143">
        <f>'Raw Results 2024'!H34</f>
        <v>110.4</v>
      </c>
      <c r="J34" s="143">
        <f>'Raw Results 2024'!J34</f>
        <v>93.56</v>
      </c>
      <c r="K34" s="155">
        <f t="shared" si="12"/>
        <v>-0.15253623188405799</v>
      </c>
      <c r="L34" s="143">
        <f>'Raw Results 2024'!L34</f>
        <v>96.13</v>
      </c>
      <c r="M34" s="143">
        <f>'Raw Results 2024'!N34</f>
        <v>96.13</v>
      </c>
      <c r="N34" s="143">
        <f>'Raw Results 2024'!P34</f>
        <v>83.45</v>
      </c>
      <c r="O34" s="155">
        <f t="shared" si="13"/>
        <v>-0.13190471236866735</v>
      </c>
      <c r="P34" s="143">
        <f>'Raw Results 2024'!R34</f>
        <v>93.41</v>
      </c>
      <c r="Q34" s="143">
        <f>'Raw Results 2024'!T34</f>
        <v>93.41</v>
      </c>
      <c r="R34" s="143">
        <f>'Raw Results 2024'!V34</f>
        <v>80.42</v>
      </c>
      <c r="S34" s="155">
        <f t="shared" si="14"/>
        <v>-0.13906434000642326</v>
      </c>
      <c r="T34" s="143">
        <f>'Raw Results 2024'!Y34</f>
        <v>94.71</v>
      </c>
      <c r="U34" s="143">
        <f>'Raw Results 2024'!Z34</f>
        <v>94.71</v>
      </c>
      <c r="V34" s="143">
        <f>'Raw Results 2024'!AB34</f>
        <v>79.97</v>
      </c>
      <c r="W34" s="155">
        <f t="shared" si="15"/>
        <v>-0.15563298490127753</v>
      </c>
      <c r="X34" s="143">
        <f>'Raw Results 2024'!AD34</f>
        <v>107.56</v>
      </c>
      <c r="Y34" s="143">
        <f>'Raw Results 2024'!AE34</f>
        <v>107.56</v>
      </c>
      <c r="Z34" s="143">
        <f>'Raw Results 2024'!AF34</f>
        <v>86.05</v>
      </c>
      <c r="AA34" s="155">
        <f t="shared" si="16"/>
        <v>-0.19998140572703613</v>
      </c>
      <c r="AB34" s="143">
        <f>'Raw Results 2024'!AH34</f>
        <v>0</v>
      </c>
      <c r="AC34" s="143">
        <f>'Raw Results 2024'!AJ34</f>
        <v>0</v>
      </c>
      <c r="AD34" s="143">
        <f>'Raw Results 2024'!AL34</f>
        <v>0</v>
      </c>
      <c r="AE34" s="155" t="e">
        <f t="shared" si="17"/>
        <v>#DIV/0!</v>
      </c>
      <c r="AF34" s="143">
        <f>'Raw Results 2024'!AN34</f>
        <v>0</v>
      </c>
      <c r="AG34" s="143">
        <f>'Raw Results 2024'!AP34</f>
        <v>0</v>
      </c>
      <c r="AH34" s="143">
        <f>'Raw Results 2024'!AR34</f>
        <v>0</v>
      </c>
      <c r="AI34" s="155" t="e">
        <f t="shared" si="18"/>
        <v>#DIV/0!</v>
      </c>
      <c r="AJ34" s="143">
        <f>'Raw Results 2024'!AT34</f>
        <v>0</v>
      </c>
      <c r="AK34" s="143">
        <f>'Raw Results 2024'!AV34</f>
        <v>0</v>
      </c>
      <c r="AL34" s="143">
        <f>'Raw Results 2024'!AX34</f>
        <v>0</v>
      </c>
      <c r="AM34" s="155" t="e">
        <f t="shared" si="19"/>
        <v>#DIV/0!</v>
      </c>
      <c r="AN34" s="143">
        <f>'Raw Results 2024'!AZ34</f>
        <v>0</v>
      </c>
      <c r="AO34" s="143">
        <f>'Raw Results 2024'!BB34</f>
        <v>0</v>
      </c>
      <c r="AP34" s="143">
        <f>'Raw Results 2024'!BD34</f>
        <v>0</v>
      </c>
      <c r="AQ34" s="155" t="e">
        <f t="shared" si="20"/>
        <v>#DIV/0!</v>
      </c>
      <c r="AT34" s="152">
        <f>AT32/(AT52*0.21)</f>
        <v>69.864495298777086</v>
      </c>
      <c r="AU34" s="152">
        <f t="shared" ref="AU34:AV34" si="25">AU32/(AU52*0.21)</f>
        <v>69.855693526754891</v>
      </c>
      <c r="AV34" s="152">
        <f t="shared" si="25"/>
        <v>59.031803448614653</v>
      </c>
      <c r="AW34" s="155">
        <f t="shared" si="21"/>
        <v>-0.15494642643544385</v>
      </c>
      <c r="AY34" s="152">
        <f>AY32/(AY52*0.21)</f>
        <v>78.493261441087881</v>
      </c>
      <c r="AZ34" s="152">
        <f t="shared" ref="AZ34:BA34" si="26">AZ32/(AZ52*0.21)</f>
        <v>78.519179592092854</v>
      </c>
      <c r="BA34" s="152">
        <f t="shared" si="26"/>
        <v>63.570802290123474</v>
      </c>
      <c r="BB34" s="155">
        <f t="shared" si="22"/>
        <v>-0.19037867409754153</v>
      </c>
      <c r="BD34" s="152">
        <f>BD32/(BD52*0.21)</f>
        <v>68.646902194254679</v>
      </c>
      <c r="BE34" s="152">
        <f t="shared" ref="BE34:BF34" si="27">BE32/(BE52*0.21)</f>
        <v>68.646475734153384</v>
      </c>
      <c r="BF34" s="152">
        <f t="shared" si="27"/>
        <v>59.129952692367333</v>
      </c>
      <c r="BG34" s="155">
        <f t="shared" si="23"/>
        <v>-0.13863090479168383</v>
      </c>
      <c r="BJ34" s="152">
        <f>BJ32/(BJ52*0.21)</f>
        <v>70.829550264620579</v>
      </c>
      <c r="BK34" s="152">
        <f t="shared" ref="BK34:BL34" si="28">BK32/(BK52*0.21)</f>
        <v>70.808023373063619</v>
      </c>
      <c r="BL34" s="152">
        <f t="shared" si="28"/>
        <v>59.61943965987308</v>
      </c>
      <c r="BM34" s="155">
        <f t="shared" si="24"/>
        <v>-0.15801293667303296</v>
      </c>
    </row>
    <row r="35" spans="1:65">
      <c r="A35" t="s">
        <v>407</v>
      </c>
      <c r="B35">
        <v>1</v>
      </c>
      <c r="C35" t="s">
        <v>436</v>
      </c>
      <c r="D35" t="s">
        <v>437</v>
      </c>
      <c r="F35" t="s">
        <v>443</v>
      </c>
      <c r="G35" t="s">
        <v>426</v>
      </c>
      <c r="H35" s="143">
        <f>'Raw Results 2024'!G35</f>
        <v>0</v>
      </c>
      <c r="I35" s="143">
        <f>'Raw Results 2024'!H35</f>
        <v>0</v>
      </c>
      <c r="J35" s="143">
        <f>'Raw Results 2024'!J35</f>
        <v>0</v>
      </c>
      <c r="K35" s="155" t="e">
        <f t="shared" si="12"/>
        <v>#DIV/0!</v>
      </c>
      <c r="L35" s="143">
        <f>'Raw Results 2024'!L35</f>
        <v>0</v>
      </c>
      <c r="M35" s="143">
        <f>'Raw Results 2024'!N35</f>
        <v>0</v>
      </c>
      <c r="N35" s="143">
        <f>'Raw Results 2024'!P35</f>
        <v>0</v>
      </c>
      <c r="O35" s="155" t="e">
        <f t="shared" si="13"/>
        <v>#DIV/0!</v>
      </c>
      <c r="P35" s="143">
        <f>'Raw Results 2024'!R35</f>
        <v>0</v>
      </c>
      <c r="Q35" s="143">
        <f>'Raw Results 2024'!T35</f>
        <v>0</v>
      </c>
      <c r="R35" s="143">
        <f>'Raw Results 2024'!V35</f>
        <v>0</v>
      </c>
      <c r="S35" s="155" t="e">
        <f t="shared" si="14"/>
        <v>#DIV/0!</v>
      </c>
      <c r="T35" s="143">
        <f>'Raw Results 2024'!Y35</f>
        <v>0</v>
      </c>
      <c r="U35" s="143">
        <f>'Raw Results 2024'!Z35</f>
        <v>0</v>
      </c>
      <c r="V35" s="143">
        <f>'Raw Results 2024'!AB35</f>
        <v>0</v>
      </c>
      <c r="W35" s="155" t="e">
        <f t="shared" si="15"/>
        <v>#DIV/0!</v>
      </c>
      <c r="X35" s="143">
        <f>'Raw Results 2024'!AD35</f>
        <v>0</v>
      </c>
      <c r="Y35" s="143">
        <f>'Raw Results 2024'!AE35</f>
        <v>0</v>
      </c>
      <c r="Z35" s="143">
        <f>'Raw Results 2024'!AF35</f>
        <v>0</v>
      </c>
      <c r="AA35" s="155" t="e">
        <f t="shared" si="16"/>
        <v>#DIV/0!</v>
      </c>
      <c r="AB35" s="143">
        <f>'Raw Results 2024'!AH35</f>
        <v>0</v>
      </c>
      <c r="AC35" s="143">
        <f>'Raw Results 2024'!AJ35</f>
        <v>0</v>
      </c>
      <c r="AD35" s="143">
        <f>'Raw Results 2024'!AL35</f>
        <v>0</v>
      </c>
      <c r="AE35" s="155" t="e">
        <f t="shared" si="17"/>
        <v>#DIV/0!</v>
      </c>
      <c r="AF35" s="143">
        <f>'Raw Results 2024'!AN35</f>
        <v>0</v>
      </c>
      <c r="AG35" s="143">
        <f>'Raw Results 2024'!AP35</f>
        <v>0</v>
      </c>
      <c r="AH35" s="143">
        <f>'Raw Results 2024'!AR35</f>
        <v>0</v>
      </c>
      <c r="AI35" s="155" t="e">
        <f t="shared" si="18"/>
        <v>#DIV/0!</v>
      </c>
      <c r="AJ35" s="143">
        <f>'Raw Results 2024'!AT35</f>
        <v>0</v>
      </c>
      <c r="AK35" s="143">
        <f>'Raw Results 2024'!AV35</f>
        <v>0</v>
      </c>
      <c r="AL35" s="143">
        <f>'Raw Results 2024'!AX35</f>
        <v>0</v>
      </c>
      <c r="AM35" s="155" t="e">
        <f t="shared" si="19"/>
        <v>#DIV/0!</v>
      </c>
      <c r="AN35" s="143">
        <f>'Raw Results 2024'!AZ35</f>
        <v>0</v>
      </c>
      <c r="AO35" s="143">
        <f>'Raw Results 2024'!BB35</f>
        <v>0</v>
      </c>
      <c r="AP35" s="143">
        <f>'Raw Results 2024'!BD35</f>
        <v>0</v>
      </c>
      <c r="AQ35" s="155" t="e">
        <f t="shared" si="20"/>
        <v>#DIV/0!</v>
      </c>
      <c r="AT35" s="152">
        <f t="shared" ref="AT35:AV38" si="29">H35+T35+AF35</f>
        <v>0</v>
      </c>
      <c r="AU35" s="152">
        <f t="shared" si="29"/>
        <v>0</v>
      </c>
      <c r="AV35" s="152">
        <f t="shared" si="29"/>
        <v>0</v>
      </c>
      <c r="AW35" s="155" t="e">
        <f t="shared" si="21"/>
        <v>#DIV/0!</v>
      </c>
      <c r="AY35" s="152">
        <f t="shared" ref="AY35:BA38" si="30">L35+X35+AJ35</f>
        <v>0</v>
      </c>
      <c r="AZ35" s="152">
        <f t="shared" si="30"/>
        <v>0</v>
      </c>
      <c r="BA35" s="152">
        <f t="shared" si="30"/>
        <v>0</v>
      </c>
      <c r="BB35" s="155" t="e">
        <f t="shared" si="22"/>
        <v>#DIV/0!</v>
      </c>
      <c r="BD35" s="152">
        <f t="shared" ref="BD35:BF38" si="31">P35+AB35+AN35</f>
        <v>0</v>
      </c>
      <c r="BE35" s="152">
        <f t="shared" si="31"/>
        <v>0</v>
      </c>
      <c r="BF35" s="152">
        <f t="shared" si="31"/>
        <v>0</v>
      </c>
      <c r="BG35" s="155" t="e">
        <f t="shared" si="23"/>
        <v>#DIV/0!</v>
      </c>
      <c r="BJ35" s="152">
        <f t="shared" ref="BJ35:BL38" si="32">AT35+AY35+BD35</f>
        <v>0</v>
      </c>
      <c r="BK35" s="152">
        <f t="shared" si="32"/>
        <v>0</v>
      </c>
      <c r="BL35" s="152">
        <f t="shared" si="32"/>
        <v>0</v>
      </c>
      <c r="BM35" s="155" t="e">
        <f t="shared" si="24"/>
        <v>#DIV/0!</v>
      </c>
    </row>
    <row r="36" spans="1:65">
      <c r="A36" t="s">
        <v>407</v>
      </c>
      <c r="B36">
        <v>1</v>
      </c>
      <c r="C36" t="s">
        <v>436</v>
      </c>
      <c r="D36" t="s">
        <v>437</v>
      </c>
      <c r="F36" t="s">
        <v>444</v>
      </c>
      <c r="G36" t="s">
        <v>426</v>
      </c>
      <c r="H36" s="143">
        <f>'Raw Results 2024'!G36</f>
        <v>0</v>
      </c>
      <c r="I36" s="143">
        <f>'Raw Results 2024'!H36</f>
        <v>0</v>
      </c>
      <c r="J36" s="143">
        <f>'Raw Results 2024'!J36</f>
        <v>0</v>
      </c>
      <c r="K36" s="155" t="e">
        <f t="shared" si="12"/>
        <v>#DIV/0!</v>
      </c>
      <c r="L36" s="143">
        <f>'Raw Results 2024'!L36</f>
        <v>0</v>
      </c>
      <c r="M36" s="143">
        <f>'Raw Results 2024'!N36</f>
        <v>0</v>
      </c>
      <c r="N36" s="143">
        <f>'Raw Results 2024'!P36</f>
        <v>0</v>
      </c>
      <c r="O36" s="155" t="e">
        <f t="shared" si="13"/>
        <v>#DIV/0!</v>
      </c>
      <c r="P36" s="143">
        <f>'Raw Results 2024'!R36</f>
        <v>0</v>
      </c>
      <c r="Q36" s="143">
        <f>'Raw Results 2024'!T36</f>
        <v>0</v>
      </c>
      <c r="R36" s="143">
        <f>'Raw Results 2024'!V36</f>
        <v>0</v>
      </c>
      <c r="S36" s="155" t="e">
        <f t="shared" si="14"/>
        <v>#DIV/0!</v>
      </c>
      <c r="T36" s="143">
        <f>'Raw Results 2024'!Y36</f>
        <v>0</v>
      </c>
      <c r="U36" s="143">
        <f>'Raw Results 2024'!Z36</f>
        <v>0</v>
      </c>
      <c r="V36" s="143">
        <f>'Raw Results 2024'!AB36</f>
        <v>0</v>
      </c>
      <c r="W36" s="155" t="e">
        <f t="shared" si="15"/>
        <v>#DIV/0!</v>
      </c>
      <c r="X36" s="143">
        <f>'Raw Results 2024'!AD36</f>
        <v>0</v>
      </c>
      <c r="Y36" s="143">
        <f>'Raw Results 2024'!AE36</f>
        <v>0</v>
      </c>
      <c r="Z36" s="143">
        <f>'Raw Results 2024'!AF36</f>
        <v>0</v>
      </c>
      <c r="AA36" s="155" t="e">
        <f t="shared" si="16"/>
        <v>#DIV/0!</v>
      </c>
      <c r="AB36" s="143">
        <f>'Raw Results 2024'!AH36</f>
        <v>0</v>
      </c>
      <c r="AC36" s="143">
        <f>'Raw Results 2024'!AJ36</f>
        <v>0</v>
      </c>
      <c r="AD36" s="143">
        <f>'Raw Results 2024'!AL36</f>
        <v>0</v>
      </c>
      <c r="AE36" s="155" t="e">
        <f t="shared" si="17"/>
        <v>#DIV/0!</v>
      </c>
      <c r="AF36" s="143">
        <f>'Raw Results 2024'!AN36</f>
        <v>0</v>
      </c>
      <c r="AG36" s="143">
        <f>'Raw Results 2024'!AP36</f>
        <v>0</v>
      </c>
      <c r="AH36" s="143">
        <f>'Raw Results 2024'!AR36</f>
        <v>0</v>
      </c>
      <c r="AI36" s="155" t="e">
        <f t="shared" si="18"/>
        <v>#DIV/0!</v>
      </c>
      <c r="AJ36" s="143">
        <f>'Raw Results 2024'!AT36</f>
        <v>0</v>
      </c>
      <c r="AK36" s="143">
        <f>'Raw Results 2024'!AV36</f>
        <v>0</v>
      </c>
      <c r="AL36" s="143">
        <f>'Raw Results 2024'!AX36</f>
        <v>0</v>
      </c>
      <c r="AM36" s="155" t="e">
        <f t="shared" si="19"/>
        <v>#DIV/0!</v>
      </c>
      <c r="AN36" s="143">
        <f>'Raw Results 2024'!AZ36</f>
        <v>0</v>
      </c>
      <c r="AO36" s="143">
        <f>'Raw Results 2024'!BB36</f>
        <v>0</v>
      </c>
      <c r="AP36" s="143">
        <f>'Raw Results 2024'!BD36</f>
        <v>0</v>
      </c>
      <c r="AQ36" s="155" t="e">
        <f t="shared" si="20"/>
        <v>#DIV/0!</v>
      </c>
      <c r="AT36" s="152">
        <f t="shared" si="29"/>
        <v>0</v>
      </c>
      <c r="AU36" s="152">
        <f t="shared" si="29"/>
        <v>0</v>
      </c>
      <c r="AV36" s="152">
        <f t="shared" si="29"/>
        <v>0</v>
      </c>
      <c r="AW36" s="155" t="e">
        <f t="shared" si="21"/>
        <v>#DIV/0!</v>
      </c>
      <c r="AY36" s="152">
        <f t="shared" si="30"/>
        <v>0</v>
      </c>
      <c r="AZ36" s="152">
        <f t="shared" si="30"/>
        <v>0</v>
      </c>
      <c r="BA36" s="152">
        <f t="shared" si="30"/>
        <v>0</v>
      </c>
      <c r="BB36" s="155" t="e">
        <f t="shared" si="22"/>
        <v>#DIV/0!</v>
      </c>
      <c r="BD36" s="152">
        <f t="shared" si="31"/>
        <v>0</v>
      </c>
      <c r="BE36" s="152">
        <f t="shared" si="31"/>
        <v>0</v>
      </c>
      <c r="BF36" s="152">
        <f t="shared" si="31"/>
        <v>0</v>
      </c>
      <c r="BG36" s="155" t="e">
        <f t="shared" si="23"/>
        <v>#DIV/0!</v>
      </c>
      <c r="BJ36" s="152">
        <f t="shared" si="32"/>
        <v>0</v>
      </c>
      <c r="BK36" s="152">
        <f t="shared" si="32"/>
        <v>0</v>
      </c>
      <c r="BL36" s="152">
        <f t="shared" si="32"/>
        <v>0</v>
      </c>
      <c r="BM36" s="155" t="e">
        <f t="shared" si="24"/>
        <v>#DIV/0!</v>
      </c>
    </row>
    <row r="37" spans="1:65">
      <c r="A37" t="s">
        <v>407</v>
      </c>
      <c r="B37">
        <v>1</v>
      </c>
      <c r="C37" t="s">
        <v>436</v>
      </c>
      <c r="D37" t="s">
        <v>437</v>
      </c>
      <c r="F37" t="s">
        <v>445</v>
      </c>
      <c r="G37" t="s">
        <v>426</v>
      </c>
      <c r="H37" s="143">
        <f>'Raw Results 2024'!G37</f>
        <v>16471.84</v>
      </c>
      <c r="I37" s="143">
        <f>'Raw Results 2024'!H37</f>
        <v>20506.89</v>
      </c>
      <c r="J37" s="143">
        <f>'Raw Results 2024'!J37</f>
        <v>30798.5</v>
      </c>
      <c r="K37" s="155">
        <f t="shared" si="12"/>
        <v>0.50186108181201539</v>
      </c>
      <c r="L37" s="143">
        <f>'Raw Results 2024'!L37</f>
        <v>34895.440000000002</v>
      </c>
      <c r="M37" s="143">
        <f>'Raw Results 2024'!N37</f>
        <v>45022.94</v>
      </c>
      <c r="N37" s="143">
        <f>'Raw Results 2024'!P37</f>
        <v>69993.94</v>
      </c>
      <c r="O37" s="155">
        <f t="shared" si="13"/>
        <v>0.55462837389117636</v>
      </c>
      <c r="P37" s="143">
        <f>'Raw Results 2024'!R37</f>
        <v>65098.27</v>
      </c>
      <c r="Q37" s="143">
        <f>'Raw Results 2024'!T37</f>
        <v>83988.83</v>
      </c>
      <c r="R37" s="143">
        <f>'Raw Results 2024'!V37</f>
        <v>132868.98000000001</v>
      </c>
      <c r="S37" s="155">
        <f t="shared" si="14"/>
        <v>0.58198393762599154</v>
      </c>
      <c r="T37" s="143">
        <f>'Raw Results 2024'!Y37</f>
        <v>1972969.01</v>
      </c>
      <c r="U37" s="143">
        <f>'Raw Results 2024'!Z37</f>
        <v>2660120.73</v>
      </c>
      <c r="V37" s="143">
        <f>'Raw Results 2024'!AB37</f>
        <v>3653378.05</v>
      </c>
      <c r="W37" s="155">
        <f t="shared" si="15"/>
        <v>0.37338806047348078</v>
      </c>
      <c r="X37" s="143">
        <f>'Raw Results 2024'!AD37</f>
        <v>232282.93</v>
      </c>
      <c r="Y37" s="143">
        <f>'Raw Results 2024'!AE37</f>
        <v>307076</v>
      </c>
      <c r="Z37" s="143">
        <f>'Raw Results 2024'!AF37</f>
        <v>494757.84</v>
      </c>
      <c r="AA37" s="155">
        <f t="shared" si="16"/>
        <v>0.61119019395849894</v>
      </c>
      <c r="AB37" s="143">
        <f>'Raw Results 2024'!AH37</f>
        <v>0</v>
      </c>
      <c r="AC37" s="143">
        <f>'Raw Results 2024'!AJ37</f>
        <v>0</v>
      </c>
      <c r="AD37" s="143">
        <f>'Raw Results 2024'!AL37</f>
        <v>0</v>
      </c>
      <c r="AE37" s="155" t="e">
        <f t="shared" si="17"/>
        <v>#DIV/0!</v>
      </c>
      <c r="AF37" s="143">
        <f>'Raw Results 2024'!AN37</f>
        <v>0</v>
      </c>
      <c r="AG37" s="143">
        <f>'Raw Results 2024'!AP37</f>
        <v>0</v>
      </c>
      <c r="AH37" s="143">
        <f>'Raw Results 2024'!AR37</f>
        <v>0</v>
      </c>
      <c r="AI37" s="155" t="e">
        <f t="shared" si="18"/>
        <v>#DIV/0!</v>
      </c>
      <c r="AJ37" s="143">
        <f>'Raw Results 2024'!AT37</f>
        <v>0</v>
      </c>
      <c r="AK37" s="143">
        <f>'Raw Results 2024'!AV37</f>
        <v>0</v>
      </c>
      <c r="AL37" s="143">
        <f>'Raw Results 2024'!AX37</f>
        <v>0</v>
      </c>
      <c r="AM37" s="155" t="e">
        <f t="shared" si="19"/>
        <v>#DIV/0!</v>
      </c>
      <c r="AN37" s="143">
        <f>'Raw Results 2024'!AZ37</f>
        <v>0</v>
      </c>
      <c r="AO37" s="143">
        <f>'Raw Results 2024'!BB37</f>
        <v>0</v>
      </c>
      <c r="AP37" s="143">
        <f>'Raw Results 2024'!BD37</f>
        <v>0</v>
      </c>
      <c r="AQ37" s="155" t="e">
        <f t="shared" si="20"/>
        <v>#DIV/0!</v>
      </c>
      <c r="AT37" s="152">
        <f t="shared" si="29"/>
        <v>1989440.85</v>
      </c>
      <c r="AU37" s="152">
        <f t="shared" si="29"/>
        <v>2680627.62</v>
      </c>
      <c r="AV37" s="152">
        <f t="shared" si="29"/>
        <v>3684176.55</v>
      </c>
      <c r="AW37" s="155">
        <f t="shared" si="21"/>
        <v>0.37437088333813395</v>
      </c>
      <c r="AY37" s="152">
        <f t="shared" si="30"/>
        <v>267178.37</v>
      </c>
      <c r="AZ37" s="152">
        <f t="shared" si="30"/>
        <v>352098.94</v>
      </c>
      <c r="BA37" s="152">
        <f t="shared" si="30"/>
        <v>564751.78</v>
      </c>
      <c r="BB37" s="155">
        <f t="shared" si="22"/>
        <v>0.60395762622858229</v>
      </c>
      <c r="BD37" s="152">
        <f t="shared" si="31"/>
        <v>65098.27</v>
      </c>
      <c r="BE37" s="152">
        <f t="shared" si="31"/>
        <v>83988.83</v>
      </c>
      <c r="BF37" s="152">
        <f t="shared" si="31"/>
        <v>132868.98000000001</v>
      </c>
      <c r="BG37" s="155">
        <f t="shared" si="23"/>
        <v>0.58198393762599154</v>
      </c>
      <c r="BJ37" s="152">
        <f t="shared" si="32"/>
        <v>2321717.4900000002</v>
      </c>
      <c r="BK37" s="152">
        <f t="shared" si="32"/>
        <v>3116715.39</v>
      </c>
      <c r="BL37" s="152">
        <f t="shared" si="32"/>
        <v>4381797.3100000005</v>
      </c>
      <c r="BM37" s="155">
        <f t="shared" si="24"/>
        <v>0.40590229189967852</v>
      </c>
    </row>
    <row r="38" spans="1:65">
      <c r="A38" t="s">
        <v>407</v>
      </c>
      <c r="B38">
        <v>1</v>
      </c>
      <c r="C38" t="s">
        <v>436</v>
      </c>
      <c r="D38" t="s">
        <v>437</v>
      </c>
      <c r="F38" t="s">
        <v>446</v>
      </c>
      <c r="G38" t="s">
        <v>426</v>
      </c>
      <c r="H38" s="143">
        <f>'Raw Results 2024'!G38</f>
        <v>38865.129999999997</v>
      </c>
      <c r="I38" s="143">
        <f>'Raw Results 2024'!H38</f>
        <v>48387.1</v>
      </c>
      <c r="J38" s="143">
        <f>'Raw Results 2024'!J38</f>
        <v>55149.71</v>
      </c>
      <c r="K38" s="155">
        <f t="shared" si="12"/>
        <v>0.13976059734929352</v>
      </c>
      <c r="L38" s="143">
        <f>'Raw Results 2024'!L38</f>
        <v>79149.320000000007</v>
      </c>
      <c r="M38" s="143">
        <f>'Raw Results 2024'!N38</f>
        <v>102121.32</v>
      </c>
      <c r="N38" s="143">
        <f>'Raw Results 2024'!P38</f>
        <v>119759.75</v>
      </c>
      <c r="O38" s="155">
        <f t="shared" si="13"/>
        <v>0.17272034869897873</v>
      </c>
      <c r="P38" s="143">
        <f>'Raw Results 2024'!R38</f>
        <v>144352.10999999999</v>
      </c>
      <c r="Q38" s="143">
        <f>'Raw Results 2024'!T38</f>
        <v>186238.64</v>
      </c>
      <c r="R38" s="143">
        <f>'Raw Results 2024'!V38</f>
        <v>225956.88</v>
      </c>
      <c r="S38" s="155">
        <f t="shared" si="14"/>
        <v>0.21326530305418889</v>
      </c>
      <c r="T38" s="143">
        <f>'Raw Results 2024'!Y38</f>
        <v>3856381.12</v>
      </c>
      <c r="U38" s="143">
        <f>'Raw Results 2024'!Z38</f>
        <v>5199713.08</v>
      </c>
      <c r="V38" s="143">
        <f>'Raw Results 2024'!AB38</f>
        <v>5995433.9500000002</v>
      </c>
      <c r="W38" s="155">
        <f t="shared" si="15"/>
        <v>0.15303168804844902</v>
      </c>
      <c r="X38" s="143">
        <f>'Raw Results 2024'!AD38</f>
        <v>459695.53</v>
      </c>
      <c r="Y38" s="143">
        <f>'Raw Results 2024'!AE38</f>
        <v>607711.41</v>
      </c>
      <c r="Z38" s="143">
        <f>'Raw Results 2024'!AF38</f>
        <v>819125.48</v>
      </c>
      <c r="AA38" s="155">
        <f t="shared" si="16"/>
        <v>0.34788563538736245</v>
      </c>
      <c r="AB38" s="143">
        <f>'Raw Results 2024'!AH38</f>
        <v>0</v>
      </c>
      <c r="AC38" s="143">
        <f>'Raw Results 2024'!AJ38</f>
        <v>0</v>
      </c>
      <c r="AD38" s="143">
        <f>'Raw Results 2024'!AL38</f>
        <v>0</v>
      </c>
      <c r="AE38" s="155" t="e">
        <f t="shared" si="17"/>
        <v>#DIV/0!</v>
      </c>
      <c r="AF38" s="143">
        <f>'Raw Results 2024'!AN38</f>
        <v>0</v>
      </c>
      <c r="AG38" s="143">
        <f>'Raw Results 2024'!AP38</f>
        <v>0</v>
      </c>
      <c r="AH38" s="143">
        <f>'Raw Results 2024'!AR38</f>
        <v>0</v>
      </c>
      <c r="AI38" s="155" t="e">
        <f t="shared" si="18"/>
        <v>#DIV/0!</v>
      </c>
      <c r="AJ38" s="143">
        <f>'Raw Results 2024'!AT38</f>
        <v>0</v>
      </c>
      <c r="AK38" s="143">
        <f>'Raw Results 2024'!AV38</f>
        <v>0</v>
      </c>
      <c r="AL38" s="143">
        <f>'Raw Results 2024'!AX38</f>
        <v>0</v>
      </c>
      <c r="AM38" s="155" t="e">
        <f t="shared" si="19"/>
        <v>#DIV/0!</v>
      </c>
      <c r="AN38" s="143">
        <f>'Raw Results 2024'!AZ38</f>
        <v>0</v>
      </c>
      <c r="AO38" s="143">
        <f>'Raw Results 2024'!BB38</f>
        <v>0</v>
      </c>
      <c r="AP38" s="143">
        <f>'Raw Results 2024'!BD38</f>
        <v>0</v>
      </c>
      <c r="AQ38" s="155" t="e">
        <f t="shared" si="20"/>
        <v>#DIV/0!</v>
      </c>
      <c r="AT38" s="152">
        <f t="shared" si="29"/>
        <v>3895246.25</v>
      </c>
      <c r="AU38" s="152">
        <f t="shared" si="29"/>
        <v>5248100.18</v>
      </c>
      <c r="AV38" s="152">
        <f t="shared" si="29"/>
        <v>6050583.6600000001</v>
      </c>
      <c r="AW38" s="155">
        <f t="shared" si="21"/>
        <v>0.15290932956237899</v>
      </c>
      <c r="AY38" s="152">
        <f t="shared" si="30"/>
        <v>538844.85000000009</v>
      </c>
      <c r="AZ38" s="152">
        <f t="shared" si="30"/>
        <v>709832.73</v>
      </c>
      <c r="BA38" s="152">
        <f t="shared" si="30"/>
        <v>938885.23</v>
      </c>
      <c r="BB38" s="155">
        <f t="shared" si="22"/>
        <v>0.32268517683032172</v>
      </c>
      <c r="BD38" s="152">
        <f t="shared" si="31"/>
        <v>144352.10999999999</v>
      </c>
      <c r="BE38" s="152">
        <f t="shared" si="31"/>
        <v>186238.64</v>
      </c>
      <c r="BF38" s="152">
        <f t="shared" si="31"/>
        <v>225956.88</v>
      </c>
      <c r="BG38" s="155">
        <f t="shared" si="23"/>
        <v>0.21326530305418889</v>
      </c>
      <c r="BJ38" s="152">
        <f t="shared" si="32"/>
        <v>4578443.21</v>
      </c>
      <c r="BK38" s="152">
        <f t="shared" si="32"/>
        <v>6144171.5499999998</v>
      </c>
      <c r="BL38" s="152">
        <f t="shared" si="32"/>
        <v>7215425.7700000005</v>
      </c>
      <c r="BM38" s="155">
        <f t="shared" si="24"/>
        <v>0.17435291499958211</v>
      </c>
    </row>
    <row r="39" spans="1:65">
      <c r="A39" t="s">
        <v>407</v>
      </c>
      <c r="B39">
        <v>0</v>
      </c>
      <c r="C39" t="s">
        <v>436</v>
      </c>
      <c r="D39" t="s">
        <v>437</v>
      </c>
      <c r="F39" t="s">
        <v>447</v>
      </c>
      <c r="G39" t="s">
        <v>424</v>
      </c>
      <c r="H39" s="143">
        <f>'Raw Results 2024'!G39</f>
        <v>148.46</v>
      </c>
      <c r="I39" s="143">
        <f>'Raw Results 2024'!H39</f>
        <v>148.46</v>
      </c>
      <c r="J39" s="143">
        <f>'Raw Results 2024'!J39</f>
        <v>124.31</v>
      </c>
      <c r="K39" s="155">
        <f t="shared" si="12"/>
        <v>-0.16267007948268897</v>
      </c>
      <c r="L39" s="143">
        <f>'Raw Results 2024'!L39</f>
        <v>109.65</v>
      </c>
      <c r="M39" s="143">
        <f>'Raw Results 2024'!N39</f>
        <v>109.65</v>
      </c>
      <c r="N39" s="143">
        <f>'Raw Results 2024'!P39</f>
        <v>94.04</v>
      </c>
      <c r="O39" s="155">
        <f t="shared" si="13"/>
        <v>-0.14236206110351116</v>
      </c>
      <c r="P39" s="143">
        <f>'Raw Results 2024'!R39</f>
        <v>112.77</v>
      </c>
      <c r="Q39" s="143">
        <f>'Raw Results 2024'!T39</f>
        <v>112.77</v>
      </c>
      <c r="R39" s="143">
        <f>'Raw Results 2024'!V39</f>
        <v>72.53</v>
      </c>
      <c r="S39" s="155">
        <f t="shared" si="14"/>
        <v>-0.35683249091070318</v>
      </c>
      <c r="T39" s="143">
        <f>'Raw Results 2024'!Y39</f>
        <v>127.03</v>
      </c>
      <c r="U39" s="143">
        <f>'Raw Results 2024'!Z39</f>
        <v>127.03</v>
      </c>
      <c r="V39" s="143">
        <f>'Raw Results 2024'!AB39</f>
        <v>67.66</v>
      </c>
      <c r="W39" s="155">
        <f t="shared" si="15"/>
        <v>-0.46736991261906641</v>
      </c>
      <c r="X39" s="143">
        <f>'Raw Results 2024'!AD39</f>
        <v>142.41999999999999</v>
      </c>
      <c r="Y39" s="143">
        <f>'Raw Results 2024'!AE39</f>
        <v>142.41999999999999</v>
      </c>
      <c r="Z39" s="143">
        <f>'Raw Results 2024'!AF39</f>
        <v>45.87</v>
      </c>
      <c r="AA39" s="155">
        <f t="shared" si="16"/>
        <v>-0.67792444881336889</v>
      </c>
      <c r="AB39" s="143">
        <f>'Raw Results 2024'!AH39</f>
        <v>0</v>
      </c>
      <c r="AC39" s="143">
        <f>'Raw Results 2024'!AJ39</f>
        <v>0</v>
      </c>
      <c r="AD39" s="143">
        <f>'Raw Results 2024'!AL39</f>
        <v>0</v>
      </c>
      <c r="AE39" s="155" t="e">
        <f t="shared" si="17"/>
        <v>#DIV/0!</v>
      </c>
      <c r="AF39" s="143">
        <f>'Raw Results 2024'!AN39</f>
        <v>0</v>
      </c>
      <c r="AG39" s="143">
        <f>'Raw Results 2024'!AP39</f>
        <v>0</v>
      </c>
      <c r="AH39" s="143">
        <f>'Raw Results 2024'!AR39</f>
        <v>0</v>
      </c>
      <c r="AI39" s="155" t="e">
        <f t="shared" si="18"/>
        <v>#DIV/0!</v>
      </c>
      <c r="AJ39" s="143">
        <f>'Raw Results 2024'!AT39</f>
        <v>0</v>
      </c>
      <c r="AK39" s="143">
        <f>'Raw Results 2024'!AV39</f>
        <v>0</v>
      </c>
      <c r="AL39" s="143">
        <f>'Raw Results 2024'!AX39</f>
        <v>0</v>
      </c>
      <c r="AM39" s="155" t="e">
        <f t="shared" si="19"/>
        <v>#DIV/0!</v>
      </c>
      <c r="AN39" s="143">
        <f>'Raw Results 2024'!AZ39</f>
        <v>0</v>
      </c>
      <c r="AO39" s="143">
        <f>'Raw Results 2024'!BB39</f>
        <v>0</v>
      </c>
      <c r="AP39" s="143">
        <f>'Raw Results 2024'!BD39</f>
        <v>0</v>
      </c>
      <c r="AQ39" s="155" t="e">
        <f t="shared" si="20"/>
        <v>#DIV/0!</v>
      </c>
      <c r="AT39" s="152">
        <f>AT33/(AT40*0.0356)</f>
        <v>127.21325621144979</v>
      </c>
      <c r="AU39" s="152">
        <f t="shared" ref="AU39:AV39" si="33">AU33/(AU40*0.0356)</f>
        <v>127.19907981787951</v>
      </c>
      <c r="AV39" s="152">
        <f t="shared" si="33"/>
        <v>67.995980956098435</v>
      </c>
      <c r="AW39" s="155">
        <f t="shared" si="21"/>
        <v>-0.46543653418363246</v>
      </c>
      <c r="AY39" s="152">
        <f>AY33/(AY40*0.0356)</f>
        <v>137.25208690069675</v>
      </c>
      <c r="AZ39" s="152">
        <f t="shared" ref="AZ39:BA39" si="34">AZ33/(AZ40*0.0356)</f>
        <v>137.35716948629383</v>
      </c>
      <c r="BA39" s="152">
        <f t="shared" si="34"/>
        <v>48.726074475162193</v>
      </c>
      <c r="BB39" s="155">
        <f t="shared" si="22"/>
        <v>-0.64526005699306199</v>
      </c>
      <c r="BD39" s="152">
        <f>BD33/(BD40*0.0356)</f>
        <v>112.76744315867933</v>
      </c>
      <c r="BE39" s="152">
        <f t="shared" ref="BE39:BF39" si="35">BE33/(BE40*0.0356)</f>
        <v>112.76757078810658</v>
      </c>
      <c r="BF39" s="152">
        <f t="shared" si="35"/>
        <v>72.525135478806106</v>
      </c>
      <c r="BG39" s="155">
        <f t="shared" si="23"/>
        <v>-0.35686177354052556</v>
      </c>
      <c r="BJ39" s="152">
        <f>BJ33/(BJ40*0.0356)</f>
        <v>127.90216617179611</v>
      </c>
      <c r="BK39" s="152">
        <f t="shared" ref="BK39:BL39" si="36">BK33/(BK40*0.0356)</f>
        <v>127.89924979416288</v>
      </c>
      <c r="BL39" s="152">
        <f t="shared" si="36"/>
        <v>64.211434824644599</v>
      </c>
      <c r="BM39" s="155">
        <f t="shared" si="24"/>
        <v>-0.49795299872372584</v>
      </c>
    </row>
    <row r="40" spans="1:65">
      <c r="A40" t="s">
        <v>407</v>
      </c>
      <c r="B40">
        <v>1</v>
      </c>
      <c r="C40" t="s">
        <v>436</v>
      </c>
      <c r="D40" t="s">
        <v>437</v>
      </c>
      <c r="F40" t="s">
        <v>448</v>
      </c>
      <c r="G40" t="s">
        <v>426</v>
      </c>
      <c r="H40" s="143">
        <f>'Raw Results 2024'!G40</f>
        <v>473343.2</v>
      </c>
      <c r="I40" s="143">
        <f>'Raw Results 2024'!H40</f>
        <v>589296.4</v>
      </c>
      <c r="J40" s="143">
        <f>'Raw Results 2024'!J40</f>
        <v>695684</v>
      </c>
      <c r="K40" s="155">
        <f t="shared" si="12"/>
        <v>0.18053325966355804</v>
      </c>
      <c r="L40" s="143">
        <f>'Raw Results 2024'!L40</f>
        <v>1237687.5</v>
      </c>
      <c r="M40" s="143">
        <f>'Raw Results 2024'!N40</f>
        <v>1596894.6</v>
      </c>
      <c r="N40" s="143">
        <f>'Raw Results 2024'!P40</f>
        <v>1868809.8</v>
      </c>
      <c r="O40" s="155">
        <f t="shared" si="13"/>
        <v>0.17027748731819867</v>
      </c>
      <c r="P40" s="143">
        <f>'Raw Results 2024'!R40</f>
        <v>2270148.2999999998</v>
      </c>
      <c r="Q40" s="143">
        <f>'Raw Results 2024'!T40</f>
        <v>2928912</v>
      </c>
      <c r="R40" s="143">
        <f>'Raw Results 2024'!V40</f>
        <v>4835565</v>
      </c>
      <c r="S40" s="155">
        <f t="shared" si="14"/>
        <v>0.65097654009406902</v>
      </c>
      <c r="T40" s="143">
        <f>'Raw Results 2024'!Y40</f>
        <v>56112959.700000003</v>
      </c>
      <c r="U40" s="143">
        <f>'Raw Results 2024'!Z40</f>
        <v>75656154</v>
      </c>
      <c r="V40" s="143">
        <f>'Raw Results 2024'!AB40</f>
        <v>117632604</v>
      </c>
      <c r="W40" s="155">
        <f t="shared" si="15"/>
        <v>0.5548319307904549</v>
      </c>
      <c r="X40" s="143">
        <f>'Raw Results 2024'!AD40</f>
        <v>6606329.0999999996</v>
      </c>
      <c r="Y40" s="143">
        <f>'Raw Results 2024'!AE40</f>
        <v>8733509.4000000004</v>
      </c>
      <c r="Z40" s="143">
        <f>'Raw Results 2024'!AF40</f>
        <v>29646136.800000001</v>
      </c>
      <c r="AA40" s="155">
        <f t="shared" si="16"/>
        <v>2.3945273820853732</v>
      </c>
      <c r="AB40" s="143">
        <f>'Raw Results 2024'!AH40</f>
        <v>0</v>
      </c>
      <c r="AC40" s="143">
        <f>'Raw Results 2024'!AJ40</f>
        <v>0</v>
      </c>
      <c r="AD40" s="143">
        <f>'Raw Results 2024'!AL40</f>
        <v>0</v>
      </c>
      <c r="AE40" s="155" t="e">
        <f t="shared" si="17"/>
        <v>#DIV/0!</v>
      </c>
      <c r="AF40" s="143">
        <f>'Raw Results 2024'!AN40</f>
        <v>0</v>
      </c>
      <c r="AG40" s="143">
        <f>'Raw Results 2024'!AP40</f>
        <v>0</v>
      </c>
      <c r="AH40" s="143">
        <f>'Raw Results 2024'!AR40</f>
        <v>0</v>
      </c>
      <c r="AI40" s="155" t="e">
        <f t="shared" si="18"/>
        <v>#DIV/0!</v>
      </c>
      <c r="AJ40" s="143">
        <f>'Raw Results 2024'!AT40</f>
        <v>0</v>
      </c>
      <c r="AK40" s="143">
        <f>'Raw Results 2024'!AV40</f>
        <v>0</v>
      </c>
      <c r="AL40" s="143">
        <f>'Raw Results 2024'!AX40</f>
        <v>0</v>
      </c>
      <c r="AM40" s="155" t="e">
        <f t="shared" si="19"/>
        <v>#DIV/0!</v>
      </c>
      <c r="AN40" s="143">
        <f>'Raw Results 2024'!AZ40</f>
        <v>0</v>
      </c>
      <c r="AO40" s="143">
        <f>'Raw Results 2024'!BB40</f>
        <v>0</v>
      </c>
      <c r="AP40" s="143">
        <f>'Raw Results 2024'!BD40</f>
        <v>0</v>
      </c>
      <c r="AQ40" s="155" t="e">
        <f t="shared" si="20"/>
        <v>#DIV/0!</v>
      </c>
      <c r="AT40" s="152">
        <f t="shared" ref="AT40:AT75" si="37">H40+T40+AF40</f>
        <v>56586302.900000006</v>
      </c>
      <c r="AU40" s="152">
        <f t="shared" ref="AU40:AU75" si="38">I40+U40+AG40</f>
        <v>76245450.400000006</v>
      </c>
      <c r="AV40" s="152">
        <f t="shared" ref="AV40:AV75" si="39">J40+V40+AH40</f>
        <v>118328288</v>
      </c>
      <c r="AW40" s="155">
        <f t="shared" si="21"/>
        <v>0.55193899936618374</v>
      </c>
      <c r="AY40" s="152">
        <f t="shared" ref="AY40:AY75" si="40">L40+X40+AJ40</f>
        <v>7844016.5999999996</v>
      </c>
      <c r="AZ40" s="152">
        <f t="shared" ref="AZ40:AZ75" si="41">M40+Y40+AK40</f>
        <v>10330404</v>
      </c>
      <c r="BA40" s="152">
        <f t="shared" ref="BA40:BA75" si="42">N40+Z40+AL40</f>
        <v>31514946.600000001</v>
      </c>
      <c r="BB40" s="155">
        <f t="shared" si="22"/>
        <v>2.0506983657173525</v>
      </c>
      <c r="BD40" s="152">
        <f t="shared" ref="BD40:BD75" si="43">P40+AB40+AN40</f>
        <v>2270148.2999999998</v>
      </c>
      <c r="BE40" s="152">
        <f t="shared" ref="BE40:BE75" si="44">Q40+AC40+AO40</f>
        <v>2928912</v>
      </c>
      <c r="BF40" s="152">
        <f t="shared" ref="BF40:BF75" si="45">R40+AD40+AP40</f>
        <v>4835565</v>
      </c>
      <c r="BG40" s="155">
        <f t="shared" si="23"/>
        <v>0.65097654009406902</v>
      </c>
      <c r="BJ40" s="152">
        <f t="shared" ref="BJ40:BJ75" si="46">AT40+AY40+BD40</f>
        <v>66700467.800000004</v>
      </c>
      <c r="BK40" s="152">
        <f t="shared" ref="BK40:BK75" si="47">AU40+AZ40+BE40</f>
        <v>89504766.400000006</v>
      </c>
      <c r="BL40" s="152">
        <f t="shared" ref="BL40:BL75" si="48">AV40+BA40+BF40</f>
        <v>154678799.59999999</v>
      </c>
      <c r="BM40" s="155">
        <f t="shared" si="24"/>
        <v>0.72816270933253879</v>
      </c>
    </row>
    <row r="41" spans="1:65">
      <c r="A41" t="s">
        <v>407</v>
      </c>
      <c r="B41">
        <v>0</v>
      </c>
      <c r="C41" t="s">
        <v>436</v>
      </c>
      <c r="D41" t="s">
        <v>437</v>
      </c>
      <c r="F41" t="s">
        <v>427</v>
      </c>
      <c r="G41" t="s">
        <v>421</v>
      </c>
      <c r="H41" s="143">
        <f>'Raw Results 2024'!G41</f>
        <v>4.12</v>
      </c>
      <c r="I41" s="143">
        <f>'Raw Results 2024'!H41</f>
        <v>5.13</v>
      </c>
      <c r="J41" s="143">
        <f>'Raw Results 2024'!J41</f>
        <v>3.67</v>
      </c>
      <c r="K41" s="155">
        <f t="shared" si="12"/>
        <v>-0.28460038986354774</v>
      </c>
      <c r="L41" s="143">
        <f>'Raw Results 2024'!L41</f>
        <v>7.04</v>
      </c>
      <c r="M41" s="143">
        <f>'Raw Results 2024'!N41</f>
        <v>9.08</v>
      </c>
      <c r="N41" s="143">
        <f>'Raw Results 2024'!P41</f>
        <v>6.92</v>
      </c>
      <c r="O41" s="155">
        <f t="shared" si="13"/>
        <v>-0.2378854625550661</v>
      </c>
      <c r="P41" s="143">
        <f>'Raw Results 2024'!R41</f>
        <v>15.55</v>
      </c>
      <c r="Q41" s="143">
        <f>'Raw Results 2024'!T41</f>
        <v>20.07</v>
      </c>
      <c r="R41" s="143">
        <f>'Raw Results 2024'!V41</f>
        <v>12.41</v>
      </c>
      <c r="S41" s="155">
        <f t="shared" si="14"/>
        <v>-0.3816641753861485</v>
      </c>
      <c r="T41" s="143">
        <f>'Raw Results 2024'!Y41</f>
        <v>385.65</v>
      </c>
      <c r="U41" s="143">
        <f>'Raw Results 2024'!Z41</f>
        <v>519.95000000000005</v>
      </c>
      <c r="V41" s="143">
        <f>'Raw Results 2024'!AB41</f>
        <v>358.94</v>
      </c>
      <c r="W41" s="155">
        <f t="shared" si="15"/>
        <v>-0.30966439080680841</v>
      </c>
      <c r="X41" s="143">
        <f>'Raw Results 2024'!AD41</f>
        <v>40.51</v>
      </c>
      <c r="Y41" s="143">
        <f>'Raw Results 2024'!AE41</f>
        <v>53.56</v>
      </c>
      <c r="Z41" s="143">
        <f>'Raw Results 2024'!AF41</f>
        <v>51.07</v>
      </c>
      <c r="AA41" s="155">
        <f t="shared" si="16"/>
        <v>-4.6489917849141187E-2</v>
      </c>
      <c r="AB41" s="143">
        <f>'Raw Results 2024'!AH41</f>
        <v>0</v>
      </c>
      <c r="AC41" s="143">
        <f>'Raw Results 2024'!AJ41</f>
        <v>0</v>
      </c>
      <c r="AD41" s="143">
        <f>'Raw Results 2024'!AL41</f>
        <v>0</v>
      </c>
      <c r="AE41" s="155" t="e">
        <f t="shared" si="17"/>
        <v>#DIV/0!</v>
      </c>
      <c r="AF41" s="143">
        <f>'Raw Results 2024'!AN41</f>
        <v>0</v>
      </c>
      <c r="AG41" s="143">
        <f>'Raw Results 2024'!AP41</f>
        <v>0</v>
      </c>
      <c r="AH41" s="143">
        <f>'Raw Results 2024'!AR41</f>
        <v>0</v>
      </c>
      <c r="AI41" s="155" t="e">
        <f t="shared" si="18"/>
        <v>#DIV/0!</v>
      </c>
      <c r="AJ41" s="143">
        <f>'Raw Results 2024'!AT41</f>
        <v>0</v>
      </c>
      <c r="AK41" s="143">
        <f>'Raw Results 2024'!AV41</f>
        <v>0</v>
      </c>
      <c r="AL41" s="143">
        <f>'Raw Results 2024'!AX41</f>
        <v>0</v>
      </c>
      <c r="AM41" s="155" t="e">
        <f t="shared" si="19"/>
        <v>#DIV/0!</v>
      </c>
      <c r="AN41" s="143">
        <f>'Raw Results 2024'!AZ41</f>
        <v>0</v>
      </c>
      <c r="AO41" s="143">
        <f>'Raw Results 2024'!BB41</f>
        <v>0</v>
      </c>
      <c r="AP41" s="143">
        <f>'Raw Results 2024'!BD41</f>
        <v>0</v>
      </c>
      <c r="AQ41" s="155" t="e">
        <f t="shared" si="20"/>
        <v>#DIV/0!</v>
      </c>
      <c r="AT41" s="152">
        <f t="shared" si="37"/>
        <v>389.77</v>
      </c>
      <c r="AU41" s="152">
        <f t="shared" si="38"/>
        <v>525.08000000000004</v>
      </c>
      <c r="AV41" s="152">
        <f t="shared" si="39"/>
        <v>362.61</v>
      </c>
      <c r="AW41" s="155">
        <f t="shared" si="21"/>
        <v>-0.30941951702597703</v>
      </c>
      <c r="AY41" s="152">
        <f t="shared" si="40"/>
        <v>47.55</v>
      </c>
      <c r="AZ41" s="152">
        <f t="shared" si="41"/>
        <v>62.64</v>
      </c>
      <c r="BA41" s="152">
        <f t="shared" si="42"/>
        <v>57.99</v>
      </c>
      <c r="BB41" s="155">
        <f t="shared" si="22"/>
        <v>-7.423371647509576E-2</v>
      </c>
      <c r="BD41" s="152">
        <f t="shared" si="43"/>
        <v>15.55</v>
      </c>
      <c r="BE41" s="152">
        <f t="shared" si="44"/>
        <v>20.07</v>
      </c>
      <c r="BF41" s="152">
        <f t="shared" si="45"/>
        <v>12.41</v>
      </c>
      <c r="BG41" s="155">
        <f t="shared" si="23"/>
        <v>-0.3816641753861485</v>
      </c>
      <c r="BJ41" s="152">
        <f t="shared" si="46"/>
        <v>452.87</v>
      </c>
      <c r="BK41" s="152">
        <f t="shared" si="47"/>
        <v>607.79000000000008</v>
      </c>
      <c r="BL41" s="152">
        <f t="shared" si="48"/>
        <v>433.01000000000005</v>
      </c>
      <c r="BM41" s="155">
        <f t="shared" si="24"/>
        <v>-0.28756642919429409</v>
      </c>
    </row>
    <row r="42" spans="1:65">
      <c r="A42" t="s">
        <v>407</v>
      </c>
      <c r="B42">
        <v>0</v>
      </c>
      <c r="C42" t="s">
        <v>436</v>
      </c>
      <c r="D42" t="s">
        <v>437</v>
      </c>
      <c r="F42" t="s">
        <v>428</v>
      </c>
      <c r="G42" t="s">
        <v>421</v>
      </c>
      <c r="H42" s="143">
        <f>'Raw Results 2024'!G42</f>
        <v>841.23</v>
      </c>
      <c r="I42" s="143">
        <f>'Raw Results 2024'!H42</f>
        <v>1047.28</v>
      </c>
      <c r="J42" s="143">
        <f>'Raw Results 2024'!J42</f>
        <v>1132.7</v>
      </c>
      <c r="K42" s="155">
        <f t="shared" si="12"/>
        <v>8.1563669696738283E-2</v>
      </c>
      <c r="L42" s="143">
        <f>'Raw Results 2024'!L42</f>
        <v>1822.04</v>
      </c>
      <c r="M42" s="143">
        <f>'Raw Results 2024'!N42</f>
        <v>2350.83</v>
      </c>
      <c r="N42" s="143">
        <f>'Raw Results 2024'!P42</f>
        <v>2488.31</v>
      </c>
      <c r="O42" s="155">
        <f t="shared" si="13"/>
        <v>5.8481472501201712E-2</v>
      </c>
      <c r="P42" s="143">
        <f>'Raw Results 2024'!R42</f>
        <v>3141.42</v>
      </c>
      <c r="Q42" s="143">
        <f>'Raw Results 2024'!T42</f>
        <v>4053.04</v>
      </c>
      <c r="R42" s="143">
        <f>'Raw Results 2024'!V42</f>
        <v>4889.16</v>
      </c>
      <c r="S42" s="155">
        <f t="shared" si="14"/>
        <v>0.20629453447288945</v>
      </c>
      <c r="T42" s="143">
        <f>'Raw Results 2024'!Y42</f>
        <v>76205.820000000007</v>
      </c>
      <c r="U42" s="143">
        <f>'Raw Results 2024'!Z42</f>
        <v>102744.15</v>
      </c>
      <c r="V42" s="143">
        <f>'Raw Results 2024'!AB42</f>
        <v>108420.92</v>
      </c>
      <c r="W42" s="155">
        <f t="shared" si="15"/>
        <v>5.5251515536407711E-2</v>
      </c>
      <c r="X42" s="143">
        <f>'Raw Results 2024'!AD42</f>
        <v>8754.32</v>
      </c>
      <c r="Y42" s="143">
        <f>'Raw Results 2024'!AE42</f>
        <v>11573.16</v>
      </c>
      <c r="Z42" s="143">
        <f>'Raw Results 2024'!AF42</f>
        <v>12665.96</v>
      </c>
      <c r="AA42" s="155">
        <f t="shared" si="16"/>
        <v>9.4425377338600638E-2</v>
      </c>
      <c r="AB42" s="143">
        <f>'Raw Results 2024'!AH42</f>
        <v>0</v>
      </c>
      <c r="AC42" s="143">
        <f>'Raw Results 2024'!AJ42</f>
        <v>0</v>
      </c>
      <c r="AD42" s="143">
        <f>'Raw Results 2024'!AL42</f>
        <v>0</v>
      </c>
      <c r="AE42" s="155" t="e">
        <f t="shared" si="17"/>
        <v>#DIV/0!</v>
      </c>
      <c r="AF42" s="143">
        <f>'Raw Results 2024'!AN42</f>
        <v>0</v>
      </c>
      <c r="AG42" s="143">
        <f>'Raw Results 2024'!AP42</f>
        <v>0</v>
      </c>
      <c r="AH42" s="143">
        <f>'Raw Results 2024'!AR42</f>
        <v>0</v>
      </c>
      <c r="AI42" s="155" t="e">
        <f t="shared" si="18"/>
        <v>#DIV/0!</v>
      </c>
      <c r="AJ42" s="143">
        <f>'Raw Results 2024'!AT42</f>
        <v>0</v>
      </c>
      <c r="AK42" s="143">
        <f>'Raw Results 2024'!AV42</f>
        <v>0</v>
      </c>
      <c r="AL42" s="143">
        <f>'Raw Results 2024'!AX42</f>
        <v>0</v>
      </c>
      <c r="AM42" s="155" t="e">
        <f t="shared" si="19"/>
        <v>#DIV/0!</v>
      </c>
      <c r="AN42" s="143">
        <f>'Raw Results 2024'!AZ42</f>
        <v>0</v>
      </c>
      <c r="AO42" s="143">
        <f>'Raw Results 2024'!BB42</f>
        <v>0</v>
      </c>
      <c r="AP42" s="143">
        <f>'Raw Results 2024'!BD42</f>
        <v>0</v>
      </c>
      <c r="AQ42" s="155" t="e">
        <f t="shared" si="20"/>
        <v>#DIV/0!</v>
      </c>
      <c r="AT42" s="152">
        <f t="shared" si="37"/>
        <v>77047.05</v>
      </c>
      <c r="AU42" s="152">
        <f t="shared" si="38"/>
        <v>103791.43</v>
      </c>
      <c r="AV42" s="152">
        <f t="shared" si="39"/>
        <v>109553.62</v>
      </c>
      <c r="AW42" s="155">
        <f t="shared" si="21"/>
        <v>5.5517011375602041E-2</v>
      </c>
      <c r="AY42" s="152">
        <f t="shared" si="40"/>
        <v>10576.36</v>
      </c>
      <c r="AZ42" s="152">
        <f t="shared" si="41"/>
        <v>13923.99</v>
      </c>
      <c r="BA42" s="152">
        <f t="shared" si="42"/>
        <v>15154.269999999999</v>
      </c>
      <c r="BB42" s="155">
        <f t="shared" si="22"/>
        <v>8.8356857481224765E-2</v>
      </c>
      <c r="BD42" s="152">
        <f t="shared" si="43"/>
        <v>3141.42</v>
      </c>
      <c r="BE42" s="152">
        <f t="shared" si="44"/>
        <v>4053.04</v>
      </c>
      <c r="BF42" s="152">
        <f t="shared" si="45"/>
        <v>4889.16</v>
      </c>
      <c r="BG42" s="155">
        <f t="shared" si="23"/>
        <v>0.20629453447288945</v>
      </c>
      <c r="BJ42" s="152">
        <f t="shared" si="46"/>
        <v>90764.83</v>
      </c>
      <c r="BK42" s="152">
        <f t="shared" si="47"/>
        <v>121768.45999999999</v>
      </c>
      <c r="BL42" s="152">
        <f t="shared" si="48"/>
        <v>129597.05</v>
      </c>
      <c r="BM42" s="155">
        <f t="shared" si="24"/>
        <v>6.4290785971999748E-2</v>
      </c>
    </row>
    <row r="43" spans="1:65">
      <c r="A43" t="s">
        <v>407</v>
      </c>
      <c r="B43">
        <v>1</v>
      </c>
      <c r="C43" t="s">
        <v>436</v>
      </c>
      <c r="D43" t="s">
        <v>437</v>
      </c>
      <c r="F43" t="s">
        <v>449</v>
      </c>
      <c r="G43" t="s">
        <v>430</v>
      </c>
      <c r="H43" s="143">
        <f>'Raw Results 2024'!G43</f>
        <v>0</v>
      </c>
      <c r="I43" s="143">
        <f>'Raw Results 2024'!H43</f>
        <v>0</v>
      </c>
      <c r="J43" s="143">
        <f>'Raw Results 2024'!J43</f>
        <v>0</v>
      </c>
      <c r="K43" s="155" t="e">
        <f t="shared" si="12"/>
        <v>#DIV/0!</v>
      </c>
      <c r="L43" s="143">
        <f>'Raw Results 2024'!L43</f>
        <v>0</v>
      </c>
      <c r="M43" s="143">
        <f>'Raw Results 2024'!N43</f>
        <v>0</v>
      </c>
      <c r="N43" s="143">
        <f>'Raw Results 2024'!P43</f>
        <v>0</v>
      </c>
      <c r="O43" s="155" t="e">
        <f t="shared" si="13"/>
        <v>#DIV/0!</v>
      </c>
      <c r="P43" s="143">
        <f>'Raw Results 2024'!R43</f>
        <v>0</v>
      </c>
      <c r="Q43" s="143">
        <f>'Raw Results 2024'!T43</f>
        <v>0</v>
      </c>
      <c r="R43" s="143">
        <f>'Raw Results 2024'!V43</f>
        <v>0</v>
      </c>
      <c r="S43" s="155" t="e">
        <f t="shared" si="14"/>
        <v>#DIV/0!</v>
      </c>
      <c r="T43" s="143">
        <f>'Raw Results 2024'!Y43</f>
        <v>0</v>
      </c>
      <c r="U43" s="143">
        <f>'Raw Results 2024'!Z43</f>
        <v>0</v>
      </c>
      <c r="V43" s="143">
        <f>'Raw Results 2024'!AB43</f>
        <v>0</v>
      </c>
      <c r="W43" s="155" t="e">
        <f t="shared" si="15"/>
        <v>#DIV/0!</v>
      </c>
      <c r="X43" s="143">
        <f>'Raw Results 2024'!AD43</f>
        <v>0</v>
      </c>
      <c r="Y43" s="143">
        <f>'Raw Results 2024'!AE43</f>
        <v>0</v>
      </c>
      <c r="Z43" s="143">
        <f>'Raw Results 2024'!AF43</f>
        <v>0</v>
      </c>
      <c r="AA43" s="155" t="e">
        <f t="shared" si="16"/>
        <v>#DIV/0!</v>
      </c>
      <c r="AB43" s="143">
        <f>'Raw Results 2024'!AH43</f>
        <v>0</v>
      </c>
      <c r="AC43" s="143">
        <f>'Raw Results 2024'!AJ43</f>
        <v>0</v>
      </c>
      <c r="AD43" s="143">
        <f>'Raw Results 2024'!AL43</f>
        <v>0</v>
      </c>
      <c r="AE43" s="155" t="e">
        <f t="shared" si="17"/>
        <v>#DIV/0!</v>
      </c>
      <c r="AF43" s="143">
        <f>'Raw Results 2024'!AN43</f>
        <v>0</v>
      </c>
      <c r="AG43" s="143">
        <f>'Raw Results 2024'!AP43</f>
        <v>0</v>
      </c>
      <c r="AH43" s="143">
        <f>'Raw Results 2024'!AR43</f>
        <v>0</v>
      </c>
      <c r="AI43" s="155" t="e">
        <f t="shared" si="18"/>
        <v>#DIV/0!</v>
      </c>
      <c r="AJ43" s="143">
        <f>'Raw Results 2024'!AT43</f>
        <v>0</v>
      </c>
      <c r="AK43" s="143">
        <f>'Raw Results 2024'!AV43</f>
        <v>0</v>
      </c>
      <c r="AL43" s="143">
        <f>'Raw Results 2024'!AX43</f>
        <v>0</v>
      </c>
      <c r="AM43" s="155" t="e">
        <f t="shared" si="19"/>
        <v>#DIV/0!</v>
      </c>
      <c r="AN43" s="143">
        <f>'Raw Results 2024'!AZ43</f>
        <v>0</v>
      </c>
      <c r="AO43" s="143">
        <f>'Raw Results 2024'!BB43</f>
        <v>0</v>
      </c>
      <c r="AP43" s="143">
        <f>'Raw Results 2024'!BD43</f>
        <v>0</v>
      </c>
      <c r="AQ43" s="155" t="e">
        <f t="shared" si="20"/>
        <v>#DIV/0!</v>
      </c>
      <c r="AT43" s="152">
        <f t="shared" si="37"/>
        <v>0</v>
      </c>
      <c r="AU43" s="152">
        <f t="shared" si="38"/>
        <v>0</v>
      </c>
      <c r="AV43" s="152">
        <f t="shared" si="39"/>
        <v>0</v>
      </c>
      <c r="AW43" s="155" t="e">
        <f t="shared" si="21"/>
        <v>#DIV/0!</v>
      </c>
      <c r="AY43" s="152">
        <f t="shared" si="40"/>
        <v>0</v>
      </c>
      <c r="AZ43" s="152">
        <f t="shared" si="41"/>
        <v>0</v>
      </c>
      <c r="BA43" s="152">
        <f t="shared" si="42"/>
        <v>0</v>
      </c>
      <c r="BB43" s="155" t="e">
        <f t="shared" si="22"/>
        <v>#DIV/0!</v>
      </c>
      <c r="BD43" s="152">
        <f t="shared" si="43"/>
        <v>0</v>
      </c>
      <c r="BE43" s="152">
        <f t="shared" si="44"/>
        <v>0</v>
      </c>
      <c r="BF43" s="152">
        <f t="shared" si="45"/>
        <v>0</v>
      </c>
      <c r="BG43" s="155" t="e">
        <f t="shared" si="23"/>
        <v>#DIV/0!</v>
      </c>
      <c r="BJ43" s="152">
        <f t="shared" si="46"/>
        <v>0</v>
      </c>
      <c r="BK43" s="152">
        <f t="shared" si="47"/>
        <v>0</v>
      </c>
      <c r="BL43" s="152">
        <f t="shared" si="48"/>
        <v>0</v>
      </c>
      <c r="BM43" s="155" t="e">
        <f t="shared" si="24"/>
        <v>#DIV/0!</v>
      </c>
    </row>
    <row r="44" spans="1:65">
      <c r="A44" t="s">
        <v>407</v>
      </c>
      <c r="B44">
        <v>1</v>
      </c>
      <c r="C44" t="s">
        <v>436</v>
      </c>
      <c r="D44" t="s">
        <v>437</v>
      </c>
      <c r="F44" t="s">
        <v>450</v>
      </c>
      <c r="G44" t="s">
        <v>430</v>
      </c>
      <c r="H44" s="143">
        <f>'Raw Results 2024'!G44</f>
        <v>0</v>
      </c>
      <c r="I44" s="143">
        <f>'Raw Results 2024'!H44</f>
        <v>0</v>
      </c>
      <c r="J44" s="143">
        <f>'Raw Results 2024'!J44</f>
        <v>0</v>
      </c>
      <c r="K44" s="155" t="e">
        <f t="shared" si="12"/>
        <v>#DIV/0!</v>
      </c>
      <c r="L44" s="143">
        <f>'Raw Results 2024'!L44</f>
        <v>0</v>
      </c>
      <c r="M44" s="143">
        <f>'Raw Results 2024'!N44</f>
        <v>0</v>
      </c>
      <c r="N44" s="143">
        <f>'Raw Results 2024'!P44</f>
        <v>0</v>
      </c>
      <c r="O44" s="155" t="e">
        <f t="shared" si="13"/>
        <v>#DIV/0!</v>
      </c>
      <c r="P44" s="143">
        <f>'Raw Results 2024'!R44</f>
        <v>0</v>
      </c>
      <c r="Q44" s="143">
        <f>'Raw Results 2024'!T44</f>
        <v>0</v>
      </c>
      <c r="R44" s="143">
        <f>'Raw Results 2024'!V44</f>
        <v>0</v>
      </c>
      <c r="S44" s="155" t="e">
        <f t="shared" si="14"/>
        <v>#DIV/0!</v>
      </c>
      <c r="T44" s="143">
        <f>'Raw Results 2024'!Y44</f>
        <v>0</v>
      </c>
      <c r="U44" s="143">
        <f>'Raw Results 2024'!Z44</f>
        <v>0</v>
      </c>
      <c r="V44" s="143">
        <f>'Raw Results 2024'!AB44</f>
        <v>0</v>
      </c>
      <c r="W44" s="155" t="e">
        <f t="shared" si="15"/>
        <v>#DIV/0!</v>
      </c>
      <c r="X44" s="143">
        <f>'Raw Results 2024'!AD44</f>
        <v>0</v>
      </c>
      <c r="Y44" s="143">
        <f>'Raw Results 2024'!AE44</f>
        <v>0</v>
      </c>
      <c r="Z44" s="143">
        <f>'Raw Results 2024'!AF44</f>
        <v>0</v>
      </c>
      <c r="AA44" s="155" t="e">
        <f t="shared" si="16"/>
        <v>#DIV/0!</v>
      </c>
      <c r="AB44" s="143">
        <f>'Raw Results 2024'!AH44</f>
        <v>0</v>
      </c>
      <c r="AC44" s="143">
        <f>'Raw Results 2024'!AJ44</f>
        <v>0</v>
      </c>
      <c r="AD44" s="143">
        <f>'Raw Results 2024'!AL44</f>
        <v>0</v>
      </c>
      <c r="AE44" s="155" t="e">
        <f t="shared" si="17"/>
        <v>#DIV/0!</v>
      </c>
      <c r="AF44" s="143">
        <f>'Raw Results 2024'!AN44</f>
        <v>0</v>
      </c>
      <c r="AG44" s="143">
        <f>'Raw Results 2024'!AP44</f>
        <v>0</v>
      </c>
      <c r="AH44" s="143">
        <f>'Raw Results 2024'!AR44</f>
        <v>0</v>
      </c>
      <c r="AI44" s="155" t="e">
        <f t="shared" si="18"/>
        <v>#DIV/0!</v>
      </c>
      <c r="AJ44" s="143">
        <f>'Raw Results 2024'!AT44</f>
        <v>0</v>
      </c>
      <c r="AK44" s="143">
        <f>'Raw Results 2024'!AV44</f>
        <v>0</v>
      </c>
      <c r="AL44" s="143">
        <f>'Raw Results 2024'!AX44</f>
        <v>0</v>
      </c>
      <c r="AM44" s="155" t="e">
        <f t="shared" si="19"/>
        <v>#DIV/0!</v>
      </c>
      <c r="AN44" s="143">
        <f>'Raw Results 2024'!AZ44</f>
        <v>0</v>
      </c>
      <c r="AO44" s="143">
        <f>'Raw Results 2024'!BB44</f>
        <v>0</v>
      </c>
      <c r="AP44" s="143">
        <f>'Raw Results 2024'!BD44</f>
        <v>0</v>
      </c>
      <c r="AQ44" s="155" t="e">
        <f t="shared" si="20"/>
        <v>#DIV/0!</v>
      </c>
      <c r="AT44" s="152">
        <f t="shared" si="37"/>
        <v>0</v>
      </c>
      <c r="AU44" s="152">
        <f t="shared" si="38"/>
        <v>0</v>
      </c>
      <c r="AV44" s="152">
        <f t="shared" si="39"/>
        <v>0</v>
      </c>
      <c r="AW44" s="155" t="e">
        <f t="shared" si="21"/>
        <v>#DIV/0!</v>
      </c>
      <c r="AY44" s="152">
        <f t="shared" si="40"/>
        <v>0</v>
      </c>
      <c r="AZ44" s="152">
        <f t="shared" si="41"/>
        <v>0</v>
      </c>
      <c r="BA44" s="152">
        <f t="shared" si="42"/>
        <v>0</v>
      </c>
      <c r="BB44" s="155" t="e">
        <f t="shared" si="22"/>
        <v>#DIV/0!</v>
      </c>
      <c r="BD44" s="152">
        <f t="shared" si="43"/>
        <v>0</v>
      </c>
      <c r="BE44" s="152">
        <f t="shared" si="44"/>
        <v>0</v>
      </c>
      <c r="BF44" s="152">
        <f t="shared" si="45"/>
        <v>0</v>
      </c>
      <c r="BG44" s="155" t="e">
        <f t="shared" si="23"/>
        <v>#DIV/0!</v>
      </c>
      <c r="BJ44" s="152">
        <f t="shared" si="46"/>
        <v>0</v>
      </c>
      <c r="BK44" s="152">
        <f t="shared" si="47"/>
        <v>0</v>
      </c>
      <c r="BL44" s="152">
        <f t="shared" si="48"/>
        <v>0</v>
      </c>
      <c r="BM44" s="155" t="e">
        <f t="shared" si="24"/>
        <v>#DIV/0!</v>
      </c>
    </row>
    <row r="45" spans="1:65">
      <c r="A45" t="s">
        <v>407</v>
      </c>
      <c r="B45">
        <v>1</v>
      </c>
      <c r="C45" t="s">
        <v>436</v>
      </c>
      <c r="D45" t="s">
        <v>437</v>
      </c>
      <c r="F45" t="s">
        <v>451</v>
      </c>
      <c r="G45" t="s">
        <v>430</v>
      </c>
      <c r="H45" s="143">
        <f>'Raw Results 2024'!G45</f>
        <v>332.39</v>
      </c>
      <c r="I45" s="143">
        <f>'Raw Results 2024'!H45</f>
        <v>413.82</v>
      </c>
      <c r="J45" s="143">
        <f>'Raw Results 2024'!J45</f>
        <v>489.21</v>
      </c>
      <c r="K45" s="155">
        <f t="shared" si="12"/>
        <v>0.18218065825721325</v>
      </c>
      <c r="L45" s="143">
        <f>'Raw Results 2024'!L45</f>
        <v>704.17</v>
      </c>
      <c r="M45" s="143">
        <f>'Raw Results 2024'!N45</f>
        <v>908.54</v>
      </c>
      <c r="N45" s="143">
        <f>'Raw Results 2024'!P45</f>
        <v>1111.8</v>
      </c>
      <c r="O45" s="155">
        <f t="shared" si="13"/>
        <v>0.22372157527461642</v>
      </c>
      <c r="P45" s="143">
        <f>'Raw Results 2024'!R45</f>
        <v>1220.52</v>
      </c>
      <c r="Q45" s="143">
        <f>'Raw Results 2024'!T45</f>
        <v>1574.7</v>
      </c>
      <c r="R45" s="143">
        <f>'Raw Results 2024'!V45</f>
        <v>2001.83</v>
      </c>
      <c r="S45" s="155">
        <f t="shared" si="14"/>
        <v>0.27124531656823514</v>
      </c>
      <c r="T45" s="143">
        <f>'Raw Results 2024'!Y45</f>
        <v>36990.949999999997</v>
      </c>
      <c r="U45" s="143">
        <f>'Raw Results 2024'!Z45</f>
        <v>49874.28</v>
      </c>
      <c r="V45" s="143">
        <f>'Raw Results 2024'!AB45</f>
        <v>55042.400000000001</v>
      </c>
      <c r="W45" s="155">
        <f t="shared" si="15"/>
        <v>0.10362294954433433</v>
      </c>
      <c r="X45" s="143">
        <f>'Raw Results 2024'!AD45</f>
        <v>4355.04</v>
      </c>
      <c r="Y45" s="143">
        <f>'Raw Results 2024'!AE45</f>
        <v>5757.33</v>
      </c>
      <c r="Z45" s="143">
        <f>'Raw Results 2024'!AF45</f>
        <v>6751.51</v>
      </c>
      <c r="AA45" s="155">
        <f t="shared" si="16"/>
        <v>0.17268073916207691</v>
      </c>
      <c r="AB45" s="143">
        <f>'Raw Results 2024'!AH45</f>
        <v>0</v>
      </c>
      <c r="AC45" s="143">
        <f>'Raw Results 2024'!AJ45</f>
        <v>0</v>
      </c>
      <c r="AD45" s="143">
        <f>'Raw Results 2024'!AL45</f>
        <v>0</v>
      </c>
      <c r="AE45" s="155" t="e">
        <f t="shared" si="17"/>
        <v>#DIV/0!</v>
      </c>
      <c r="AF45" s="143">
        <f>'Raw Results 2024'!AN45</f>
        <v>0</v>
      </c>
      <c r="AG45" s="143">
        <f>'Raw Results 2024'!AP45</f>
        <v>0</v>
      </c>
      <c r="AH45" s="143">
        <f>'Raw Results 2024'!AR45</f>
        <v>0</v>
      </c>
      <c r="AI45" s="155" t="e">
        <f t="shared" si="18"/>
        <v>#DIV/0!</v>
      </c>
      <c r="AJ45" s="143">
        <f>'Raw Results 2024'!AT45</f>
        <v>0</v>
      </c>
      <c r="AK45" s="143">
        <f>'Raw Results 2024'!AV45</f>
        <v>0</v>
      </c>
      <c r="AL45" s="143">
        <f>'Raw Results 2024'!AX45</f>
        <v>0</v>
      </c>
      <c r="AM45" s="155" t="e">
        <f t="shared" si="19"/>
        <v>#DIV/0!</v>
      </c>
      <c r="AN45" s="143">
        <f>'Raw Results 2024'!AZ45</f>
        <v>0</v>
      </c>
      <c r="AO45" s="143">
        <f>'Raw Results 2024'!BB45</f>
        <v>0</v>
      </c>
      <c r="AP45" s="143">
        <f>'Raw Results 2024'!BD45</f>
        <v>0</v>
      </c>
      <c r="AQ45" s="155" t="e">
        <f t="shared" si="20"/>
        <v>#DIV/0!</v>
      </c>
      <c r="AT45" s="152">
        <f t="shared" si="37"/>
        <v>37323.339999999997</v>
      </c>
      <c r="AU45" s="152">
        <f t="shared" si="38"/>
        <v>50288.1</v>
      </c>
      <c r="AV45" s="152">
        <f t="shared" si="39"/>
        <v>55531.61</v>
      </c>
      <c r="AW45" s="155">
        <f t="shared" si="21"/>
        <v>0.1042693997188202</v>
      </c>
      <c r="AY45" s="152">
        <f t="shared" si="40"/>
        <v>5059.21</v>
      </c>
      <c r="AZ45" s="152">
        <f t="shared" si="41"/>
        <v>6665.87</v>
      </c>
      <c r="BA45" s="152">
        <f t="shared" si="42"/>
        <v>7863.31</v>
      </c>
      <c r="BB45" s="155">
        <f t="shared" si="22"/>
        <v>0.17963746667726802</v>
      </c>
      <c r="BD45" s="152">
        <f t="shared" si="43"/>
        <v>1220.52</v>
      </c>
      <c r="BE45" s="152">
        <f t="shared" si="44"/>
        <v>1574.7</v>
      </c>
      <c r="BF45" s="152">
        <f t="shared" si="45"/>
        <v>2001.83</v>
      </c>
      <c r="BG45" s="155">
        <f t="shared" si="23"/>
        <v>0.27124531656823514</v>
      </c>
      <c r="BJ45" s="152">
        <f t="shared" si="46"/>
        <v>43603.069999999992</v>
      </c>
      <c r="BK45" s="152">
        <f t="shared" si="47"/>
        <v>58528.67</v>
      </c>
      <c r="BL45" s="152">
        <f t="shared" si="48"/>
        <v>65396.75</v>
      </c>
      <c r="BM45" s="155">
        <f t="shared" si="24"/>
        <v>0.11734556756543421</v>
      </c>
    </row>
    <row r="46" spans="1:65">
      <c r="A46" t="s">
        <v>407</v>
      </c>
      <c r="B46">
        <v>1</v>
      </c>
      <c r="C46" t="s">
        <v>436</v>
      </c>
      <c r="D46" t="s">
        <v>437</v>
      </c>
      <c r="F46" t="s">
        <v>452</v>
      </c>
      <c r="G46" t="s">
        <v>430</v>
      </c>
      <c r="H46" s="143">
        <f>'Raw Results 2024'!G46</f>
        <v>679.81</v>
      </c>
      <c r="I46" s="143">
        <f>'Raw Results 2024'!H46</f>
        <v>846.37</v>
      </c>
      <c r="J46" s="143">
        <f>'Raw Results 2024'!J46</f>
        <v>757.22</v>
      </c>
      <c r="K46" s="155">
        <f t="shared" si="12"/>
        <v>-0.10533218332407809</v>
      </c>
      <c r="L46" s="143">
        <f>'Raw Results 2024'!L46</f>
        <v>1384.45</v>
      </c>
      <c r="M46" s="143">
        <f>'Raw Results 2024'!N46</f>
        <v>1786.27</v>
      </c>
      <c r="N46" s="143">
        <f>'Raw Results 2024'!P46</f>
        <v>1644.34</v>
      </c>
      <c r="O46" s="155">
        <f t="shared" si="13"/>
        <v>-7.9456073269998415E-2</v>
      </c>
      <c r="P46" s="143">
        <f>'Raw Results 2024'!R46</f>
        <v>2351.7399999999998</v>
      </c>
      <c r="Q46" s="143">
        <f>'Raw Results 2024'!T46</f>
        <v>3034.14</v>
      </c>
      <c r="R46" s="143">
        <f>'Raw Results 2024'!V46</f>
        <v>2955.16</v>
      </c>
      <c r="S46" s="155">
        <f t="shared" si="14"/>
        <v>-2.6030440256547167E-2</v>
      </c>
      <c r="T46" s="143">
        <f>'Raw Results 2024'!Y46</f>
        <v>62826.86</v>
      </c>
      <c r="U46" s="143">
        <f>'Raw Results 2024'!Z46</f>
        <v>84711.97</v>
      </c>
      <c r="V46" s="143">
        <f>'Raw Results 2024'!AB46</f>
        <v>78410.83</v>
      </c>
      <c r="W46" s="155">
        <f t="shared" si="15"/>
        <v>-7.4383112563667211E-2</v>
      </c>
      <c r="X46" s="143">
        <f>'Raw Results 2024'!AD46</f>
        <v>7489.2</v>
      </c>
      <c r="Y46" s="143">
        <f>'Raw Results 2024'!AE46</f>
        <v>9900.6299999999992</v>
      </c>
      <c r="Z46" s="143">
        <f>'Raw Results 2024'!AF46</f>
        <v>9694.94</v>
      </c>
      <c r="AA46" s="155">
        <f t="shared" si="16"/>
        <v>-2.0775445602956449E-2</v>
      </c>
      <c r="AB46" s="143">
        <f>'Raw Results 2024'!AH46</f>
        <v>0</v>
      </c>
      <c r="AC46" s="143">
        <f>'Raw Results 2024'!AJ46</f>
        <v>0</v>
      </c>
      <c r="AD46" s="143">
        <f>'Raw Results 2024'!AL46</f>
        <v>0</v>
      </c>
      <c r="AE46" s="155" t="e">
        <f t="shared" si="17"/>
        <v>#DIV/0!</v>
      </c>
      <c r="AF46" s="143">
        <f>'Raw Results 2024'!AN46</f>
        <v>0</v>
      </c>
      <c r="AG46" s="143">
        <f>'Raw Results 2024'!AP46</f>
        <v>0</v>
      </c>
      <c r="AH46" s="143">
        <f>'Raw Results 2024'!AR46</f>
        <v>0</v>
      </c>
      <c r="AI46" s="155" t="e">
        <f t="shared" si="18"/>
        <v>#DIV/0!</v>
      </c>
      <c r="AJ46" s="143">
        <f>'Raw Results 2024'!AT46</f>
        <v>0</v>
      </c>
      <c r="AK46" s="143">
        <f>'Raw Results 2024'!AV46</f>
        <v>0</v>
      </c>
      <c r="AL46" s="143">
        <f>'Raw Results 2024'!AX46</f>
        <v>0</v>
      </c>
      <c r="AM46" s="155" t="e">
        <f t="shared" si="19"/>
        <v>#DIV/0!</v>
      </c>
      <c r="AN46" s="143">
        <f>'Raw Results 2024'!AZ46</f>
        <v>0</v>
      </c>
      <c r="AO46" s="143">
        <f>'Raw Results 2024'!BB46</f>
        <v>0</v>
      </c>
      <c r="AP46" s="143">
        <f>'Raw Results 2024'!BD46</f>
        <v>0</v>
      </c>
      <c r="AQ46" s="155" t="e">
        <f t="shared" si="20"/>
        <v>#DIV/0!</v>
      </c>
      <c r="AT46" s="152">
        <f t="shared" si="37"/>
        <v>63506.67</v>
      </c>
      <c r="AU46" s="152">
        <f t="shared" si="38"/>
        <v>85558.34</v>
      </c>
      <c r="AV46" s="152">
        <f t="shared" si="39"/>
        <v>79168.05</v>
      </c>
      <c r="AW46" s="155">
        <f t="shared" si="21"/>
        <v>-7.4689270502443061E-2</v>
      </c>
      <c r="AY46" s="152">
        <f t="shared" si="40"/>
        <v>8873.65</v>
      </c>
      <c r="AZ46" s="152">
        <f t="shared" si="41"/>
        <v>11686.9</v>
      </c>
      <c r="BA46" s="152">
        <f t="shared" si="42"/>
        <v>11339.28</v>
      </c>
      <c r="BB46" s="155">
        <f t="shared" si="22"/>
        <v>-2.9744414686529275E-2</v>
      </c>
      <c r="BD46" s="152">
        <f t="shared" si="43"/>
        <v>2351.7399999999998</v>
      </c>
      <c r="BE46" s="152">
        <f t="shared" si="44"/>
        <v>3034.14</v>
      </c>
      <c r="BF46" s="152">
        <f t="shared" si="45"/>
        <v>2955.16</v>
      </c>
      <c r="BG46" s="155">
        <f t="shared" si="23"/>
        <v>-2.6030440256547167E-2</v>
      </c>
      <c r="BJ46" s="152">
        <f t="shared" si="46"/>
        <v>74732.06</v>
      </c>
      <c r="BK46" s="152">
        <f t="shared" si="47"/>
        <v>100279.37999999999</v>
      </c>
      <c r="BL46" s="152">
        <f t="shared" si="48"/>
        <v>93462.49</v>
      </c>
      <c r="BM46" s="155">
        <f t="shared" si="24"/>
        <v>-6.7978980324768512E-2</v>
      </c>
    </row>
    <row r="47" spans="1:65">
      <c r="A47" t="s">
        <v>407</v>
      </c>
      <c r="B47">
        <v>1</v>
      </c>
      <c r="C47" t="s">
        <v>436</v>
      </c>
      <c r="D47" t="s">
        <v>437</v>
      </c>
      <c r="F47" t="s">
        <v>453</v>
      </c>
      <c r="G47" t="s">
        <v>430</v>
      </c>
      <c r="H47" s="143">
        <f>'Raw Results 2024'!G47</f>
        <v>543.66999999999996</v>
      </c>
      <c r="I47" s="143">
        <f>'Raw Results 2024'!H47</f>
        <v>676.85</v>
      </c>
      <c r="J47" s="143">
        <f>'Raw Results 2024'!J47</f>
        <v>434.14</v>
      </c>
      <c r="K47" s="155">
        <f t="shared" si="12"/>
        <v>-0.3585875747950063</v>
      </c>
      <c r="L47" s="143">
        <f>'Raw Results 2024'!L47</f>
        <v>1062.51</v>
      </c>
      <c r="M47" s="143">
        <f>'Raw Results 2024'!N47</f>
        <v>1370.88</v>
      </c>
      <c r="N47" s="143">
        <f>'Raw Results 2024'!P47</f>
        <v>858.09</v>
      </c>
      <c r="O47" s="155">
        <f t="shared" si="13"/>
        <v>-0.37405899859943981</v>
      </c>
      <c r="P47" s="143">
        <f>'Raw Results 2024'!R47</f>
        <v>1828.58</v>
      </c>
      <c r="Q47" s="143">
        <f>'Raw Results 2024'!T47</f>
        <v>2359.21</v>
      </c>
      <c r="R47" s="143">
        <f>'Raw Results 2024'!V47</f>
        <v>1562.07</v>
      </c>
      <c r="S47" s="155">
        <f t="shared" si="14"/>
        <v>-0.33788429177563678</v>
      </c>
      <c r="T47" s="143">
        <f>'Raw Results 2024'!Y47</f>
        <v>41721.57</v>
      </c>
      <c r="U47" s="143">
        <f>'Raw Results 2024'!Z47</f>
        <v>56252.49</v>
      </c>
      <c r="V47" s="143">
        <f>'Raw Results 2024'!AB47</f>
        <v>37999.67</v>
      </c>
      <c r="W47" s="155">
        <f t="shared" si="15"/>
        <v>-0.32448021412029937</v>
      </c>
      <c r="X47" s="143">
        <f>'Raw Results 2024'!AD47</f>
        <v>4911.99</v>
      </c>
      <c r="Y47" s="143">
        <f>'Raw Results 2024'!AE47</f>
        <v>6493.61</v>
      </c>
      <c r="Z47" s="143">
        <f>'Raw Results 2024'!AF47</f>
        <v>4614.67</v>
      </c>
      <c r="AA47" s="155">
        <f t="shared" si="16"/>
        <v>-0.28935214772676521</v>
      </c>
      <c r="AB47" s="143">
        <f>'Raw Results 2024'!AH47</f>
        <v>0</v>
      </c>
      <c r="AC47" s="143">
        <f>'Raw Results 2024'!AJ47</f>
        <v>0</v>
      </c>
      <c r="AD47" s="143">
        <f>'Raw Results 2024'!AL47</f>
        <v>0</v>
      </c>
      <c r="AE47" s="155" t="e">
        <f t="shared" si="17"/>
        <v>#DIV/0!</v>
      </c>
      <c r="AF47" s="143">
        <f>'Raw Results 2024'!AN47</f>
        <v>0</v>
      </c>
      <c r="AG47" s="143">
        <f>'Raw Results 2024'!AP47</f>
        <v>0</v>
      </c>
      <c r="AH47" s="143">
        <f>'Raw Results 2024'!AR47</f>
        <v>0</v>
      </c>
      <c r="AI47" s="155" t="e">
        <f t="shared" si="18"/>
        <v>#DIV/0!</v>
      </c>
      <c r="AJ47" s="143">
        <f>'Raw Results 2024'!AT47</f>
        <v>0</v>
      </c>
      <c r="AK47" s="143">
        <f>'Raw Results 2024'!AV47</f>
        <v>0</v>
      </c>
      <c r="AL47" s="143">
        <f>'Raw Results 2024'!AX47</f>
        <v>0</v>
      </c>
      <c r="AM47" s="155" t="e">
        <f t="shared" si="19"/>
        <v>#DIV/0!</v>
      </c>
      <c r="AN47" s="143">
        <f>'Raw Results 2024'!AZ47</f>
        <v>0</v>
      </c>
      <c r="AO47" s="143">
        <f>'Raw Results 2024'!BB47</f>
        <v>0</v>
      </c>
      <c r="AP47" s="143">
        <f>'Raw Results 2024'!BD47</f>
        <v>0</v>
      </c>
      <c r="AQ47" s="155" t="e">
        <f t="shared" si="20"/>
        <v>#DIV/0!</v>
      </c>
      <c r="AT47" s="152">
        <f t="shared" si="37"/>
        <v>42265.24</v>
      </c>
      <c r="AU47" s="152">
        <f t="shared" si="38"/>
        <v>56929.34</v>
      </c>
      <c r="AV47" s="152">
        <f t="shared" si="39"/>
        <v>38433.81</v>
      </c>
      <c r="AW47" s="155">
        <f t="shared" si="21"/>
        <v>-0.32488572676233379</v>
      </c>
      <c r="AY47" s="152">
        <f t="shared" si="40"/>
        <v>5974.5</v>
      </c>
      <c r="AZ47" s="152">
        <f t="shared" si="41"/>
        <v>7864.49</v>
      </c>
      <c r="BA47" s="152">
        <f t="shared" si="42"/>
        <v>5472.76</v>
      </c>
      <c r="BB47" s="155">
        <f t="shared" si="22"/>
        <v>-0.3041176223760218</v>
      </c>
      <c r="BD47" s="152">
        <f t="shared" si="43"/>
        <v>1828.58</v>
      </c>
      <c r="BE47" s="152">
        <f t="shared" si="44"/>
        <v>2359.21</v>
      </c>
      <c r="BF47" s="152">
        <f t="shared" si="45"/>
        <v>1562.07</v>
      </c>
      <c r="BG47" s="155">
        <f t="shared" si="23"/>
        <v>-0.33788429177563678</v>
      </c>
      <c r="BJ47" s="152">
        <f t="shared" si="46"/>
        <v>50068.32</v>
      </c>
      <c r="BK47" s="152">
        <f t="shared" si="47"/>
        <v>67153.039999999994</v>
      </c>
      <c r="BL47" s="152">
        <f t="shared" si="48"/>
        <v>45468.639999999999</v>
      </c>
      <c r="BM47" s="155">
        <f t="shared" si="24"/>
        <v>-0.32291017651620829</v>
      </c>
    </row>
    <row r="48" spans="1:65">
      <c r="A48" t="s">
        <v>407</v>
      </c>
      <c r="B48">
        <v>1</v>
      </c>
      <c r="C48" t="s">
        <v>436</v>
      </c>
      <c r="D48" t="s">
        <v>437</v>
      </c>
      <c r="F48" t="s">
        <v>454</v>
      </c>
      <c r="G48" t="s">
        <v>430</v>
      </c>
      <c r="H48" s="143">
        <f>'Raw Results 2024'!G48</f>
        <v>36.549999999999997</v>
      </c>
      <c r="I48" s="143">
        <f>'Raw Results 2024'!H48</f>
        <v>45.47</v>
      </c>
      <c r="J48" s="143">
        <f>'Raw Results 2024'!J48</f>
        <v>42.95</v>
      </c>
      <c r="K48" s="155">
        <f t="shared" si="12"/>
        <v>-5.5421156806685641E-2</v>
      </c>
      <c r="L48" s="143">
        <f>'Raw Results 2024'!L48</f>
        <v>71.44</v>
      </c>
      <c r="M48" s="143">
        <f>'Raw Results 2024'!N48</f>
        <v>92.15</v>
      </c>
      <c r="N48" s="143">
        <f>'Raw Results 2024'!P48</f>
        <v>84.94</v>
      </c>
      <c r="O48" s="155">
        <f t="shared" si="13"/>
        <v>-7.8241996744438491E-2</v>
      </c>
      <c r="P48" s="143">
        <f>'Raw Results 2024'!R48</f>
        <v>171.43</v>
      </c>
      <c r="Q48" s="143">
        <f>'Raw Results 2024'!T48</f>
        <v>221.23</v>
      </c>
      <c r="R48" s="143">
        <f>'Raw Results 2024'!V48</f>
        <v>203.43</v>
      </c>
      <c r="S48" s="155">
        <f t="shared" si="14"/>
        <v>-8.04592505537223E-2</v>
      </c>
      <c r="T48" s="143">
        <f>'Raw Results 2024'!Y48</f>
        <v>4246.1499999999996</v>
      </c>
      <c r="U48" s="143">
        <f>'Raw Results 2024'!Z48</f>
        <v>5719.48</v>
      </c>
      <c r="V48" s="143">
        <f>'Raw Results 2024'!AB48</f>
        <v>4953.8900000000003</v>
      </c>
      <c r="W48" s="155">
        <f t="shared" si="15"/>
        <v>-0.13385657437389401</v>
      </c>
      <c r="X48" s="143">
        <f>'Raw Results 2024'!AD48</f>
        <v>356.92</v>
      </c>
      <c r="Y48" s="143">
        <f>'Raw Results 2024'!AE48</f>
        <v>471.89</v>
      </c>
      <c r="Z48" s="143">
        <f>'Raw Results 2024'!AF48</f>
        <v>430.03</v>
      </c>
      <c r="AA48" s="155">
        <f t="shared" si="16"/>
        <v>-8.8707113946046773E-2</v>
      </c>
      <c r="AB48" s="143">
        <f>'Raw Results 2024'!AH48</f>
        <v>0</v>
      </c>
      <c r="AC48" s="143">
        <f>'Raw Results 2024'!AJ48</f>
        <v>0</v>
      </c>
      <c r="AD48" s="143">
        <f>'Raw Results 2024'!AL48</f>
        <v>0</v>
      </c>
      <c r="AE48" s="155" t="e">
        <f t="shared" si="17"/>
        <v>#DIV/0!</v>
      </c>
      <c r="AF48" s="143">
        <f>'Raw Results 2024'!AN48</f>
        <v>0</v>
      </c>
      <c r="AG48" s="143">
        <f>'Raw Results 2024'!AP48</f>
        <v>0</v>
      </c>
      <c r="AH48" s="143">
        <f>'Raw Results 2024'!AR48</f>
        <v>0</v>
      </c>
      <c r="AI48" s="155" t="e">
        <f t="shared" si="18"/>
        <v>#DIV/0!</v>
      </c>
      <c r="AJ48" s="143">
        <f>'Raw Results 2024'!AT48</f>
        <v>0</v>
      </c>
      <c r="AK48" s="143">
        <f>'Raw Results 2024'!AV48</f>
        <v>0</v>
      </c>
      <c r="AL48" s="143">
        <f>'Raw Results 2024'!AX48</f>
        <v>0</v>
      </c>
      <c r="AM48" s="155" t="e">
        <f t="shared" si="19"/>
        <v>#DIV/0!</v>
      </c>
      <c r="AN48" s="143">
        <f>'Raw Results 2024'!AZ48</f>
        <v>0</v>
      </c>
      <c r="AO48" s="143">
        <f>'Raw Results 2024'!BB48</f>
        <v>0</v>
      </c>
      <c r="AP48" s="143">
        <f>'Raw Results 2024'!BD48</f>
        <v>0</v>
      </c>
      <c r="AQ48" s="155" t="e">
        <f t="shared" si="20"/>
        <v>#DIV/0!</v>
      </c>
      <c r="AT48" s="152">
        <f t="shared" si="37"/>
        <v>4282.7</v>
      </c>
      <c r="AU48" s="152">
        <f t="shared" si="38"/>
        <v>5764.95</v>
      </c>
      <c r="AV48" s="152">
        <f t="shared" si="39"/>
        <v>4996.84</v>
      </c>
      <c r="AW48" s="155">
        <f t="shared" si="21"/>
        <v>-0.13323792921014055</v>
      </c>
      <c r="AY48" s="152">
        <f t="shared" si="40"/>
        <v>428.36</v>
      </c>
      <c r="AZ48" s="152">
        <f t="shared" si="41"/>
        <v>564.04</v>
      </c>
      <c r="BA48" s="152">
        <f t="shared" si="42"/>
        <v>514.97</v>
      </c>
      <c r="BB48" s="155">
        <f t="shared" si="22"/>
        <v>-8.6997376072618857E-2</v>
      </c>
      <c r="BD48" s="152">
        <f t="shared" si="43"/>
        <v>171.43</v>
      </c>
      <c r="BE48" s="152">
        <f t="shared" si="44"/>
        <v>221.23</v>
      </c>
      <c r="BF48" s="152">
        <f t="shared" si="45"/>
        <v>203.43</v>
      </c>
      <c r="BG48" s="155">
        <f t="shared" si="23"/>
        <v>-8.04592505537223E-2</v>
      </c>
      <c r="BJ48" s="152">
        <f t="shared" si="46"/>
        <v>4882.49</v>
      </c>
      <c r="BK48" s="152">
        <f t="shared" si="47"/>
        <v>6550.2199999999993</v>
      </c>
      <c r="BL48" s="152">
        <f t="shared" si="48"/>
        <v>5715.2400000000007</v>
      </c>
      <c r="BM48" s="155">
        <f t="shared" si="24"/>
        <v>-0.12747358104002596</v>
      </c>
    </row>
    <row r="49" spans="1:65">
      <c r="A49" t="s">
        <v>407</v>
      </c>
      <c r="B49">
        <v>0</v>
      </c>
      <c r="C49" t="s">
        <v>436</v>
      </c>
      <c r="D49" t="s">
        <v>437</v>
      </c>
      <c r="F49" t="s">
        <v>429</v>
      </c>
      <c r="G49" t="s">
        <v>430</v>
      </c>
      <c r="H49" s="143">
        <f>'Raw Results 2024'!G49</f>
        <v>2936.99</v>
      </c>
      <c r="I49" s="143">
        <f>'Raw Results 2024'!H49</f>
        <v>3656.41</v>
      </c>
      <c r="J49" s="143">
        <f>'Raw Results 2024'!J49</f>
        <v>3344.82</v>
      </c>
      <c r="K49" s="155">
        <f t="shared" si="12"/>
        <v>-8.5217467406554434E-2</v>
      </c>
      <c r="L49" s="143">
        <f>'Raw Results 2024'!L49</f>
        <v>5850.27</v>
      </c>
      <c r="M49" s="143">
        <f>'Raw Results 2024'!N49</f>
        <v>7548.13</v>
      </c>
      <c r="N49" s="143">
        <f>'Raw Results 2024'!P49</f>
        <v>6903.77</v>
      </c>
      <c r="O49" s="155">
        <f t="shared" si="13"/>
        <v>-8.5366839203882244E-2</v>
      </c>
      <c r="P49" s="143">
        <f>'Raw Results 2024'!R49</f>
        <v>10429.66</v>
      </c>
      <c r="Q49" s="143">
        <f>'Raw Results 2024'!T49</f>
        <v>13456.27</v>
      </c>
      <c r="R49" s="143">
        <f>'Raw Results 2024'!V49</f>
        <v>12601.78</v>
      </c>
      <c r="S49" s="155">
        <f t="shared" si="14"/>
        <v>-6.3501252575936695E-2</v>
      </c>
      <c r="T49" s="143">
        <f>'Raw Results 2024'!Y49</f>
        <v>265857.63</v>
      </c>
      <c r="U49" s="143">
        <f>'Raw Results 2024'!Z49</f>
        <v>358444.31</v>
      </c>
      <c r="V49" s="143">
        <f>'Raw Results 2024'!AB49</f>
        <v>319434.78999999998</v>
      </c>
      <c r="W49" s="155">
        <f t="shared" si="15"/>
        <v>-0.10883007181785093</v>
      </c>
      <c r="X49" s="143">
        <f>'Raw Results 2024'!AD49</f>
        <v>31118.36</v>
      </c>
      <c r="Y49" s="143">
        <f>'Raw Results 2024'!AE49</f>
        <v>41138.26</v>
      </c>
      <c r="Z49" s="143">
        <f>'Raw Results 2024'!AF49</f>
        <v>38699.85</v>
      </c>
      <c r="AA49" s="155">
        <f t="shared" si="16"/>
        <v>-5.9273532716259833E-2</v>
      </c>
      <c r="AB49" s="143">
        <f>'Raw Results 2024'!AH49</f>
        <v>0</v>
      </c>
      <c r="AC49" s="143">
        <f>'Raw Results 2024'!AJ49</f>
        <v>0</v>
      </c>
      <c r="AD49" s="143">
        <f>'Raw Results 2024'!AL49</f>
        <v>0</v>
      </c>
      <c r="AE49" s="155" t="e">
        <f t="shared" si="17"/>
        <v>#DIV/0!</v>
      </c>
      <c r="AF49" s="143">
        <f>'Raw Results 2024'!AN49</f>
        <v>0</v>
      </c>
      <c r="AG49" s="143">
        <f>'Raw Results 2024'!AP49</f>
        <v>0</v>
      </c>
      <c r="AH49" s="143">
        <f>'Raw Results 2024'!AR49</f>
        <v>0</v>
      </c>
      <c r="AI49" s="155" t="e">
        <f t="shared" si="18"/>
        <v>#DIV/0!</v>
      </c>
      <c r="AJ49" s="143">
        <f>'Raw Results 2024'!AT49</f>
        <v>0</v>
      </c>
      <c r="AK49" s="143">
        <f>'Raw Results 2024'!AV49</f>
        <v>0</v>
      </c>
      <c r="AL49" s="143">
        <f>'Raw Results 2024'!AX49</f>
        <v>0</v>
      </c>
      <c r="AM49" s="155" t="e">
        <f t="shared" si="19"/>
        <v>#DIV/0!</v>
      </c>
      <c r="AN49" s="143">
        <f>'Raw Results 2024'!AZ49</f>
        <v>0</v>
      </c>
      <c r="AO49" s="143">
        <f>'Raw Results 2024'!BB49</f>
        <v>0</v>
      </c>
      <c r="AP49" s="143">
        <f>'Raw Results 2024'!BD49</f>
        <v>0</v>
      </c>
      <c r="AQ49" s="155" t="e">
        <f t="shared" si="20"/>
        <v>#DIV/0!</v>
      </c>
      <c r="AT49" s="152">
        <f t="shared" si="37"/>
        <v>268794.62</v>
      </c>
      <c r="AU49" s="152">
        <f t="shared" si="38"/>
        <v>362100.72</v>
      </c>
      <c r="AV49" s="152">
        <f t="shared" si="39"/>
        <v>322779.61</v>
      </c>
      <c r="AW49" s="155">
        <f t="shared" si="21"/>
        <v>-0.10859163715554056</v>
      </c>
      <c r="AY49" s="152">
        <f t="shared" si="40"/>
        <v>36968.630000000005</v>
      </c>
      <c r="AZ49" s="152">
        <f t="shared" si="41"/>
        <v>48686.39</v>
      </c>
      <c r="BA49" s="152">
        <f t="shared" si="42"/>
        <v>45603.619999999995</v>
      </c>
      <c r="BB49" s="155">
        <f t="shared" si="22"/>
        <v>-6.3318927527795846E-2</v>
      </c>
      <c r="BD49" s="152">
        <f t="shared" si="43"/>
        <v>10429.66</v>
      </c>
      <c r="BE49" s="152">
        <f t="shared" si="44"/>
        <v>13456.27</v>
      </c>
      <c r="BF49" s="152">
        <f t="shared" si="45"/>
        <v>12601.78</v>
      </c>
      <c r="BG49" s="155">
        <f t="shared" si="23"/>
        <v>-6.3501252575936695E-2</v>
      </c>
      <c r="BJ49" s="152">
        <f t="shared" si="46"/>
        <v>316192.90999999997</v>
      </c>
      <c r="BK49" s="152">
        <f t="shared" si="47"/>
        <v>424243.38</v>
      </c>
      <c r="BL49" s="152">
        <f t="shared" si="48"/>
        <v>380985.01</v>
      </c>
      <c r="BM49" s="155">
        <f t="shared" si="24"/>
        <v>-0.10196592814247329</v>
      </c>
    </row>
    <row r="50" spans="1:65">
      <c r="A50" t="s">
        <v>407</v>
      </c>
      <c r="B50">
        <v>0</v>
      </c>
      <c r="C50" t="s">
        <v>436</v>
      </c>
      <c r="D50" t="s">
        <v>437</v>
      </c>
      <c r="F50" t="s">
        <v>455</v>
      </c>
      <c r="G50" t="s">
        <v>430</v>
      </c>
      <c r="H50" s="143">
        <f>'Raw Results 2024'!G50</f>
        <v>414.04</v>
      </c>
      <c r="I50" s="143">
        <f>'Raw Results 2024'!H50</f>
        <v>515.46</v>
      </c>
      <c r="J50" s="143">
        <f>'Raw Results 2024'!J50</f>
        <v>519.07000000000005</v>
      </c>
      <c r="K50" s="155">
        <f t="shared" si="12"/>
        <v>7.0034532262445454E-3</v>
      </c>
      <c r="L50" s="143">
        <f>'Raw Results 2024'!L50</f>
        <v>842.04</v>
      </c>
      <c r="M50" s="143">
        <f>'Raw Results 2024'!N50</f>
        <v>1086.42</v>
      </c>
      <c r="N50" s="143">
        <f>'Raw Results 2024'!P50</f>
        <v>1123.6300000000001</v>
      </c>
      <c r="O50" s="155">
        <f t="shared" si="13"/>
        <v>3.4250105852248698E-2</v>
      </c>
      <c r="P50" s="143">
        <f>'Raw Results 2024'!R50</f>
        <v>1544.46</v>
      </c>
      <c r="Q50" s="143">
        <f>'Raw Results 2024'!T50</f>
        <v>1992.64</v>
      </c>
      <c r="R50" s="143">
        <f>'Raw Results 2024'!V50</f>
        <v>2045.44</v>
      </c>
      <c r="S50" s="155">
        <f t="shared" si="14"/>
        <v>2.6497510839890773E-2</v>
      </c>
      <c r="T50" s="143">
        <f>'Raw Results 2024'!Y50</f>
        <v>41125.11</v>
      </c>
      <c r="U50" s="143">
        <f>'Raw Results 2024'!Z50</f>
        <v>55448.29</v>
      </c>
      <c r="V50" s="143">
        <f>'Raw Results 2024'!AB50</f>
        <v>54084.01</v>
      </c>
      <c r="W50" s="155">
        <f t="shared" si="15"/>
        <v>-2.4604545965258781E-2</v>
      </c>
      <c r="X50" s="143">
        <f>'Raw Results 2024'!AD50</f>
        <v>4841.7700000000004</v>
      </c>
      <c r="Y50" s="143">
        <f>'Raw Results 2024'!AE50</f>
        <v>6400.78</v>
      </c>
      <c r="Z50" s="143">
        <f>'Raw Results 2024'!AF50</f>
        <v>6567.95</v>
      </c>
      <c r="AA50" s="155">
        <f t="shared" si="16"/>
        <v>2.6117129474845267E-2</v>
      </c>
      <c r="AB50" s="143">
        <f>'Raw Results 2024'!AH50</f>
        <v>0</v>
      </c>
      <c r="AC50" s="143">
        <f>'Raw Results 2024'!AJ50</f>
        <v>0</v>
      </c>
      <c r="AD50" s="143">
        <f>'Raw Results 2024'!AL50</f>
        <v>0</v>
      </c>
      <c r="AE50" s="155" t="e">
        <f t="shared" si="17"/>
        <v>#DIV/0!</v>
      </c>
      <c r="AF50" s="143">
        <f>'Raw Results 2024'!AN50</f>
        <v>0</v>
      </c>
      <c r="AG50" s="143">
        <f>'Raw Results 2024'!AP50</f>
        <v>0</v>
      </c>
      <c r="AH50" s="143">
        <f>'Raw Results 2024'!AR50</f>
        <v>0</v>
      </c>
      <c r="AI50" s="155" t="e">
        <f t="shared" si="18"/>
        <v>#DIV/0!</v>
      </c>
      <c r="AJ50" s="143">
        <f>'Raw Results 2024'!AT50</f>
        <v>0</v>
      </c>
      <c r="AK50" s="143">
        <f>'Raw Results 2024'!AV50</f>
        <v>0</v>
      </c>
      <c r="AL50" s="143">
        <f>'Raw Results 2024'!AX50</f>
        <v>0</v>
      </c>
      <c r="AM50" s="155" t="e">
        <f t="shared" si="19"/>
        <v>#DIV/0!</v>
      </c>
      <c r="AN50" s="143">
        <f>'Raw Results 2024'!AZ50</f>
        <v>0</v>
      </c>
      <c r="AO50" s="143">
        <f>'Raw Results 2024'!BB50</f>
        <v>0</v>
      </c>
      <c r="AP50" s="143">
        <f>'Raw Results 2024'!BD50</f>
        <v>0</v>
      </c>
      <c r="AQ50" s="155" t="e">
        <f t="shared" si="20"/>
        <v>#DIV/0!</v>
      </c>
      <c r="AT50" s="152">
        <f t="shared" si="37"/>
        <v>41539.15</v>
      </c>
      <c r="AU50" s="152">
        <f t="shared" si="38"/>
        <v>55963.75</v>
      </c>
      <c r="AV50" s="152">
        <f t="shared" si="39"/>
        <v>54603.08</v>
      </c>
      <c r="AW50" s="155">
        <f t="shared" si="21"/>
        <v>-2.431341716736277E-2</v>
      </c>
      <c r="AY50" s="152">
        <f t="shared" si="40"/>
        <v>5683.81</v>
      </c>
      <c r="AZ50" s="152">
        <f t="shared" si="41"/>
        <v>7487.2</v>
      </c>
      <c r="BA50" s="152">
        <f t="shared" si="42"/>
        <v>7691.58</v>
      </c>
      <c r="BB50" s="155">
        <f t="shared" si="22"/>
        <v>2.7297253980126095E-2</v>
      </c>
      <c r="BD50" s="152">
        <f t="shared" si="43"/>
        <v>1544.46</v>
      </c>
      <c r="BE50" s="152">
        <f t="shared" si="44"/>
        <v>1992.64</v>
      </c>
      <c r="BF50" s="152">
        <f t="shared" si="45"/>
        <v>2045.44</v>
      </c>
      <c r="BG50" s="155">
        <f t="shared" si="23"/>
        <v>2.6497510839890773E-2</v>
      </c>
      <c r="BJ50" s="152">
        <f t="shared" si="46"/>
        <v>48767.42</v>
      </c>
      <c r="BK50" s="152">
        <f t="shared" si="47"/>
        <v>65443.59</v>
      </c>
      <c r="BL50" s="152">
        <f t="shared" si="48"/>
        <v>64340.100000000006</v>
      </c>
      <c r="BM50" s="155">
        <f t="shared" si="24"/>
        <v>-1.6861697226573158E-2</v>
      </c>
    </row>
    <row r="51" spans="1:65">
      <c r="A51" t="s">
        <v>407</v>
      </c>
      <c r="B51">
        <v>0</v>
      </c>
      <c r="C51" t="s">
        <v>436</v>
      </c>
      <c r="D51" t="s">
        <v>437</v>
      </c>
      <c r="F51" t="s">
        <v>456</v>
      </c>
      <c r="G51" t="s">
        <v>430</v>
      </c>
      <c r="H51" s="143">
        <f>'Raw Results 2024'!G51</f>
        <v>414.04</v>
      </c>
      <c r="I51" s="143">
        <f>'Raw Results 2024'!H51</f>
        <v>515.46</v>
      </c>
      <c r="J51" s="143">
        <f>'Raw Results 2024'!J51</f>
        <v>519.07000000000005</v>
      </c>
      <c r="K51" s="155">
        <f t="shared" si="12"/>
        <v>7.0034532262445454E-3</v>
      </c>
      <c r="L51" s="143">
        <f>'Raw Results 2024'!L51</f>
        <v>842.04</v>
      </c>
      <c r="M51" s="143">
        <f>'Raw Results 2024'!N51</f>
        <v>1086.42</v>
      </c>
      <c r="N51" s="143">
        <f>'Raw Results 2024'!P51</f>
        <v>1123.6300000000001</v>
      </c>
      <c r="O51" s="155">
        <f t="shared" si="13"/>
        <v>3.4250105852248698E-2</v>
      </c>
      <c r="P51" s="143">
        <f>'Raw Results 2024'!R51</f>
        <v>1544.46</v>
      </c>
      <c r="Q51" s="143">
        <f>'Raw Results 2024'!T51</f>
        <v>1992.64</v>
      </c>
      <c r="R51" s="143">
        <f>'Raw Results 2024'!V51</f>
        <v>2045.44</v>
      </c>
      <c r="S51" s="155">
        <f t="shared" si="14"/>
        <v>2.6497510839890773E-2</v>
      </c>
      <c r="T51" s="143">
        <f>'Raw Results 2024'!Y51</f>
        <v>41125.11</v>
      </c>
      <c r="U51" s="143">
        <f>'Raw Results 2024'!Z51</f>
        <v>55448.29</v>
      </c>
      <c r="V51" s="143">
        <f>'Raw Results 2024'!AB51</f>
        <v>54084.01</v>
      </c>
      <c r="W51" s="155">
        <f t="shared" si="15"/>
        <v>-2.4604545965258781E-2</v>
      </c>
      <c r="X51" s="143">
        <f>'Raw Results 2024'!AD51</f>
        <v>4841.7700000000004</v>
      </c>
      <c r="Y51" s="143">
        <f>'Raw Results 2024'!AE51</f>
        <v>6400.78</v>
      </c>
      <c r="Z51" s="143">
        <f>'Raw Results 2024'!AF51</f>
        <v>6567.95</v>
      </c>
      <c r="AA51" s="155">
        <f t="shared" si="16"/>
        <v>2.6117129474845267E-2</v>
      </c>
      <c r="AB51" s="143">
        <f>'Raw Results 2024'!AH51</f>
        <v>0</v>
      </c>
      <c r="AC51" s="143">
        <f>'Raw Results 2024'!AJ51</f>
        <v>0</v>
      </c>
      <c r="AD51" s="143">
        <f>'Raw Results 2024'!AL51</f>
        <v>0</v>
      </c>
      <c r="AE51" s="155" t="e">
        <f t="shared" si="17"/>
        <v>#DIV/0!</v>
      </c>
      <c r="AF51" s="143">
        <f>'Raw Results 2024'!AN51</f>
        <v>0</v>
      </c>
      <c r="AG51" s="143">
        <f>'Raw Results 2024'!AP51</f>
        <v>0</v>
      </c>
      <c r="AH51" s="143">
        <f>'Raw Results 2024'!AR51</f>
        <v>0</v>
      </c>
      <c r="AI51" s="155" t="e">
        <f t="shared" si="18"/>
        <v>#DIV/0!</v>
      </c>
      <c r="AJ51" s="143">
        <f>'Raw Results 2024'!AT51</f>
        <v>0</v>
      </c>
      <c r="AK51" s="143">
        <f>'Raw Results 2024'!AV51</f>
        <v>0</v>
      </c>
      <c r="AL51" s="143">
        <f>'Raw Results 2024'!AX51</f>
        <v>0</v>
      </c>
      <c r="AM51" s="155" t="e">
        <f t="shared" si="19"/>
        <v>#DIV/0!</v>
      </c>
      <c r="AN51" s="143">
        <f>'Raw Results 2024'!AZ51</f>
        <v>0</v>
      </c>
      <c r="AO51" s="143">
        <f>'Raw Results 2024'!BB51</f>
        <v>0</v>
      </c>
      <c r="AP51" s="143">
        <f>'Raw Results 2024'!BD51</f>
        <v>0</v>
      </c>
      <c r="AQ51" s="155" t="e">
        <f t="shared" si="20"/>
        <v>#DIV/0!</v>
      </c>
      <c r="AT51" s="152">
        <f t="shared" si="37"/>
        <v>41539.15</v>
      </c>
      <c r="AU51" s="152">
        <f t="shared" si="38"/>
        <v>55963.75</v>
      </c>
      <c r="AV51" s="152">
        <f t="shared" si="39"/>
        <v>54603.08</v>
      </c>
      <c r="AW51" s="155">
        <f t="shared" si="21"/>
        <v>-2.431341716736277E-2</v>
      </c>
      <c r="AY51" s="152">
        <f t="shared" si="40"/>
        <v>5683.81</v>
      </c>
      <c r="AZ51" s="152">
        <f t="shared" si="41"/>
        <v>7487.2</v>
      </c>
      <c r="BA51" s="152">
        <f t="shared" si="42"/>
        <v>7691.58</v>
      </c>
      <c r="BB51" s="155">
        <f t="shared" si="22"/>
        <v>2.7297253980126095E-2</v>
      </c>
      <c r="BD51" s="152">
        <f t="shared" si="43"/>
        <v>1544.46</v>
      </c>
      <c r="BE51" s="152">
        <f t="shared" si="44"/>
        <v>1992.64</v>
      </c>
      <c r="BF51" s="152">
        <f t="shared" si="45"/>
        <v>2045.44</v>
      </c>
      <c r="BG51" s="155">
        <f t="shared" si="23"/>
        <v>2.6497510839890773E-2</v>
      </c>
      <c r="BJ51" s="152">
        <f t="shared" si="46"/>
        <v>48767.42</v>
      </c>
      <c r="BK51" s="152">
        <f t="shared" si="47"/>
        <v>65443.59</v>
      </c>
      <c r="BL51" s="152">
        <f t="shared" si="48"/>
        <v>64340.100000000006</v>
      </c>
      <c r="BM51" s="155">
        <f t="shared" si="24"/>
        <v>-1.6861697226573158E-2</v>
      </c>
    </row>
    <row r="52" spans="1:65">
      <c r="A52" t="s">
        <v>407</v>
      </c>
      <c r="B52">
        <v>1</v>
      </c>
      <c r="C52" t="s">
        <v>436</v>
      </c>
      <c r="D52" t="s">
        <v>437</v>
      </c>
      <c r="F52" t="s">
        <v>457</v>
      </c>
      <c r="G52" t="s">
        <v>426</v>
      </c>
      <c r="H52" s="143">
        <f>'Raw Results 2024'!G52</f>
        <v>70573.570000000007</v>
      </c>
      <c r="I52" s="143">
        <f>'Raw Results 2024'!H52</f>
        <v>87861.49</v>
      </c>
      <c r="J52" s="143">
        <f>'Raw Results 2024'!J52</f>
        <v>101466.23</v>
      </c>
      <c r="K52" s="155">
        <f t="shared" si="12"/>
        <v>0.15484303760384657</v>
      </c>
      <c r="L52" s="143">
        <f>'Raw Results 2024'!L52</f>
        <v>143822.07999999999</v>
      </c>
      <c r="M52" s="143">
        <f>'Raw Results 2024'!N52</f>
        <v>185562.59</v>
      </c>
      <c r="N52" s="143">
        <f>'Raw Results 2024'!P52</f>
        <v>220428.35</v>
      </c>
      <c r="O52" s="155">
        <f t="shared" si="13"/>
        <v>0.18789218236283514</v>
      </c>
      <c r="P52" s="143">
        <f>'Raw Results 2024'!R52</f>
        <v>266473.03999999998</v>
      </c>
      <c r="Q52" s="143">
        <f>'Raw Results 2024'!T52</f>
        <v>343800.06</v>
      </c>
      <c r="R52" s="143">
        <f>'Raw Results 2024'!V52</f>
        <v>420244.68</v>
      </c>
      <c r="S52" s="155">
        <f t="shared" si="14"/>
        <v>0.22235196817592176</v>
      </c>
      <c r="T52" s="143">
        <f>'Raw Results 2024'!Y52</f>
        <v>7070691.2599999998</v>
      </c>
      <c r="U52" s="143">
        <f>'Raw Results 2024'!Z52</f>
        <v>9533250.1899999995</v>
      </c>
      <c r="V52" s="143">
        <f>'Raw Results 2024'!AB52</f>
        <v>11143246.449999999</v>
      </c>
      <c r="W52" s="155">
        <f t="shared" si="15"/>
        <v>0.16888219945059471</v>
      </c>
      <c r="X52" s="143">
        <f>'Raw Results 2024'!AD52</f>
        <v>831336.01</v>
      </c>
      <c r="Y52" s="143">
        <f>'Raw Results 2024'!AE52</f>
        <v>1099019.3500000001</v>
      </c>
      <c r="Z52" s="143">
        <f>'Raw Results 2024'!AF52</f>
        <v>1503914.69</v>
      </c>
      <c r="AA52" s="155">
        <f t="shared" si="16"/>
        <v>0.36841511480211864</v>
      </c>
      <c r="AB52" s="143">
        <f>'Raw Results 2024'!AH52</f>
        <v>0</v>
      </c>
      <c r="AC52" s="143">
        <f>'Raw Results 2024'!AJ52</f>
        <v>0</v>
      </c>
      <c r="AD52" s="143">
        <f>'Raw Results 2024'!AL52</f>
        <v>0</v>
      </c>
      <c r="AE52" s="155" t="e">
        <f t="shared" si="17"/>
        <v>#DIV/0!</v>
      </c>
      <c r="AF52" s="143">
        <f>'Raw Results 2024'!AN52</f>
        <v>0</v>
      </c>
      <c r="AG52" s="143">
        <f>'Raw Results 2024'!AP52</f>
        <v>0</v>
      </c>
      <c r="AH52" s="143">
        <f>'Raw Results 2024'!AR52</f>
        <v>0</v>
      </c>
      <c r="AI52" s="155" t="e">
        <f t="shared" si="18"/>
        <v>#DIV/0!</v>
      </c>
      <c r="AJ52" s="143">
        <f>'Raw Results 2024'!AT52</f>
        <v>0</v>
      </c>
      <c r="AK52" s="143">
        <f>'Raw Results 2024'!AV52</f>
        <v>0</v>
      </c>
      <c r="AL52" s="143">
        <f>'Raw Results 2024'!AX52</f>
        <v>0</v>
      </c>
      <c r="AM52" s="155" t="e">
        <f t="shared" si="19"/>
        <v>#DIV/0!</v>
      </c>
      <c r="AN52" s="143">
        <f>'Raw Results 2024'!AZ52</f>
        <v>0</v>
      </c>
      <c r="AO52" s="143">
        <f>'Raw Results 2024'!BB52</f>
        <v>0</v>
      </c>
      <c r="AP52" s="143">
        <f>'Raw Results 2024'!BD52</f>
        <v>0</v>
      </c>
      <c r="AQ52" s="155" t="e">
        <f t="shared" si="20"/>
        <v>#DIV/0!</v>
      </c>
      <c r="AT52" s="152">
        <f t="shared" si="37"/>
        <v>7141264.8300000001</v>
      </c>
      <c r="AU52" s="152">
        <f t="shared" si="38"/>
        <v>9621111.6799999997</v>
      </c>
      <c r="AV52" s="152">
        <f t="shared" si="39"/>
        <v>11244712.68</v>
      </c>
      <c r="AW52" s="155">
        <f t="shared" si="21"/>
        <v>0.16875399163852134</v>
      </c>
      <c r="AY52" s="152">
        <f t="shared" si="40"/>
        <v>975158.09</v>
      </c>
      <c r="AZ52" s="152">
        <f t="shared" si="41"/>
        <v>1284581.9400000002</v>
      </c>
      <c r="BA52" s="152">
        <f t="shared" si="42"/>
        <v>1724343.04</v>
      </c>
      <c r="BB52" s="155">
        <f t="shared" si="22"/>
        <v>0.34233791267530961</v>
      </c>
      <c r="BD52" s="152">
        <f t="shared" si="43"/>
        <v>266473.03999999998</v>
      </c>
      <c r="BE52" s="152">
        <f t="shared" si="44"/>
        <v>343800.06</v>
      </c>
      <c r="BF52" s="152">
        <f t="shared" si="45"/>
        <v>420244.68</v>
      </c>
      <c r="BG52" s="155">
        <f t="shared" si="23"/>
        <v>0.22235196817592176</v>
      </c>
      <c r="BJ52" s="152">
        <f t="shared" si="46"/>
        <v>8382895.96</v>
      </c>
      <c r="BK52" s="152">
        <f t="shared" si="47"/>
        <v>11249493.68</v>
      </c>
      <c r="BL52" s="152">
        <f t="shared" si="48"/>
        <v>13389300.399999999</v>
      </c>
      <c r="BM52" s="155">
        <f t="shared" si="24"/>
        <v>0.19021360257344477</v>
      </c>
    </row>
    <row r="53" spans="1:65">
      <c r="A53" t="s">
        <v>407</v>
      </c>
      <c r="B53">
        <v>0</v>
      </c>
      <c r="C53" t="s">
        <v>436</v>
      </c>
      <c r="D53" t="s">
        <v>437</v>
      </c>
      <c r="F53" t="s">
        <v>431</v>
      </c>
      <c r="G53" t="s">
        <v>410</v>
      </c>
      <c r="H53" s="143">
        <f>'Raw Results 2024'!G53</f>
        <v>128913</v>
      </c>
      <c r="I53" s="143">
        <f>'Raw Results 2024'!H53</f>
        <v>160491.15</v>
      </c>
      <c r="J53" s="143">
        <f>'Raw Results 2024'!J53</f>
        <v>156941.62</v>
      </c>
      <c r="K53" s="155">
        <f t="shared" si="12"/>
        <v>-2.2116671230781256E-2</v>
      </c>
      <c r="L53" s="143">
        <f>'Raw Results 2024'!L53</f>
        <v>238941.8</v>
      </c>
      <c r="M53" s="143">
        <f>'Raw Results 2024'!N53</f>
        <v>308286.90999999997</v>
      </c>
      <c r="N53" s="143">
        <f>'Raw Results 2024'!P53</f>
        <v>310020.84000000003</v>
      </c>
      <c r="O53" s="155">
        <f t="shared" si="13"/>
        <v>5.6244035791206681E-3</v>
      </c>
      <c r="P53" s="143">
        <f>'Raw Results 2024'!R53</f>
        <v>449678.05</v>
      </c>
      <c r="Q53" s="143">
        <f>'Raw Results 2024'!T53</f>
        <v>580172.12</v>
      </c>
      <c r="R53" s="143">
        <f>'Raw Results 2024'!V53</f>
        <v>604642.79</v>
      </c>
      <c r="S53" s="155">
        <f t="shared" si="14"/>
        <v>4.2178293572604011E-2</v>
      </c>
      <c r="T53" s="143">
        <f>'Raw Results 2024'!Y53</f>
        <v>12029325.560000001</v>
      </c>
      <c r="U53" s="143">
        <f>'Raw Results 2024'!Z53</f>
        <v>16218508.050000001</v>
      </c>
      <c r="V53" s="143">
        <f>'Raw Results 2024'!AB53</f>
        <v>13787303.390000001</v>
      </c>
      <c r="W53" s="155">
        <f t="shared" si="15"/>
        <v>-0.1499031015987935</v>
      </c>
      <c r="X53" s="143">
        <f>'Raw Results 2024'!AD53</f>
        <v>1611545.28</v>
      </c>
      <c r="Y53" s="143">
        <f>'Raw Results 2024'!AE53</f>
        <v>2130452.87</v>
      </c>
      <c r="Z53" s="143">
        <f>'Raw Results 2024'!AF53</f>
        <v>2283986.83</v>
      </c>
      <c r="AA53" s="155">
        <f t="shared" si="16"/>
        <v>7.2066348973023733E-2</v>
      </c>
      <c r="AB53" s="143">
        <f>'Raw Results 2024'!AH53</f>
        <v>0</v>
      </c>
      <c r="AC53" s="143">
        <f>'Raw Results 2024'!AJ53</f>
        <v>0</v>
      </c>
      <c r="AD53" s="143">
        <f>'Raw Results 2024'!AL53</f>
        <v>0</v>
      </c>
      <c r="AE53" s="155" t="e">
        <f t="shared" si="17"/>
        <v>#DIV/0!</v>
      </c>
      <c r="AF53" s="143">
        <f>'Raw Results 2024'!AN53</f>
        <v>0</v>
      </c>
      <c r="AG53" s="143">
        <f>'Raw Results 2024'!AP53</f>
        <v>0</v>
      </c>
      <c r="AH53" s="143">
        <f>'Raw Results 2024'!AR53</f>
        <v>0</v>
      </c>
      <c r="AI53" s="155" t="e">
        <f t="shared" si="18"/>
        <v>#DIV/0!</v>
      </c>
      <c r="AJ53" s="143">
        <f>'Raw Results 2024'!AT53</f>
        <v>0</v>
      </c>
      <c r="AK53" s="143">
        <f>'Raw Results 2024'!AV53</f>
        <v>0</v>
      </c>
      <c r="AL53" s="143">
        <f>'Raw Results 2024'!AX53</f>
        <v>0</v>
      </c>
      <c r="AM53" s="155" t="e">
        <f t="shared" si="19"/>
        <v>#DIV/0!</v>
      </c>
      <c r="AN53" s="143">
        <f>'Raw Results 2024'!AZ53</f>
        <v>0</v>
      </c>
      <c r="AO53" s="143">
        <f>'Raw Results 2024'!BB53</f>
        <v>0</v>
      </c>
      <c r="AP53" s="143">
        <f>'Raw Results 2024'!BD53</f>
        <v>0</v>
      </c>
      <c r="AQ53" s="155" t="e">
        <f t="shared" si="20"/>
        <v>#DIV/0!</v>
      </c>
      <c r="AT53" s="152">
        <f t="shared" si="37"/>
        <v>12158238.560000001</v>
      </c>
      <c r="AU53" s="152">
        <f t="shared" si="38"/>
        <v>16378999.200000001</v>
      </c>
      <c r="AV53" s="152">
        <f t="shared" si="39"/>
        <v>13944245.01</v>
      </c>
      <c r="AW53" s="155">
        <f t="shared" si="21"/>
        <v>-0.14865097435257224</v>
      </c>
      <c r="AY53" s="152">
        <f t="shared" si="40"/>
        <v>1850487.08</v>
      </c>
      <c r="AZ53" s="152">
        <f t="shared" si="41"/>
        <v>2438739.7800000003</v>
      </c>
      <c r="BA53" s="152">
        <f t="shared" si="42"/>
        <v>2594007.67</v>
      </c>
      <c r="BB53" s="155">
        <f t="shared" si="22"/>
        <v>6.3667264245798147E-2</v>
      </c>
      <c r="BD53" s="152">
        <f t="shared" si="43"/>
        <v>449678.05</v>
      </c>
      <c r="BE53" s="152">
        <f t="shared" si="44"/>
        <v>580172.12</v>
      </c>
      <c r="BF53" s="152">
        <f t="shared" si="45"/>
        <v>604642.79</v>
      </c>
      <c r="BG53" s="155">
        <f t="shared" si="23"/>
        <v>4.2178293572604011E-2</v>
      </c>
      <c r="BJ53" s="152">
        <f t="shared" si="46"/>
        <v>14458403.690000001</v>
      </c>
      <c r="BK53" s="152">
        <f t="shared" si="47"/>
        <v>19397911.100000001</v>
      </c>
      <c r="BL53" s="152">
        <f t="shared" si="48"/>
        <v>17142895.469999999</v>
      </c>
      <c r="BM53" s="155">
        <f t="shared" si="24"/>
        <v>-0.11625043636786243</v>
      </c>
    </row>
    <row r="54" spans="1:65">
      <c r="A54" t="s">
        <v>407</v>
      </c>
      <c r="B54">
        <v>0</v>
      </c>
      <c r="C54" t="s">
        <v>436</v>
      </c>
      <c r="D54" t="s">
        <v>437</v>
      </c>
      <c r="F54" t="s">
        <v>432</v>
      </c>
      <c r="G54" t="s">
        <v>415</v>
      </c>
      <c r="H54" s="143">
        <f>'Raw Results 2024'!G54</f>
        <v>25108.86</v>
      </c>
      <c r="I54" s="143">
        <f>'Raw Results 2024'!H54</f>
        <v>31259.98</v>
      </c>
      <c r="J54" s="143">
        <f>'Raw Results 2024'!J54</f>
        <v>35548.36</v>
      </c>
      <c r="K54" s="155">
        <f t="shared" si="12"/>
        <v>0.13718434880636524</v>
      </c>
      <c r="L54" s="143">
        <f>'Raw Results 2024'!L54</f>
        <v>180047.52</v>
      </c>
      <c r="M54" s="143">
        <f>'Raw Results 2024'!N54</f>
        <v>232302.38</v>
      </c>
      <c r="N54" s="143">
        <f>'Raw Results 2024'!P54</f>
        <v>260623.15</v>
      </c>
      <c r="O54" s="155">
        <f t="shared" si="13"/>
        <v>0.12191338719818536</v>
      </c>
      <c r="P54" s="143">
        <f>'Raw Results 2024'!R54</f>
        <v>328173.15000000002</v>
      </c>
      <c r="Q54" s="143">
        <f>'Raw Results 2024'!T54</f>
        <v>423402.57</v>
      </c>
      <c r="R54" s="143">
        <f>'Raw Results 2024'!V54</f>
        <v>531785.68999999994</v>
      </c>
      <c r="S54" s="155">
        <f t="shared" si="14"/>
        <v>0.25598125207411926</v>
      </c>
      <c r="T54" s="143">
        <f>'Raw Results 2024'!Y54</f>
        <v>22114593.850000001</v>
      </c>
      <c r="U54" s="143">
        <f>'Raw Results 2024'!Z54</f>
        <v>29816134.809999999</v>
      </c>
      <c r="V54" s="143">
        <f>'Raw Results 2024'!AB54</f>
        <v>30383802.829999998</v>
      </c>
      <c r="W54" s="155">
        <f t="shared" si="15"/>
        <v>1.9038954030004253E-2</v>
      </c>
      <c r="X54" s="143">
        <f>'Raw Results 2024'!AD54</f>
        <v>2392172.08</v>
      </c>
      <c r="Y54" s="143">
        <f>'Raw Results 2024'!AE54</f>
        <v>3162431.86</v>
      </c>
      <c r="Z54" s="143">
        <f>'Raw Results 2024'!AF54</f>
        <v>4743283.28</v>
      </c>
      <c r="AA54" s="155">
        <f t="shared" si="16"/>
        <v>0.49988473743747336</v>
      </c>
      <c r="AB54" s="143">
        <f>'Raw Results 2024'!AH54</f>
        <v>0</v>
      </c>
      <c r="AC54" s="143">
        <f>'Raw Results 2024'!AJ54</f>
        <v>0</v>
      </c>
      <c r="AD54" s="143">
        <f>'Raw Results 2024'!AL54</f>
        <v>0</v>
      </c>
      <c r="AE54" s="155" t="e">
        <f t="shared" si="17"/>
        <v>#DIV/0!</v>
      </c>
      <c r="AF54" s="143">
        <f>'Raw Results 2024'!AN54</f>
        <v>0</v>
      </c>
      <c r="AG54" s="143">
        <f>'Raw Results 2024'!AP54</f>
        <v>0</v>
      </c>
      <c r="AH54" s="143">
        <f>'Raw Results 2024'!AR54</f>
        <v>0</v>
      </c>
      <c r="AI54" s="155" t="e">
        <f t="shared" si="18"/>
        <v>#DIV/0!</v>
      </c>
      <c r="AJ54" s="143">
        <f>'Raw Results 2024'!AT54</f>
        <v>0</v>
      </c>
      <c r="AK54" s="143">
        <f>'Raw Results 2024'!AV54</f>
        <v>0</v>
      </c>
      <c r="AL54" s="143">
        <f>'Raw Results 2024'!AX54</f>
        <v>0</v>
      </c>
      <c r="AM54" s="155" t="e">
        <f t="shared" si="19"/>
        <v>#DIV/0!</v>
      </c>
      <c r="AN54" s="143">
        <f>'Raw Results 2024'!AZ54</f>
        <v>0</v>
      </c>
      <c r="AO54" s="143">
        <f>'Raw Results 2024'!BB54</f>
        <v>0</v>
      </c>
      <c r="AP54" s="143">
        <f>'Raw Results 2024'!BD54</f>
        <v>0</v>
      </c>
      <c r="AQ54" s="155" t="e">
        <f t="shared" si="20"/>
        <v>#DIV/0!</v>
      </c>
      <c r="AT54" s="152">
        <f t="shared" si="37"/>
        <v>22139702.710000001</v>
      </c>
      <c r="AU54" s="152">
        <f t="shared" si="38"/>
        <v>29847394.789999999</v>
      </c>
      <c r="AV54" s="152">
        <f t="shared" si="39"/>
        <v>30419351.189999998</v>
      </c>
      <c r="AW54" s="155">
        <f t="shared" si="21"/>
        <v>1.9162690882208098E-2</v>
      </c>
      <c r="AY54" s="152">
        <f t="shared" si="40"/>
        <v>2572219.6</v>
      </c>
      <c r="AZ54" s="152">
        <f t="shared" si="41"/>
        <v>3394734.2399999998</v>
      </c>
      <c r="BA54" s="152">
        <f t="shared" si="42"/>
        <v>5003906.4300000006</v>
      </c>
      <c r="BB54" s="155">
        <f t="shared" si="22"/>
        <v>0.47402007822562303</v>
      </c>
      <c r="BD54" s="152">
        <f t="shared" si="43"/>
        <v>328173.15000000002</v>
      </c>
      <c r="BE54" s="152">
        <f t="shared" si="44"/>
        <v>423402.57</v>
      </c>
      <c r="BF54" s="152">
        <f t="shared" si="45"/>
        <v>531785.68999999994</v>
      </c>
      <c r="BG54" s="155">
        <f t="shared" si="23"/>
        <v>0.25598125207411926</v>
      </c>
      <c r="BJ54" s="152">
        <f t="shared" si="46"/>
        <v>25040095.460000001</v>
      </c>
      <c r="BK54" s="152">
        <f t="shared" si="47"/>
        <v>33665531.599999994</v>
      </c>
      <c r="BL54" s="152">
        <f t="shared" si="48"/>
        <v>35955043.309999995</v>
      </c>
      <c r="BM54" s="155">
        <f t="shared" si="24"/>
        <v>6.8007591182668303E-2</v>
      </c>
    </row>
    <row r="55" spans="1:65">
      <c r="A55" t="s">
        <v>407</v>
      </c>
      <c r="B55">
        <v>0</v>
      </c>
      <c r="C55" t="s">
        <v>436</v>
      </c>
      <c r="D55" t="s">
        <v>437</v>
      </c>
      <c r="F55" t="s">
        <v>458</v>
      </c>
      <c r="G55" t="s">
        <v>426</v>
      </c>
      <c r="H55" s="143">
        <f>'Raw Results 2024'!G55</f>
        <v>0</v>
      </c>
      <c r="I55" s="143">
        <f>'Raw Results 2024'!H55</f>
        <v>0</v>
      </c>
      <c r="J55" s="143">
        <f>'Raw Results 2024'!J55</f>
        <v>0</v>
      </c>
      <c r="K55" s="155" t="e">
        <f t="shared" si="12"/>
        <v>#DIV/0!</v>
      </c>
      <c r="L55" s="143">
        <f>'Raw Results 2024'!L55</f>
        <v>0</v>
      </c>
      <c r="M55" s="143">
        <f>'Raw Results 2024'!N55</f>
        <v>0</v>
      </c>
      <c r="N55" s="143">
        <f>'Raw Results 2024'!P55</f>
        <v>0</v>
      </c>
      <c r="O55" s="155" t="e">
        <f t="shared" si="13"/>
        <v>#DIV/0!</v>
      </c>
      <c r="P55" s="143">
        <f>'Raw Results 2024'!R55</f>
        <v>0</v>
      </c>
      <c r="Q55" s="143">
        <f>'Raw Results 2024'!T55</f>
        <v>0</v>
      </c>
      <c r="R55" s="143">
        <f>'Raw Results 2024'!V55</f>
        <v>0</v>
      </c>
      <c r="S55" s="155" t="e">
        <f t="shared" si="14"/>
        <v>#DIV/0!</v>
      </c>
      <c r="T55" s="143">
        <f>'Raw Results 2024'!Y55</f>
        <v>0</v>
      </c>
      <c r="U55" s="143">
        <f>'Raw Results 2024'!Z55</f>
        <v>0</v>
      </c>
      <c r="V55" s="143">
        <f>'Raw Results 2024'!AB55</f>
        <v>0</v>
      </c>
      <c r="W55" s="155" t="e">
        <f t="shared" si="15"/>
        <v>#DIV/0!</v>
      </c>
      <c r="X55" s="143">
        <f>'Raw Results 2024'!AD55</f>
        <v>0</v>
      </c>
      <c r="Y55" s="143">
        <f>'Raw Results 2024'!AE55</f>
        <v>0</v>
      </c>
      <c r="Z55" s="143">
        <f>'Raw Results 2024'!AF55</f>
        <v>0</v>
      </c>
      <c r="AA55" s="155" t="e">
        <f t="shared" si="16"/>
        <v>#DIV/0!</v>
      </c>
      <c r="AB55" s="143">
        <f>'Raw Results 2024'!AH55</f>
        <v>0</v>
      </c>
      <c r="AC55" s="143">
        <f>'Raw Results 2024'!AJ55</f>
        <v>0</v>
      </c>
      <c r="AD55" s="143">
        <f>'Raw Results 2024'!AL55</f>
        <v>0</v>
      </c>
      <c r="AE55" s="155" t="e">
        <f t="shared" si="17"/>
        <v>#DIV/0!</v>
      </c>
      <c r="AF55" s="143">
        <f>'Raw Results 2024'!AN55</f>
        <v>0</v>
      </c>
      <c r="AG55" s="143">
        <f>'Raw Results 2024'!AP55</f>
        <v>0</v>
      </c>
      <c r="AH55" s="143">
        <f>'Raw Results 2024'!AR55</f>
        <v>0</v>
      </c>
      <c r="AI55" s="155" t="e">
        <f t="shared" si="18"/>
        <v>#DIV/0!</v>
      </c>
      <c r="AJ55" s="143">
        <f>'Raw Results 2024'!AT55</f>
        <v>0</v>
      </c>
      <c r="AK55" s="143">
        <f>'Raw Results 2024'!AV55</f>
        <v>0</v>
      </c>
      <c r="AL55" s="143">
        <f>'Raw Results 2024'!AX55</f>
        <v>0</v>
      </c>
      <c r="AM55" s="155" t="e">
        <f t="shared" si="19"/>
        <v>#DIV/0!</v>
      </c>
      <c r="AN55" s="143">
        <f>'Raw Results 2024'!AZ55</f>
        <v>0</v>
      </c>
      <c r="AO55" s="143">
        <f>'Raw Results 2024'!BB55</f>
        <v>0</v>
      </c>
      <c r="AP55" s="143">
        <f>'Raw Results 2024'!BD55</f>
        <v>0</v>
      </c>
      <c r="AQ55" s="155" t="e">
        <f t="shared" si="20"/>
        <v>#DIV/0!</v>
      </c>
      <c r="AT55" s="152">
        <f t="shared" si="37"/>
        <v>0</v>
      </c>
      <c r="AU55" s="152">
        <f t="shared" si="38"/>
        <v>0</v>
      </c>
      <c r="AV55" s="152">
        <f t="shared" si="39"/>
        <v>0</v>
      </c>
      <c r="AW55" s="155" t="e">
        <f t="shared" si="21"/>
        <v>#DIV/0!</v>
      </c>
      <c r="AY55" s="152">
        <f t="shared" si="40"/>
        <v>0</v>
      </c>
      <c r="AZ55" s="152">
        <f t="shared" si="41"/>
        <v>0</v>
      </c>
      <c r="BA55" s="152">
        <f t="shared" si="42"/>
        <v>0</v>
      </c>
      <c r="BB55" s="155" t="e">
        <f t="shared" si="22"/>
        <v>#DIV/0!</v>
      </c>
      <c r="BD55" s="152">
        <f t="shared" si="43"/>
        <v>0</v>
      </c>
      <c r="BE55" s="152">
        <f t="shared" si="44"/>
        <v>0</v>
      </c>
      <c r="BF55" s="152">
        <f t="shared" si="45"/>
        <v>0</v>
      </c>
      <c r="BG55" s="155" t="e">
        <f t="shared" si="23"/>
        <v>#DIV/0!</v>
      </c>
      <c r="BJ55" s="152">
        <f t="shared" si="46"/>
        <v>0</v>
      </c>
      <c r="BK55" s="152">
        <f t="shared" si="47"/>
        <v>0</v>
      </c>
      <c r="BL55" s="152">
        <f t="shared" si="48"/>
        <v>0</v>
      </c>
      <c r="BM55" s="155" t="e">
        <f t="shared" si="24"/>
        <v>#DIV/0!</v>
      </c>
    </row>
    <row r="56" spans="1:65">
      <c r="A56" t="s">
        <v>407</v>
      </c>
      <c r="B56">
        <v>0</v>
      </c>
      <c r="C56" t="s">
        <v>436</v>
      </c>
      <c r="D56" t="s">
        <v>437</v>
      </c>
      <c r="F56" t="s">
        <v>459</v>
      </c>
      <c r="G56" t="s">
        <v>426</v>
      </c>
      <c r="H56" s="143">
        <f>'Raw Results 2024'!G56</f>
        <v>0</v>
      </c>
      <c r="I56" s="143">
        <f>'Raw Results 2024'!H56</f>
        <v>0</v>
      </c>
      <c r="J56" s="143">
        <f>'Raw Results 2024'!J56</f>
        <v>0</v>
      </c>
      <c r="K56" s="155" t="e">
        <f t="shared" si="12"/>
        <v>#DIV/0!</v>
      </c>
      <c r="L56" s="143">
        <f>'Raw Results 2024'!L56</f>
        <v>0</v>
      </c>
      <c r="M56" s="143">
        <f>'Raw Results 2024'!N56</f>
        <v>0</v>
      </c>
      <c r="N56" s="143">
        <f>'Raw Results 2024'!P56</f>
        <v>0</v>
      </c>
      <c r="O56" s="155" t="e">
        <f t="shared" si="13"/>
        <v>#DIV/0!</v>
      </c>
      <c r="P56" s="143">
        <f>'Raw Results 2024'!R56</f>
        <v>0</v>
      </c>
      <c r="Q56" s="143">
        <f>'Raw Results 2024'!T56</f>
        <v>0</v>
      </c>
      <c r="R56" s="143">
        <f>'Raw Results 2024'!V56</f>
        <v>0</v>
      </c>
      <c r="S56" s="155" t="e">
        <f t="shared" si="14"/>
        <v>#DIV/0!</v>
      </c>
      <c r="T56" s="143">
        <f>'Raw Results 2024'!Y56</f>
        <v>0</v>
      </c>
      <c r="U56" s="143">
        <f>'Raw Results 2024'!Z56</f>
        <v>0</v>
      </c>
      <c r="V56" s="143">
        <f>'Raw Results 2024'!AB56</f>
        <v>0</v>
      </c>
      <c r="W56" s="155" t="e">
        <f t="shared" si="15"/>
        <v>#DIV/0!</v>
      </c>
      <c r="X56" s="143">
        <f>'Raw Results 2024'!AD56</f>
        <v>0</v>
      </c>
      <c r="Y56" s="143">
        <f>'Raw Results 2024'!AE56</f>
        <v>0</v>
      </c>
      <c r="Z56" s="143">
        <f>'Raw Results 2024'!AF56</f>
        <v>0</v>
      </c>
      <c r="AA56" s="155" t="e">
        <f t="shared" si="16"/>
        <v>#DIV/0!</v>
      </c>
      <c r="AB56" s="143">
        <f>'Raw Results 2024'!AH56</f>
        <v>0</v>
      </c>
      <c r="AC56" s="143">
        <f>'Raw Results 2024'!AJ56</f>
        <v>0</v>
      </c>
      <c r="AD56" s="143">
        <f>'Raw Results 2024'!AL56</f>
        <v>0</v>
      </c>
      <c r="AE56" s="155" t="e">
        <f t="shared" si="17"/>
        <v>#DIV/0!</v>
      </c>
      <c r="AF56" s="143">
        <f>'Raw Results 2024'!AN56</f>
        <v>0</v>
      </c>
      <c r="AG56" s="143">
        <f>'Raw Results 2024'!AP56</f>
        <v>0</v>
      </c>
      <c r="AH56" s="143">
        <f>'Raw Results 2024'!AR56</f>
        <v>0</v>
      </c>
      <c r="AI56" s="155" t="e">
        <f t="shared" si="18"/>
        <v>#DIV/0!</v>
      </c>
      <c r="AJ56" s="143">
        <f>'Raw Results 2024'!AT56</f>
        <v>0</v>
      </c>
      <c r="AK56" s="143">
        <f>'Raw Results 2024'!AV56</f>
        <v>0</v>
      </c>
      <c r="AL56" s="143">
        <f>'Raw Results 2024'!AX56</f>
        <v>0</v>
      </c>
      <c r="AM56" s="155" t="e">
        <f t="shared" si="19"/>
        <v>#DIV/0!</v>
      </c>
      <c r="AN56" s="143">
        <f>'Raw Results 2024'!AZ56</f>
        <v>0</v>
      </c>
      <c r="AO56" s="143">
        <f>'Raw Results 2024'!BB56</f>
        <v>0</v>
      </c>
      <c r="AP56" s="143">
        <f>'Raw Results 2024'!BD56</f>
        <v>0</v>
      </c>
      <c r="AQ56" s="155" t="e">
        <f t="shared" si="20"/>
        <v>#DIV/0!</v>
      </c>
      <c r="AT56" s="152">
        <f t="shared" si="37"/>
        <v>0</v>
      </c>
      <c r="AU56" s="152">
        <f t="shared" si="38"/>
        <v>0</v>
      </c>
      <c r="AV56" s="152">
        <f t="shared" si="39"/>
        <v>0</v>
      </c>
      <c r="AW56" s="155" t="e">
        <f t="shared" si="21"/>
        <v>#DIV/0!</v>
      </c>
      <c r="AY56" s="152">
        <f t="shared" si="40"/>
        <v>0</v>
      </c>
      <c r="AZ56" s="152">
        <f t="shared" si="41"/>
        <v>0</v>
      </c>
      <c r="BA56" s="152">
        <f t="shared" si="42"/>
        <v>0</v>
      </c>
      <c r="BB56" s="155" t="e">
        <f t="shared" si="22"/>
        <v>#DIV/0!</v>
      </c>
      <c r="BD56" s="152">
        <f t="shared" si="43"/>
        <v>0</v>
      </c>
      <c r="BE56" s="152">
        <f t="shared" si="44"/>
        <v>0</v>
      </c>
      <c r="BF56" s="152">
        <f t="shared" si="45"/>
        <v>0</v>
      </c>
      <c r="BG56" s="155" t="e">
        <f t="shared" si="23"/>
        <v>#DIV/0!</v>
      </c>
      <c r="BJ56" s="152">
        <f t="shared" si="46"/>
        <v>0</v>
      </c>
      <c r="BK56" s="152">
        <f t="shared" si="47"/>
        <v>0</v>
      </c>
      <c r="BL56" s="152">
        <f t="shared" si="48"/>
        <v>0</v>
      </c>
      <c r="BM56" s="155" t="e">
        <f t="shared" si="24"/>
        <v>#DIV/0!</v>
      </c>
    </row>
    <row r="57" spans="1:65">
      <c r="A57" t="s">
        <v>407</v>
      </c>
      <c r="B57">
        <v>0</v>
      </c>
      <c r="C57" t="s">
        <v>436</v>
      </c>
      <c r="D57" t="s">
        <v>437</v>
      </c>
      <c r="F57" t="s">
        <v>460</v>
      </c>
      <c r="G57" t="s">
        <v>426</v>
      </c>
      <c r="H57" s="143">
        <f>'Raw Results 2024'!G57</f>
        <v>392635.48</v>
      </c>
      <c r="I57" s="143">
        <f>'Raw Results 2024'!H57</f>
        <v>488817</v>
      </c>
      <c r="J57" s="143">
        <f>'Raw Results 2024'!J57</f>
        <v>655182.91</v>
      </c>
      <c r="K57" s="155">
        <f t="shared" si="12"/>
        <v>0.34034395284943042</v>
      </c>
      <c r="L57" s="143">
        <f>'Raw Results 2024'!L57</f>
        <v>744867.48</v>
      </c>
      <c r="M57" s="143">
        <f>'Raw Results 2024'!N57</f>
        <v>961046.19</v>
      </c>
      <c r="N57" s="143">
        <f>'Raw Results 2024'!P57</f>
        <v>1335164.25</v>
      </c>
      <c r="O57" s="155">
        <f t="shared" si="13"/>
        <v>0.38928208018805016</v>
      </c>
      <c r="P57" s="143">
        <f>'Raw Results 2024'!R57</f>
        <v>1330711.82</v>
      </c>
      <c r="Q57" s="143">
        <f>'Raw Results 2024'!T57</f>
        <v>1716864.85</v>
      </c>
      <c r="R57" s="143">
        <f>'Raw Results 2024'!V57</f>
        <v>2510395.0499999998</v>
      </c>
      <c r="S57" s="155">
        <f t="shared" si="14"/>
        <v>0.46219724284063457</v>
      </c>
      <c r="T57" s="143">
        <f>'Raw Results 2024'!Y57</f>
        <v>40330613.990000002</v>
      </c>
      <c r="U57" s="143">
        <f>'Raw Results 2024'!Z57</f>
        <v>54377084.350000001</v>
      </c>
      <c r="V57" s="143">
        <f>'Raw Results 2024'!AB57</f>
        <v>69026058.109999999</v>
      </c>
      <c r="W57" s="155">
        <f t="shared" si="15"/>
        <v>0.26939608725086045</v>
      </c>
      <c r="X57" s="143">
        <f>'Raw Results 2024'!AD57</f>
        <v>4776238</v>
      </c>
      <c r="Y57" s="143">
        <f>'Raw Results 2024'!AE57</f>
        <v>6314144.9400000004</v>
      </c>
      <c r="Z57" s="143">
        <f>'Raw Results 2024'!AF57</f>
        <v>9279596.7100000009</v>
      </c>
      <c r="AA57" s="155">
        <f t="shared" si="16"/>
        <v>0.46965215372455488</v>
      </c>
      <c r="AB57" s="143">
        <f>'Raw Results 2024'!AH57</f>
        <v>0</v>
      </c>
      <c r="AC57" s="143">
        <f>'Raw Results 2024'!AJ57</f>
        <v>0</v>
      </c>
      <c r="AD57" s="143">
        <f>'Raw Results 2024'!AL57</f>
        <v>0</v>
      </c>
      <c r="AE57" s="155" t="e">
        <f t="shared" si="17"/>
        <v>#DIV/0!</v>
      </c>
      <c r="AF57" s="143">
        <f>'Raw Results 2024'!AN57</f>
        <v>0</v>
      </c>
      <c r="AG57" s="143">
        <f>'Raw Results 2024'!AP57</f>
        <v>0</v>
      </c>
      <c r="AH57" s="143">
        <f>'Raw Results 2024'!AR57</f>
        <v>0</v>
      </c>
      <c r="AI57" s="155" t="e">
        <f t="shared" si="18"/>
        <v>#DIV/0!</v>
      </c>
      <c r="AJ57" s="143">
        <f>'Raw Results 2024'!AT57</f>
        <v>0</v>
      </c>
      <c r="AK57" s="143">
        <f>'Raw Results 2024'!AV57</f>
        <v>0</v>
      </c>
      <c r="AL57" s="143">
        <f>'Raw Results 2024'!AX57</f>
        <v>0</v>
      </c>
      <c r="AM57" s="155" t="e">
        <f t="shared" si="19"/>
        <v>#DIV/0!</v>
      </c>
      <c r="AN57" s="143">
        <f>'Raw Results 2024'!AZ57</f>
        <v>0</v>
      </c>
      <c r="AO57" s="143">
        <f>'Raw Results 2024'!BB57</f>
        <v>0</v>
      </c>
      <c r="AP57" s="143">
        <f>'Raw Results 2024'!BD57</f>
        <v>0</v>
      </c>
      <c r="AQ57" s="155" t="e">
        <f t="shared" si="20"/>
        <v>#DIV/0!</v>
      </c>
      <c r="AT57" s="152">
        <f t="shared" si="37"/>
        <v>40723249.469999999</v>
      </c>
      <c r="AU57" s="152">
        <f t="shared" si="38"/>
        <v>54865901.350000001</v>
      </c>
      <c r="AV57" s="152">
        <f t="shared" si="39"/>
        <v>69681241.019999996</v>
      </c>
      <c r="AW57" s="155">
        <f t="shared" si="21"/>
        <v>0.27002818336092083</v>
      </c>
      <c r="AY57" s="152">
        <f t="shared" si="40"/>
        <v>5521105.4800000004</v>
      </c>
      <c r="AZ57" s="152">
        <f t="shared" si="41"/>
        <v>7275191.1300000008</v>
      </c>
      <c r="BA57" s="152">
        <f t="shared" si="42"/>
        <v>10614760.960000001</v>
      </c>
      <c r="BB57" s="155">
        <f t="shared" si="22"/>
        <v>0.45903533946055924</v>
      </c>
      <c r="BD57" s="152">
        <f t="shared" si="43"/>
        <v>1330711.82</v>
      </c>
      <c r="BE57" s="152">
        <f t="shared" si="44"/>
        <v>1716864.85</v>
      </c>
      <c r="BF57" s="152">
        <f t="shared" si="45"/>
        <v>2510395.0499999998</v>
      </c>
      <c r="BG57" s="155">
        <f t="shared" si="23"/>
        <v>0.46219724284063457</v>
      </c>
      <c r="BJ57" s="152">
        <f t="shared" si="46"/>
        <v>47575066.770000003</v>
      </c>
      <c r="BK57" s="152">
        <f t="shared" si="47"/>
        <v>63857957.330000006</v>
      </c>
      <c r="BL57" s="152">
        <f t="shared" si="48"/>
        <v>82806397.029999986</v>
      </c>
      <c r="BM57" s="155">
        <f t="shared" si="24"/>
        <v>0.29672793324847146</v>
      </c>
    </row>
    <row r="58" spans="1:65">
      <c r="A58" t="s">
        <v>407</v>
      </c>
      <c r="B58">
        <v>0</v>
      </c>
      <c r="C58" t="s">
        <v>436</v>
      </c>
      <c r="D58" t="s">
        <v>437</v>
      </c>
      <c r="F58" t="s">
        <v>461</v>
      </c>
      <c r="G58" t="s">
        <v>426</v>
      </c>
      <c r="H58" s="143">
        <f>'Raw Results 2024'!G58</f>
        <v>932169.06</v>
      </c>
      <c r="I58" s="143">
        <f>'Raw Results 2024'!H58</f>
        <v>1160550.67</v>
      </c>
      <c r="J58" s="143">
        <f>'Raw Results 2024'!J58</f>
        <v>1158009.28</v>
      </c>
      <c r="K58" s="155">
        <f t="shared" si="12"/>
        <v>-2.1898139096330001E-3</v>
      </c>
      <c r="L58" s="143">
        <f>'Raw Results 2024'!L58</f>
        <v>1694353.29</v>
      </c>
      <c r="M58" s="143">
        <f>'Raw Results 2024'!N58</f>
        <v>2186115.75</v>
      </c>
      <c r="N58" s="143">
        <f>'Raw Results 2024'!P58</f>
        <v>2246743.34</v>
      </c>
      <c r="O58" s="155">
        <f t="shared" si="13"/>
        <v>2.7733019168815674E-2</v>
      </c>
      <c r="P58" s="143">
        <f>'Raw Results 2024'!R58</f>
        <v>2948741.64</v>
      </c>
      <c r="Q58" s="143">
        <f>'Raw Results 2024'!T58</f>
        <v>3804375.6</v>
      </c>
      <c r="R58" s="143">
        <f>'Raw Results 2024'!V58</f>
        <v>4224675.5</v>
      </c>
      <c r="S58" s="155">
        <f t="shared" si="14"/>
        <v>0.11047802430443511</v>
      </c>
      <c r="T58" s="143">
        <f>'Raw Results 2024'!Y58</f>
        <v>78775929.329999998</v>
      </c>
      <c r="U58" s="143">
        <f>'Raw Results 2024'!Z58</f>
        <v>106216739.92</v>
      </c>
      <c r="V58" s="143">
        <f>'Raw Results 2024'!AB58</f>
        <v>112095561.55</v>
      </c>
      <c r="W58" s="155">
        <f t="shared" si="15"/>
        <v>5.5347411664374069E-2</v>
      </c>
      <c r="X58" s="143">
        <f>'Raw Results 2024'!AD58</f>
        <v>9452253.1099999994</v>
      </c>
      <c r="Y58" s="143">
        <f>'Raw Results 2024'!AE58</f>
        <v>12495753.539999999</v>
      </c>
      <c r="Z58" s="143">
        <f>'Raw Results 2024'!AF58</f>
        <v>15122164.6</v>
      </c>
      <c r="AA58" s="155">
        <f t="shared" si="16"/>
        <v>0.21018428793370716</v>
      </c>
      <c r="AB58" s="143">
        <f>'Raw Results 2024'!AH58</f>
        <v>0</v>
      </c>
      <c r="AC58" s="143">
        <f>'Raw Results 2024'!AJ58</f>
        <v>0</v>
      </c>
      <c r="AD58" s="143">
        <f>'Raw Results 2024'!AL58</f>
        <v>0</v>
      </c>
      <c r="AE58" s="155" t="e">
        <f t="shared" si="17"/>
        <v>#DIV/0!</v>
      </c>
      <c r="AF58" s="143">
        <f>'Raw Results 2024'!AN58</f>
        <v>0</v>
      </c>
      <c r="AG58" s="143">
        <f>'Raw Results 2024'!AP58</f>
        <v>0</v>
      </c>
      <c r="AH58" s="143">
        <f>'Raw Results 2024'!AR58</f>
        <v>0</v>
      </c>
      <c r="AI58" s="155" t="e">
        <f t="shared" si="18"/>
        <v>#DIV/0!</v>
      </c>
      <c r="AJ58" s="143">
        <f>'Raw Results 2024'!AT58</f>
        <v>0</v>
      </c>
      <c r="AK58" s="143">
        <f>'Raw Results 2024'!AV58</f>
        <v>0</v>
      </c>
      <c r="AL58" s="143">
        <f>'Raw Results 2024'!AX58</f>
        <v>0</v>
      </c>
      <c r="AM58" s="155" t="e">
        <f t="shared" si="19"/>
        <v>#DIV/0!</v>
      </c>
      <c r="AN58" s="143">
        <f>'Raw Results 2024'!AZ58</f>
        <v>0</v>
      </c>
      <c r="AO58" s="143">
        <f>'Raw Results 2024'!BB58</f>
        <v>0</v>
      </c>
      <c r="AP58" s="143">
        <f>'Raw Results 2024'!BD58</f>
        <v>0</v>
      </c>
      <c r="AQ58" s="155" t="e">
        <f t="shared" si="20"/>
        <v>#DIV/0!</v>
      </c>
      <c r="AT58" s="152">
        <f t="shared" si="37"/>
        <v>79708098.390000001</v>
      </c>
      <c r="AU58" s="152">
        <f t="shared" si="38"/>
        <v>107377290.59</v>
      </c>
      <c r="AV58" s="152">
        <f t="shared" si="39"/>
        <v>113253570.83</v>
      </c>
      <c r="AW58" s="155">
        <f t="shared" si="21"/>
        <v>5.4725540267517699E-2</v>
      </c>
      <c r="AY58" s="152">
        <f t="shared" si="40"/>
        <v>11146606.399999999</v>
      </c>
      <c r="AZ58" s="152">
        <f t="shared" si="41"/>
        <v>14681869.289999999</v>
      </c>
      <c r="BA58" s="152">
        <f t="shared" si="42"/>
        <v>17368907.939999998</v>
      </c>
      <c r="BB58" s="155">
        <f t="shared" si="22"/>
        <v>0.18301747529043685</v>
      </c>
      <c r="BD58" s="152">
        <f t="shared" si="43"/>
        <v>2948741.64</v>
      </c>
      <c r="BE58" s="152">
        <f t="shared" si="44"/>
        <v>3804375.6</v>
      </c>
      <c r="BF58" s="152">
        <f t="shared" si="45"/>
        <v>4224675.5</v>
      </c>
      <c r="BG58" s="155">
        <f t="shared" si="23"/>
        <v>0.11047802430443511</v>
      </c>
      <c r="BJ58" s="152">
        <f t="shared" si="46"/>
        <v>93803446.429999992</v>
      </c>
      <c r="BK58" s="152">
        <f t="shared" si="47"/>
        <v>125863535.47999999</v>
      </c>
      <c r="BL58" s="152">
        <f t="shared" si="48"/>
        <v>134847154.26999998</v>
      </c>
      <c r="BM58" s="155">
        <f t="shared" si="24"/>
        <v>7.1375865581239054E-2</v>
      </c>
    </row>
    <row r="59" spans="1:65">
      <c r="A59" t="s">
        <v>407</v>
      </c>
      <c r="B59">
        <v>0</v>
      </c>
      <c r="C59" t="s">
        <v>436</v>
      </c>
      <c r="D59" t="s">
        <v>437</v>
      </c>
      <c r="F59" t="s">
        <v>462</v>
      </c>
      <c r="G59" t="s">
        <v>463</v>
      </c>
      <c r="H59" s="143">
        <f>'Raw Results 2024'!G59</f>
        <v>5636041.8399999999</v>
      </c>
      <c r="I59" s="143">
        <f>'Raw Results 2024'!H59</f>
        <v>7016576.0199999996</v>
      </c>
      <c r="J59" s="143">
        <f>'Raw Results 2024'!J59</f>
        <v>6890920.04</v>
      </c>
      <c r="K59" s="155">
        <f t="shared" si="12"/>
        <v>-1.7908447031975507E-2</v>
      </c>
      <c r="L59" s="143">
        <f>'Raw Results 2024'!L59</f>
        <v>10447421.07</v>
      </c>
      <c r="M59" s="143">
        <f>'Raw Results 2024'!N59</f>
        <v>13479447.060000001</v>
      </c>
      <c r="N59" s="143">
        <f>'Raw Results 2024'!P59</f>
        <v>13527257.77</v>
      </c>
      <c r="O59" s="155">
        <f t="shared" si="13"/>
        <v>3.5469340683770621E-3</v>
      </c>
      <c r="P59" s="143">
        <f>'Raw Results 2024'!R59</f>
        <v>19548502.489999998</v>
      </c>
      <c r="Q59" s="143">
        <f>'Raw Results 2024'!T59</f>
        <v>25221367.460000001</v>
      </c>
      <c r="R59" s="143">
        <f>'Raw Results 2024'!V59</f>
        <v>26357837.239999998</v>
      </c>
      <c r="S59" s="155">
        <f t="shared" si="14"/>
        <v>4.5059800258744474E-2</v>
      </c>
      <c r="T59" s="143">
        <f>'Raw Results 2024'!Y59</f>
        <v>536619333.05000001</v>
      </c>
      <c r="U59" s="143">
        <f>'Raw Results 2024'!Z59</f>
        <v>723495563.37</v>
      </c>
      <c r="V59" s="143">
        <f>'Raw Results 2024'!AB59</f>
        <v>614316411.20000005</v>
      </c>
      <c r="W59" s="155">
        <f t="shared" si="15"/>
        <v>-0.15090507488594657</v>
      </c>
      <c r="X59" s="143">
        <f>'Raw Results 2024'!AD59</f>
        <v>61684983.32</v>
      </c>
      <c r="Y59" s="143">
        <f>'Raw Results 2024'!AE59</f>
        <v>81547163.939999998</v>
      </c>
      <c r="Z59" s="143">
        <f>'Raw Results 2024'!AF59</f>
        <v>88659574.400000006</v>
      </c>
      <c r="AA59" s="155">
        <f t="shared" si="16"/>
        <v>8.7218366848822726E-2</v>
      </c>
      <c r="AB59" s="143">
        <f>'Raw Results 2024'!AH59</f>
        <v>0</v>
      </c>
      <c r="AC59" s="143">
        <f>'Raw Results 2024'!AJ59</f>
        <v>0</v>
      </c>
      <c r="AD59" s="143">
        <f>'Raw Results 2024'!AL59</f>
        <v>0</v>
      </c>
      <c r="AE59" s="155" t="e">
        <f t="shared" si="17"/>
        <v>#DIV/0!</v>
      </c>
      <c r="AF59" s="143">
        <f>'Raw Results 2024'!AN59</f>
        <v>0</v>
      </c>
      <c r="AG59" s="143">
        <f>'Raw Results 2024'!AP59</f>
        <v>0</v>
      </c>
      <c r="AH59" s="143">
        <f>'Raw Results 2024'!AR59</f>
        <v>0</v>
      </c>
      <c r="AI59" s="155" t="e">
        <f t="shared" si="18"/>
        <v>#DIV/0!</v>
      </c>
      <c r="AJ59" s="143">
        <f>'Raw Results 2024'!AT59</f>
        <v>0</v>
      </c>
      <c r="AK59" s="143">
        <f>'Raw Results 2024'!AV59</f>
        <v>0</v>
      </c>
      <c r="AL59" s="143">
        <f>'Raw Results 2024'!AX59</f>
        <v>0</v>
      </c>
      <c r="AM59" s="155" t="e">
        <f t="shared" si="19"/>
        <v>#DIV/0!</v>
      </c>
      <c r="AN59" s="143">
        <f>'Raw Results 2024'!AZ59</f>
        <v>0</v>
      </c>
      <c r="AO59" s="143">
        <f>'Raw Results 2024'!BB59</f>
        <v>0</v>
      </c>
      <c r="AP59" s="143">
        <f>'Raw Results 2024'!BD59</f>
        <v>0</v>
      </c>
      <c r="AQ59" s="155" t="e">
        <f t="shared" si="20"/>
        <v>#DIV/0!</v>
      </c>
      <c r="AT59" s="152">
        <f t="shared" si="37"/>
        <v>542255374.88999999</v>
      </c>
      <c r="AU59" s="152">
        <f t="shared" si="38"/>
        <v>730512139.38999999</v>
      </c>
      <c r="AV59" s="152">
        <f t="shared" si="39"/>
        <v>621207331.24000001</v>
      </c>
      <c r="AW59" s="155">
        <f t="shared" si="21"/>
        <v>-0.1496276410153469</v>
      </c>
      <c r="AY59" s="152">
        <f t="shared" si="40"/>
        <v>72132404.390000001</v>
      </c>
      <c r="AZ59" s="152">
        <f t="shared" si="41"/>
        <v>95026611</v>
      </c>
      <c r="BA59" s="152">
        <f t="shared" si="42"/>
        <v>102186832.17</v>
      </c>
      <c r="BB59" s="155">
        <f t="shared" si="22"/>
        <v>7.534964253328999E-2</v>
      </c>
      <c r="BD59" s="152">
        <f t="shared" si="43"/>
        <v>19548502.489999998</v>
      </c>
      <c r="BE59" s="152">
        <f t="shared" si="44"/>
        <v>25221367.460000001</v>
      </c>
      <c r="BF59" s="152">
        <f t="shared" si="45"/>
        <v>26357837.239999998</v>
      </c>
      <c r="BG59" s="155">
        <f t="shared" si="23"/>
        <v>4.5059800258744474E-2</v>
      </c>
      <c r="BJ59" s="152">
        <f t="shared" si="46"/>
        <v>633936281.76999998</v>
      </c>
      <c r="BK59" s="152">
        <f t="shared" si="47"/>
        <v>850760117.85000002</v>
      </c>
      <c r="BL59" s="152">
        <f t="shared" si="48"/>
        <v>749752000.64999998</v>
      </c>
      <c r="BM59" s="155">
        <f t="shared" si="24"/>
        <v>-0.11872690677515878</v>
      </c>
    </row>
    <row r="60" spans="1:65">
      <c r="A60" t="s">
        <v>407</v>
      </c>
      <c r="B60">
        <v>0</v>
      </c>
      <c r="C60" t="s">
        <v>436</v>
      </c>
      <c r="D60" t="s">
        <v>437</v>
      </c>
      <c r="F60" t="s">
        <v>433</v>
      </c>
      <c r="G60" t="s">
        <v>434</v>
      </c>
      <c r="H60" s="143">
        <f>'Raw Results 2024'!G60</f>
        <v>3736567.09</v>
      </c>
      <c r="I60" s="143">
        <f>'Raw Results 2024'!H60</f>
        <v>4651829.78</v>
      </c>
      <c r="J60" s="143">
        <f>'Raw Results 2024'!J60</f>
        <v>4583201.91</v>
      </c>
      <c r="K60" s="155">
        <f t="shared" si="12"/>
        <v>-1.4752876447684658E-2</v>
      </c>
      <c r="L60" s="143">
        <f>'Raw Results 2024'!L60</f>
        <v>7130814.1500000004</v>
      </c>
      <c r="M60" s="143">
        <f>'Raw Results 2024'!N60</f>
        <v>9200303.3000000007</v>
      </c>
      <c r="N60" s="143">
        <f>'Raw Results 2024'!P60</f>
        <v>9312384.4199999999</v>
      </c>
      <c r="O60" s="155">
        <f t="shared" si="13"/>
        <v>1.218232881518147E-2</v>
      </c>
      <c r="P60" s="143">
        <f>'Raw Results 2024'!R60</f>
        <v>13331334.16</v>
      </c>
      <c r="Q60" s="143">
        <f>'Raw Results 2024'!T60</f>
        <v>17200009.5</v>
      </c>
      <c r="R60" s="143">
        <f>'Raw Results 2024'!V60</f>
        <v>18195269.84</v>
      </c>
      <c r="S60" s="155">
        <f t="shared" si="14"/>
        <v>5.7863941296078927E-2</v>
      </c>
      <c r="T60" s="143">
        <f>'Raw Results 2024'!Y60</f>
        <v>367815855.05000001</v>
      </c>
      <c r="U60" s="143">
        <f>'Raw Results 2024'!Z60</f>
        <v>495906952.12</v>
      </c>
      <c r="V60" s="143">
        <f>'Raw Results 2024'!AB60</f>
        <v>432337895.62</v>
      </c>
      <c r="W60" s="155">
        <f t="shared" si="15"/>
        <v>-0.12818746788735783</v>
      </c>
      <c r="X60" s="143">
        <f>'Raw Results 2024'!AD60</f>
        <v>48304885</v>
      </c>
      <c r="Y60" s="143">
        <f>'Raw Results 2024'!AE60</f>
        <v>63858754.32</v>
      </c>
      <c r="Z60" s="143">
        <f>'Raw Results 2024'!AF60</f>
        <v>69882679.219999999</v>
      </c>
      <c r="AA60" s="155">
        <f t="shared" si="16"/>
        <v>9.4332013897636555E-2</v>
      </c>
      <c r="AB60" s="143">
        <f>'Raw Results 2024'!AH60</f>
        <v>0</v>
      </c>
      <c r="AC60" s="143">
        <f>'Raw Results 2024'!AJ60</f>
        <v>0</v>
      </c>
      <c r="AD60" s="143">
        <f>'Raw Results 2024'!AL60</f>
        <v>0</v>
      </c>
      <c r="AE60" s="155" t="e">
        <f t="shared" si="17"/>
        <v>#DIV/0!</v>
      </c>
      <c r="AF60" s="143">
        <f>'Raw Results 2024'!AN60</f>
        <v>0</v>
      </c>
      <c r="AG60" s="143">
        <f>'Raw Results 2024'!AP60</f>
        <v>0</v>
      </c>
      <c r="AH60" s="143">
        <f>'Raw Results 2024'!AR60</f>
        <v>0</v>
      </c>
      <c r="AI60" s="155" t="e">
        <f t="shared" si="18"/>
        <v>#DIV/0!</v>
      </c>
      <c r="AJ60" s="143">
        <f>'Raw Results 2024'!AT60</f>
        <v>0</v>
      </c>
      <c r="AK60" s="143">
        <f>'Raw Results 2024'!AV60</f>
        <v>0</v>
      </c>
      <c r="AL60" s="143">
        <f>'Raw Results 2024'!AX60</f>
        <v>0</v>
      </c>
      <c r="AM60" s="155" t="e">
        <f t="shared" si="19"/>
        <v>#DIV/0!</v>
      </c>
      <c r="AN60" s="143">
        <f>'Raw Results 2024'!AZ60</f>
        <v>0</v>
      </c>
      <c r="AO60" s="143">
        <f>'Raw Results 2024'!BB60</f>
        <v>0</v>
      </c>
      <c r="AP60" s="143">
        <f>'Raw Results 2024'!BD60</f>
        <v>0</v>
      </c>
      <c r="AQ60" s="155" t="e">
        <f t="shared" si="20"/>
        <v>#DIV/0!</v>
      </c>
      <c r="AT60" s="152">
        <f t="shared" si="37"/>
        <v>371552422.13999999</v>
      </c>
      <c r="AU60" s="152">
        <f t="shared" si="38"/>
        <v>500558781.89999998</v>
      </c>
      <c r="AV60" s="152">
        <f t="shared" si="39"/>
        <v>436921097.53000003</v>
      </c>
      <c r="AW60" s="155">
        <f t="shared" si="21"/>
        <v>-0.12713328917823938</v>
      </c>
      <c r="AY60" s="152">
        <f t="shared" si="40"/>
        <v>55435699.149999999</v>
      </c>
      <c r="AZ60" s="152">
        <f t="shared" si="41"/>
        <v>73059057.620000005</v>
      </c>
      <c r="BA60" s="152">
        <f t="shared" si="42"/>
        <v>79195063.640000001</v>
      </c>
      <c r="BB60" s="155">
        <f t="shared" si="22"/>
        <v>8.3986930845933283E-2</v>
      </c>
      <c r="BD60" s="152">
        <f t="shared" si="43"/>
        <v>13331334.16</v>
      </c>
      <c r="BE60" s="152">
        <f t="shared" si="44"/>
        <v>17200009.5</v>
      </c>
      <c r="BF60" s="152">
        <f t="shared" si="45"/>
        <v>18195269.84</v>
      </c>
      <c r="BG60" s="155">
        <f t="shared" si="23"/>
        <v>5.7863941296078927E-2</v>
      </c>
      <c r="BJ60" s="152">
        <f t="shared" si="46"/>
        <v>440319455.44999999</v>
      </c>
      <c r="BK60" s="152">
        <f t="shared" si="47"/>
        <v>590817849.01999998</v>
      </c>
      <c r="BL60" s="152">
        <f t="shared" si="48"/>
        <v>534311431.00999999</v>
      </c>
      <c r="BM60" s="155">
        <f t="shared" si="24"/>
        <v>-9.5641013729913862E-2</v>
      </c>
    </row>
    <row r="61" spans="1:65">
      <c r="A61" t="s">
        <v>407</v>
      </c>
      <c r="B61">
        <v>0</v>
      </c>
      <c r="C61" t="s">
        <v>436</v>
      </c>
      <c r="D61" t="s">
        <v>437</v>
      </c>
      <c r="F61" t="s">
        <v>464</v>
      </c>
      <c r="G61" t="s">
        <v>434</v>
      </c>
      <c r="H61" s="143">
        <f>'Raw Results 2024'!G61</f>
        <v>2178347.67</v>
      </c>
      <c r="I61" s="143">
        <f>'Raw Results 2024'!H61</f>
        <v>2711969.75</v>
      </c>
      <c r="J61" s="143">
        <f>'Raw Results 2024'!J61</f>
        <v>2755062.45</v>
      </c>
      <c r="K61" s="155">
        <f t="shared" si="12"/>
        <v>1.5889815880136639E-2</v>
      </c>
      <c r="L61" s="143">
        <f>'Raw Results 2024'!L61</f>
        <v>4185974.19</v>
      </c>
      <c r="M61" s="143">
        <f>'Raw Results 2024'!N61</f>
        <v>5400845.9900000002</v>
      </c>
      <c r="N61" s="143">
        <f>'Raw Results 2024'!P61</f>
        <v>5612014.29</v>
      </c>
      <c r="O61" s="155">
        <f t="shared" si="13"/>
        <v>3.9099115285085147E-2</v>
      </c>
      <c r="P61" s="143">
        <f>'Raw Results 2024'!R61</f>
        <v>7936719.9699999997</v>
      </c>
      <c r="Q61" s="143">
        <f>'Raw Results 2024'!T61</f>
        <v>10239839.560000001</v>
      </c>
      <c r="R61" s="143">
        <f>'Raw Results 2024'!V61</f>
        <v>11072928.23</v>
      </c>
      <c r="S61" s="155">
        <f t="shared" si="14"/>
        <v>8.135759013786735E-2</v>
      </c>
      <c r="T61" s="143">
        <f>'Raw Results 2024'!Y61</f>
        <v>221414812.94999999</v>
      </c>
      <c r="U61" s="143">
        <f>'Raw Results 2024'!Z61</f>
        <v>298529845.44</v>
      </c>
      <c r="V61" s="143">
        <f>'Raw Results 2024'!AB61</f>
        <v>252150823.03</v>
      </c>
      <c r="W61" s="155">
        <f t="shared" si="15"/>
        <v>-0.1553580759794467</v>
      </c>
      <c r="X61" s="143">
        <f>'Raw Results 2024'!AD61</f>
        <v>30099805.23</v>
      </c>
      <c r="Y61" s="143">
        <f>'Raw Results 2024'!AE61</f>
        <v>39791679.75</v>
      </c>
      <c r="Z61" s="143">
        <f>'Raw Results 2024'!AF61</f>
        <v>42224005.530000001</v>
      </c>
      <c r="AA61" s="155">
        <f t="shared" si="16"/>
        <v>6.1126491650556704E-2</v>
      </c>
      <c r="AB61" s="143">
        <f>'Raw Results 2024'!AH61</f>
        <v>0</v>
      </c>
      <c r="AC61" s="143">
        <f>'Raw Results 2024'!AJ61</f>
        <v>0</v>
      </c>
      <c r="AD61" s="143">
        <f>'Raw Results 2024'!AL61</f>
        <v>0</v>
      </c>
      <c r="AE61" s="155" t="e">
        <f t="shared" si="17"/>
        <v>#DIV/0!</v>
      </c>
      <c r="AF61" s="143">
        <f>'Raw Results 2024'!AN61</f>
        <v>0</v>
      </c>
      <c r="AG61" s="143">
        <f>'Raw Results 2024'!AP61</f>
        <v>0</v>
      </c>
      <c r="AH61" s="143">
        <f>'Raw Results 2024'!AR61</f>
        <v>0</v>
      </c>
      <c r="AI61" s="155" t="e">
        <f t="shared" si="18"/>
        <v>#DIV/0!</v>
      </c>
      <c r="AJ61" s="143">
        <f>'Raw Results 2024'!AT61</f>
        <v>0</v>
      </c>
      <c r="AK61" s="143">
        <f>'Raw Results 2024'!AV61</f>
        <v>0</v>
      </c>
      <c r="AL61" s="143">
        <f>'Raw Results 2024'!AX61</f>
        <v>0</v>
      </c>
      <c r="AM61" s="155" t="e">
        <f t="shared" si="19"/>
        <v>#DIV/0!</v>
      </c>
      <c r="AN61" s="143">
        <f>'Raw Results 2024'!AZ61</f>
        <v>0</v>
      </c>
      <c r="AO61" s="143">
        <f>'Raw Results 2024'!BB61</f>
        <v>0</v>
      </c>
      <c r="AP61" s="143">
        <f>'Raw Results 2024'!BD61</f>
        <v>0</v>
      </c>
      <c r="AQ61" s="155" t="e">
        <f t="shared" si="20"/>
        <v>#DIV/0!</v>
      </c>
      <c r="AT61" s="152">
        <f t="shared" si="37"/>
        <v>223593160.61999997</v>
      </c>
      <c r="AU61" s="152">
        <f t="shared" si="38"/>
        <v>301241815.19</v>
      </c>
      <c r="AV61" s="152">
        <f t="shared" si="39"/>
        <v>254905885.47999999</v>
      </c>
      <c r="AW61" s="155">
        <f t="shared" si="21"/>
        <v>-0.15381639391853649</v>
      </c>
      <c r="AY61" s="152">
        <f t="shared" si="40"/>
        <v>34285779.420000002</v>
      </c>
      <c r="AZ61" s="152">
        <f t="shared" si="41"/>
        <v>45192525.740000002</v>
      </c>
      <c r="BA61" s="152">
        <f t="shared" si="42"/>
        <v>47836019.82</v>
      </c>
      <c r="BB61" s="155">
        <f t="shared" si="22"/>
        <v>5.8494054862267546E-2</v>
      </c>
      <c r="BD61" s="152">
        <f t="shared" si="43"/>
        <v>7936719.9699999997</v>
      </c>
      <c r="BE61" s="152">
        <f t="shared" si="44"/>
        <v>10239839.560000001</v>
      </c>
      <c r="BF61" s="152">
        <f t="shared" si="45"/>
        <v>11072928.23</v>
      </c>
      <c r="BG61" s="155">
        <f t="shared" si="23"/>
        <v>8.135759013786735E-2</v>
      </c>
      <c r="BJ61" s="152">
        <f t="shared" si="46"/>
        <v>265815660.00999996</v>
      </c>
      <c r="BK61" s="152">
        <f t="shared" si="47"/>
        <v>356674180.49000001</v>
      </c>
      <c r="BL61" s="152">
        <f t="shared" si="48"/>
        <v>313814833.53000003</v>
      </c>
      <c r="BM61" s="155">
        <f t="shared" si="24"/>
        <v>-0.12016386187842272</v>
      </c>
    </row>
    <row r="62" spans="1:65">
      <c r="A62" t="s">
        <v>407</v>
      </c>
      <c r="B62">
        <v>0</v>
      </c>
      <c r="C62" t="s">
        <v>436</v>
      </c>
      <c r="D62" t="s">
        <v>437</v>
      </c>
      <c r="F62" t="s">
        <v>465</v>
      </c>
      <c r="G62" t="s">
        <v>434</v>
      </c>
      <c r="H62" s="143">
        <f>'Raw Results 2024'!G62</f>
        <v>52298.06</v>
      </c>
      <c r="I62" s="143">
        <f>'Raw Results 2024'!H62</f>
        <v>65059.040000000001</v>
      </c>
      <c r="J62" s="143">
        <f>'Raw Results 2024'!J62</f>
        <v>65419.65</v>
      </c>
      <c r="K62" s="155">
        <f t="shared" si="12"/>
        <v>5.5428115754551643E-3</v>
      </c>
      <c r="L62" s="143">
        <f>'Raw Results 2024'!L62</f>
        <v>95485.93</v>
      </c>
      <c r="M62" s="143">
        <f>'Raw Results 2024'!N62</f>
        <v>123165.13</v>
      </c>
      <c r="N62" s="143">
        <f>'Raw Results 2024'!P62</f>
        <v>125556.37</v>
      </c>
      <c r="O62" s="155">
        <f t="shared" si="13"/>
        <v>1.9414910697532577E-2</v>
      </c>
      <c r="P62" s="143">
        <f>'Raw Results 2024'!R62</f>
        <v>238228.92</v>
      </c>
      <c r="Q62" s="143">
        <f>'Raw Results 2024'!T62</f>
        <v>307441.01</v>
      </c>
      <c r="R62" s="143">
        <f>'Raw Results 2024'!V62</f>
        <v>311253.09000000003</v>
      </c>
      <c r="S62" s="155">
        <f t="shared" si="14"/>
        <v>1.2399386796185767E-2</v>
      </c>
      <c r="T62" s="143">
        <f>'Raw Results 2024'!Y62</f>
        <v>6623124.2000000002</v>
      </c>
      <c r="U62" s="143">
        <f>'Raw Results 2024'!Z62</f>
        <v>8921209.9299999997</v>
      </c>
      <c r="V62" s="143">
        <f>'Raw Results 2024'!AB62</f>
        <v>7059842.71</v>
      </c>
      <c r="W62" s="155">
        <f t="shared" si="15"/>
        <v>-0.2086451540323746</v>
      </c>
      <c r="X62" s="143">
        <f>'Raw Results 2024'!AD62</f>
        <v>561046.54</v>
      </c>
      <c r="Y62" s="143">
        <f>'Raw Results 2024'!AE62</f>
        <v>741780.61</v>
      </c>
      <c r="Z62" s="143">
        <f>'Raw Results 2024'!AF62</f>
        <v>826042.17</v>
      </c>
      <c r="AA62" s="155">
        <f t="shared" si="16"/>
        <v>0.11359364057790626</v>
      </c>
      <c r="AB62" s="143">
        <f>'Raw Results 2024'!AH62</f>
        <v>0</v>
      </c>
      <c r="AC62" s="143">
        <f>'Raw Results 2024'!AJ62</f>
        <v>0</v>
      </c>
      <c r="AD62" s="143">
        <f>'Raw Results 2024'!AL62</f>
        <v>0</v>
      </c>
      <c r="AE62" s="155" t="e">
        <f t="shared" si="17"/>
        <v>#DIV/0!</v>
      </c>
      <c r="AF62" s="143">
        <f>'Raw Results 2024'!AN62</f>
        <v>0</v>
      </c>
      <c r="AG62" s="143">
        <f>'Raw Results 2024'!AP62</f>
        <v>0</v>
      </c>
      <c r="AH62" s="143">
        <f>'Raw Results 2024'!AR62</f>
        <v>0</v>
      </c>
      <c r="AI62" s="155" t="e">
        <f t="shared" si="18"/>
        <v>#DIV/0!</v>
      </c>
      <c r="AJ62" s="143">
        <f>'Raw Results 2024'!AT62</f>
        <v>0</v>
      </c>
      <c r="AK62" s="143">
        <f>'Raw Results 2024'!AV62</f>
        <v>0</v>
      </c>
      <c r="AL62" s="143">
        <f>'Raw Results 2024'!AX62</f>
        <v>0</v>
      </c>
      <c r="AM62" s="155" t="e">
        <f t="shared" si="19"/>
        <v>#DIV/0!</v>
      </c>
      <c r="AN62" s="143">
        <f>'Raw Results 2024'!AZ62</f>
        <v>0</v>
      </c>
      <c r="AO62" s="143">
        <f>'Raw Results 2024'!BB62</f>
        <v>0</v>
      </c>
      <c r="AP62" s="143">
        <f>'Raw Results 2024'!BD62</f>
        <v>0</v>
      </c>
      <c r="AQ62" s="155" t="e">
        <f t="shared" si="20"/>
        <v>#DIV/0!</v>
      </c>
      <c r="AT62" s="152">
        <f t="shared" si="37"/>
        <v>6675422.2599999998</v>
      </c>
      <c r="AU62" s="152">
        <f t="shared" si="38"/>
        <v>8986268.9699999988</v>
      </c>
      <c r="AV62" s="152">
        <f t="shared" si="39"/>
        <v>7125262.3600000003</v>
      </c>
      <c r="AW62" s="155">
        <f t="shared" si="21"/>
        <v>-0.20709447004233156</v>
      </c>
      <c r="AY62" s="152">
        <f t="shared" si="40"/>
        <v>656532.47</v>
      </c>
      <c r="AZ62" s="152">
        <f t="shared" si="41"/>
        <v>864945.74</v>
      </c>
      <c r="BA62" s="152">
        <f t="shared" si="42"/>
        <v>951598.54</v>
      </c>
      <c r="BB62" s="155">
        <f t="shared" si="22"/>
        <v>0.10018293170621322</v>
      </c>
      <c r="BD62" s="152">
        <f t="shared" si="43"/>
        <v>238228.92</v>
      </c>
      <c r="BE62" s="152">
        <f t="shared" si="44"/>
        <v>307441.01</v>
      </c>
      <c r="BF62" s="152">
        <f t="shared" si="45"/>
        <v>311253.09000000003</v>
      </c>
      <c r="BG62" s="155">
        <f t="shared" si="23"/>
        <v>1.2399386796185767E-2</v>
      </c>
      <c r="BJ62" s="152">
        <f t="shared" si="46"/>
        <v>7570183.6499999994</v>
      </c>
      <c r="BK62" s="152">
        <f t="shared" si="47"/>
        <v>10158655.719999999</v>
      </c>
      <c r="BL62" s="152">
        <f t="shared" si="48"/>
        <v>8388113.9900000002</v>
      </c>
      <c r="BM62" s="155">
        <f t="shared" si="24"/>
        <v>-0.17428897866025908</v>
      </c>
    </row>
    <row r="63" spans="1:65">
      <c r="A63" t="s">
        <v>407</v>
      </c>
      <c r="B63">
        <v>0</v>
      </c>
      <c r="C63" t="s">
        <v>436</v>
      </c>
      <c r="D63" t="s">
        <v>437</v>
      </c>
      <c r="F63" t="s">
        <v>466</v>
      </c>
      <c r="G63" t="s">
        <v>434</v>
      </c>
      <c r="H63" s="143">
        <f>'Raw Results 2024'!G63</f>
        <v>0</v>
      </c>
      <c r="I63" s="143">
        <f>'Raw Results 2024'!H63</f>
        <v>0</v>
      </c>
      <c r="J63" s="143">
        <f>'Raw Results 2024'!J63</f>
        <v>0</v>
      </c>
      <c r="K63" s="155" t="e">
        <f t="shared" si="12"/>
        <v>#DIV/0!</v>
      </c>
      <c r="L63" s="143">
        <f>'Raw Results 2024'!L63</f>
        <v>0</v>
      </c>
      <c r="M63" s="143">
        <f>'Raw Results 2024'!N63</f>
        <v>0</v>
      </c>
      <c r="N63" s="143">
        <f>'Raw Results 2024'!P63</f>
        <v>0</v>
      </c>
      <c r="O63" s="155" t="e">
        <f t="shared" si="13"/>
        <v>#DIV/0!</v>
      </c>
      <c r="P63" s="143">
        <f>'Raw Results 2024'!R63</f>
        <v>0</v>
      </c>
      <c r="Q63" s="143">
        <f>'Raw Results 2024'!T63</f>
        <v>0</v>
      </c>
      <c r="R63" s="143">
        <f>'Raw Results 2024'!V63</f>
        <v>0</v>
      </c>
      <c r="S63" s="155" t="e">
        <f t="shared" si="14"/>
        <v>#DIV/0!</v>
      </c>
      <c r="T63" s="143">
        <f>'Raw Results 2024'!Y63</f>
        <v>0</v>
      </c>
      <c r="U63" s="143">
        <f>'Raw Results 2024'!Z63</f>
        <v>0</v>
      </c>
      <c r="V63" s="143">
        <f>'Raw Results 2024'!AB63</f>
        <v>0</v>
      </c>
      <c r="W63" s="155" t="e">
        <f t="shared" si="15"/>
        <v>#DIV/0!</v>
      </c>
      <c r="X63" s="143">
        <f>'Raw Results 2024'!AD63</f>
        <v>0</v>
      </c>
      <c r="Y63" s="143">
        <f>'Raw Results 2024'!AE63</f>
        <v>0</v>
      </c>
      <c r="Z63" s="143">
        <f>'Raw Results 2024'!AF63</f>
        <v>0</v>
      </c>
      <c r="AA63" s="155" t="e">
        <f t="shared" si="16"/>
        <v>#DIV/0!</v>
      </c>
      <c r="AB63" s="143">
        <f>'Raw Results 2024'!AH63</f>
        <v>0</v>
      </c>
      <c r="AC63" s="143">
        <f>'Raw Results 2024'!AJ63</f>
        <v>0</v>
      </c>
      <c r="AD63" s="143">
        <f>'Raw Results 2024'!AL63</f>
        <v>0</v>
      </c>
      <c r="AE63" s="155" t="e">
        <f t="shared" si="17"/>
        <v>#DIV/0!</v>
      </c>
      <c r="AF63" s="143">
        <f>'Raw Results 2024'!AN63</f>
        <v>0</v>
      </c>
      <c r="AG63" s="143">
        <f>'Raw Results 2024'!AP63</f>
        <v>0</v>
      </c>
      <c r="AH63" s="143">
        <f>'Raw Results 2024'!AR63</f>
        <v>0</v>
      </c>
      <c r="AI63" s="155" t="e">
        <f t="shared" si="18"/>
        <v>#DIV/0!</v>
      </c>
      <c r="AJ63" s="143">
        <f>'Raw Results 2024'!AT63</f>
        <v>0</v>
      </c>
      <c r="AK63" s="143">
        <f>'Raw Results 2024'!AV63</f>
        <v>0</v>
      </c>
      <c r="AL63" s="143">
        <f>'Raw Results 2024'!AX63</f>
        <v>0</v>
      </c>
      <c r="AM63" s="155" t="e">
        <f t="shared" si="19"/>
        <v>#DIV/0!</v>
      </c>
      <c r="AN63" s="143">
        <f>'Raw Results 2024'!AZ63</f>
        <v>0</v>
      </c>
      <c r="AO63" s="143">
        <f>'Raw Results 2024'!BB63</f>
        <v>0</v>
      </c>
      <c r="AP63" s="143">
        <f>'Raw Results 2024'!BD63</f>
        <v>0</v>
      </c>
      <c r="AQ63" s="155" t="e">
        <f t="shared" si="20"/>
        <v>#DIV/0!</v>
      </c>
      <c r="AT63" s="152">
        <f t="shared" si="37"/>
        <v>0</v>
      </c>
      <c r="AU63" s="152">
        <f t="shared" si="38"/>
        <v>0</v>
      </c>
      <c r="AV63" s="152">
        <f t="shared" si="39"/>
        <v>0</v>
      </c>
      <c r="AW63" s="155" t="e">
        <f t="shared" si="21"/>
        <v>#DIV/0!</v>
      </c>
      <c r="AY63" s="152">
        <f t="shared" si="40"/>
        <v>0</v>
      </c>
      <c r="AZ63" s="152">
        <f t="shared" si="41"/>
        <v>0</v>
      </c>
      <c r="BA63" s="152">
        <f t="shared" si="42"/>
        <v>0</v>
      </c>
      <c r="BB63" s="155" t="e">
        <f t="shared" si="22"/>
        <v>#DIV/0!</v>
      </c>
      <c r="BD63" s="152">
        <f t="shared" si="43"/>
        <v>0</v>
      </c>
      <c r="BE63" s="152">
        <f t="shared" si="44"/>
        <v>0</v>
      </c>
      <c r="BF63" s="152">
        <f t="shared" si="45"/>
        <v>0</v>
      </c>
      <c r="BG63" s="155" t="e">
        <f t="shared" si="23"/>
        <v>#DIV/0!</v>
      </c>
      <c r="BJ63" s="152">
        <f t="shared" si="46"/>
        <v>0</v>
      </c>
      <c r="BK63" s="152">
        <f t="shared" si="47"/>
        <v>0</v>
      </c>
      <c r="BL63" s="152">
        <f t="shared" si="48"/>
        <v>0</v>
      </c>
      <c r="BM63" s="155" t="e">
        <f t="shared" si="24"/>
        <v>#DIV/0!</v>
      </c>
    </row>
    <row r="64" spans="1:65">
      <c r="A64" t="s">
        <v>407</v>
      </c>
      <c r="B64">
        <v>0</v>
      </c>
      <c r="C64" t="s">
        <v>436</v>
      </c>
      <c r="D64" t="s">
        <v>437</v>
      </c>
      <c r="F64" t="s">
        <v>467</v>
      </c>
      <c r="G64" t="s">
        <v>434</v>
      </c>
      <c r="H64" s="143">
        <f>'Raw Results 2024'!G64</f>
        <v>0</v>
      </c>
      <c r="I64" s="143">
        <f>'Raw Results 2024'!H64</f>
        <v>0</v>
      </c>
      <c r="J64" s="143">
        <f>'Raw Results 2024'!J64</f>
        <v>0</v>
      </c>
      <c r="K64" s="155" t="e">
        <f t="shared" si="12"/>
        <v>#DIV/0!</v>
      </c>
      <c r="L64" s="143">
        <f>'Raw Results 2024'!L64</f>
        <v>0</v>
      </c>
      <c r="M64" s="143">
        <f>'Raw Results 2024'!N64</f>
        <v>0</v>
      </c>
      <c r="N64" s="143">
        <f>'Raw Results 2024'!P64</f>
        <v>0</v>
      </c>
      <c r="O64" s="155" t="e">
        <f t="shared" si="13"/>
        <v>#DIV/0!</v>
      </c>
      <c r="P64" s="143">
        <f>'Raw Results 2024'!R64</f>
        <v>0</v>
      </c>
      <c r="Q64" s="143">
        <f>'Raw Results 2024'!T64</f>
        <v>0</v>
      </c>
      <c r="R64" s="143">
        <f>'Raw Results 2024'!V64</f>
        <v>0</v>
      </c>
      <c r="S64" s="155" t="e">
        <f t="shared" si="14"/>
        <v>#DIV/0!</v>
      </c>
      <c r="T64" s="143">
        <f>'Raw Results 2024'!Y64</f>
        <v>0</v>
      </c>
      <c r="U64" s="143">
        <f>'Raw Results 2024'!Z64</f>
        <v>0</v>
      </c>
      <c r="V64" s="143">
        <f>'Raw Results 2024'!AB64</f>
        <v>0</v>
      </c>
      <c r="W64" s="155" t="e">
        <f t="shared" si="15"/>
        <v>#DIV/0!</v>
      </c>
      <c r="X64" s="143">
        <f>'Raw Results 2024'!AD64</f>
        <v>0</v>
      </c>
      <c r="Y64" s="143">
        <f>'Raw Results 2024'!AE64</f>
        <v>0</v>
      </c>
      <c r="Z64" s="143">
        <f>'Raw Results 2024'!AF64</f>
        <v>0</v>
      </c>
      <c r="AA64" s="155" t="e">
        <f t="shared" si="16"/>
        <v>#DIV/0!</v>
      </c>
      <c r="AB64" s="143">
        <f>'Raw Results 2024'!AH64</f>
        <v>0</v>
      </c>
      <c r="AC64" s="143">
        <f>'Raw Results 2024'!AJ64</f>
        <v>0</v>
      </c>
      <c r="AD64" s="143">
        <f>'Raw Results 2024'!AL64</f>
        <v>0</v>
      </c>
      <c r="AE64" s="155" t="e">
        <f t="shared" si="17"/>
        <v>#DIV/0!</v>
      </c>
      <c r="AF64" s="143">
        <f>'Raw Results 2024'!AN64</f>
        <v>0</v>
      </c>
      <c r="AG64" s="143">
        <f>'Raw Results 2024'!AP64</f>
        <v>0</v>
      </c>
      <c r="AH64" s="143">
        <f>'Raw Results 2024'!AR64</f>
        <v>0</v>
      </c>
      <c r="AI64" s="155" t="e">
        <f t="shared" si="18"/>
        <v>#DIV/0!</v>
      </c>
      <c r="AJ64" s="143">
        <f>'Raw Results 2024'!AT64</f>
        <v>0</v>
      </c>
      <c r="AK64" s="143">
        <f>'Raw Results 2024'!AV64</f>
        <v>0</v>
      </c>
      <c r="AL64" s="143">
        <f>'Raw Results 2024'!AX64</f>
        <v>0</v>
      </c>
      <c r="AM64" s="155" t="e">
        <f t="shared" si="19"/>
        <v>#DIV/0!</v>
      </c>
      <c r="AN64" s="143">
        <f>'Raw Results 2024'!AZ64</f>
        <v>0</v>
      </c>
      <c r="AO64" s="143">
        <f>'Raw Results 2024'!BB64</f>
        <v>0</v>
      </c>
      <c r="AP64" s="143">
        <f>'Raw Results 2024'!BD64</f>
        <v>0</v>
      </c>
      <c r="AQ64" s="155" t="e">
        <f t="shared" si="20"/>
        <v>#DIV/0!</v>
      </c>
      <c r="AT64" s="152">
        <f t="shared" si="37"/>
        <v>0</v>
      </c>
      <c r="AU64" s="152">
        <f t="shared" si="38"/>
        <v>0</v>
      </c>
      <c r="AV64" s="152">
        <f t="shared" si="39"/>
        <v>0</v>
      </c>
      <c r="AW64" s="155" t="e">
        <f t="shared" si="21"/>
        <v>#DIV/0!</v>
      </c>
      <c r="AY64" s="152">
        <f t="shared" si="40"/>
        <v>0</v>
      </c>
      <c r="AZ64" s="152">
        <f t="shared" si="41"/>
        <v>0</v>
      </c>
      <c r="BA64" s="152">
        <f t="shared" si="42"/>
        <v>0</v>
      </c>
      <c r="BB64" s="155" t="e">
        <f t="shared" si="22"/>
        <v>#DIV/0!</v>
      </c>
      <c r="BD64" s="152">
        <f t="shared" si="43"/>
        <v>0</v>
      </c>
      <c r="BE64" s="152">
        <f t="shared" si="44"/>
        <v>0</v>
      </c>
      <c r="BF64" s="152">
        <f t="shared" si="45"/>
        <v>0</v>
      </c>
      <c r="BG64" s="155" t="e">
        <f t="shared" si="23"/>
        <v>#DIV/0!</v>
      </c>
      <c r="BJ64" s="152">
        <f t="shared" si="46"/>
        <v>0</v>
      </c>
      <c r="BK64" s="152">
        <f t="shared" si="47"/>
        <v>0</v>
      </c>
      <c r="BL64" s="152">
        <f t="shared" si="48"/>
        <v>0</v>
      </c>
      <c r="BM64" s="155" t="e">
        <f t="shared" si="24"/>
        <v>#DIV/0!</v>
      </c>
    </row>
    <row r="65" spans="1:65">
      <c r="A65" t="s">
        <v>407</v>
      </c>
      <c r="B65">
        <v>0</v>
      </c>
      <c r="C65" t="s">
        <v>436</v>
      </c>
      <c r="D65" t="s">
        <v>437</v>
      </c>
      <c r="F65" t="s">
        <v>468</v>
      </c>
      <c r="G65" t="s">
        <v>434</v>
      </c>
      <c r="H65" s="143">
        <f>'Raw Results 2024'!G65</f>
        <v>259930.66</v>
      </c>
      <c r="I65" s="143">
        <f>'Raw Results 2024'!H65</f>
        <v>323604.95</v>
      </c>
      <c r="J65" s="143">
        <f>'Raw Results 2024'!J65</f>
        <v>433558.07</v>
      </c>
      <c r="K65" s="155">
        <f t="shared" si="12"/>
        <v>0.33977576671803073</v>
      </c>
      <c r="L65" s="143">
        <f>'Raw Results 2024'!L65</f>
        <v>513358.84</v>
      </c>
      <c r="M65" s="143">
        <f>'Raw Results 2024'!N65</f>
        <v>662348.1</v>
      </c>
      <c r="N65" s="143">
        <f>'Raw Results 2024'!P65</f>
        <v>919959.57</v>
      </c>
      <c r="O65" s="155">
        <f t="shared" si="13"/>
        <v>0.38893667846257879</v>
      </c>
      <c r="P65" s="143">
        <f>'Raw Results 2024'!R65</f>
        <v>917330.84</v>
      </c>
      <c r="Q65" s="143">
        <f>'Raw Results 2024'!T65</f>
        <v>1183526.77</v>
      </c>
      <c r="R65" s="143">
        <f>'Raw Results 2024'!V65</f>
        <v>1730157.96</v>
      </c>
      <c r="S65" s="155">
        <f t="shared" si="14"/>
        <v>0.46186635051778335</v>
      </c>
      <c r="T65" s="143">
        <f>'Raw Results 2024'!Y65</f>
        <v>27802049.449999999</v>
      </c>
      <c r="U65" s="143">
        <f>'Raw Results 2024'!Z65</f>
        <v>37485032.799999997</v>
      </c>
      <c r="V65" s="143">
        <f>'Raw Results 2024'!AB65</f>
        <v>47572585.780000001</v>
      </c>
      <c r="W65" s="155">
        <f t="shared" si="15"/>
        <v>0.26910882094786387</v>
      </c>
      <c r="X65" s="143">
        <f>'Raw Results 2024'!AD65</f>
        <v>3731458.71</v>
      </c>
      <c r="Y65" s="143">
        <f>'Raw Results 2024'!AE65</f>
        <v>4932955.8499999996</v>
      </c>
      <c r="Z65" s="143">
        <f>'Raw Results 2024'!AF65</f>
        <v>7218378.6900000004</v>
      </c>
      <c r="AA65" s="155">
        <f t="shared" si="16"/>
        <v>0.46329683652044057</v>
      </c>
      <c r="AB65" s="143">
        <f>'Raw Results 2024'!AH65</f>
        <v>0</v>
      </c>
      <c r="AC65" s="143">
        <f>'Raw Results 2024'!AJ65</f>
        <v>0</v>
      </c>
      <c r="AD65" s="143">
        <f>'Raw Results 2024'!AL65</f>
        <v>0</v>
      </c>
      <c r="AE65" s="155" t="e">
        <f t="shared" si="17"/>
        <v>#DIV/0!</v>
      </c>
      <c r="AF65" s="143">
        <f>'Raw Results 2024'!AN65</f>
        <v>0</v>
      </c>
      <c r="AG65" s="143">
        <f>'Raw Results 2024'!AP65</f>
        <v>0</v>
      </c>
      <c r="AH65" s="143">
        <f>'Raw Results 2024'!AR65</f>
        <v>0</v>
      </c>
      <c r="AI65" s="155" t="e">
        <f t="shared" si="18"/>
        <v>#DIV/0!</v>
      </c>
      <c r="AJ65" s="143">
        <f>'Raw Results 2024'!AT65</f>
        <v>0</v>
      </c>
      <c r="AK65" s="143">
        <f>'Raw Results 2024'!AV65</f>
        <v>0</v>
      </c>
      <c r="AL65" s="143">
        <f>'Raw Results 2024'!AX65</f>
        <v>0</v>
      </c>
      <c r="AM65" s="155" t="e">
        <f t="shared" si="19"/>
        <v>#DIV/0!</v>
      </c>
      <c r="AN65" s="143">
        <f>'Raw Results 2024'!AZ65</f>
        <v>0</v>
      </c>
      <c r="AO65" s="143">
        <f>'Raw Results 2024'!BB65</f>
        <v>0</v>
      </c>
      <c r="AP65" s="143">
        <f>'Raw Results 2024'!BD65</f>
        <v>0</v>
      </c>
      <c r="AQ65" s="155" t="e">
        <f t="shared" si="20"/>
        <v>#DIV/0!</v>
      </c>
      <c r="AT65" s="152">
        <f t="shared" si="37"/>
        <v>28061980.109999999</v>
      </c>
      <c r="AU65" s="152">
        <f t="shared" si="38"/>
        <v>37808637.75</v>
      </c>
      <c r="AV65" s="152">
        <f t="shared" si="39"/>
        <v>48006143.850000001</v>
      </c>
      <c r="AW65" s="155">
        <f t="shared" si="21"/>
        <v>0.26971366086840837</v>
      </c>
      <c r="AY65" s="152">
        <f t="shared" si="40"/>
        <v>4244817.55</v>
      </c>
      <c r="AZ65" s="152">
        <f t="shared" si="41"/>
        <v>5595303.9499999993</v>
      </c>
      <c r="BA65" s="152">
        <f t="shared" si="42"/>
        <v>8138338.2600000007</v>
      </c>
      <c r="BB65" s="155">
        <f t="shared" si="22"/>
        <v>0.45449439971889316</v>
      </c>
      <c r="BD65" s="152">
        <f t="shared" si="43"/>
        <v>917330.84</v>
      </c>
      <c r="BE65" s="152">
        <f t="shared" si="44"/>
        <v>1183526.77</v>
      </c>
      <c r="BF65" s="152">
        <f t="shared" si="45"/>
        <v>1730157.96</v>
      </c>
      <c r="BG65" s="155">
        <f t="shared" si="23"/>
        <v>0.46186635051778335</v>
      </c>
      <c r="BJ65" s="152">
        <f t="shared" si="46"/>
        <v>33224128.5</v>
      </c>
      <c r="BK65" s="152">
        <f t="shared" si="47"/>
        <v>44587468.470000006</v>
      </c>
      <c r="BL65" s="152">
        <f t="shared" si="48"/>
        <v>57874640.07</v>
      </c>
      <c r="BM65" s="155">
        <f t="shared" si="24"/>
        <v>0.2980023772585354</v>
      </c>
    </row>
    <row r="66" spans="1:65">
      <c r="A66" t="s">
        <v>407</v>
      </c>
      <c r="B66">
        <v>0</v>
      </c>
      <c r="C66" t="s">
        <v>436</v>
      </c>
      <c r="D66" t="s">
        <v>437</v>
      </c>
      <c r="F66" t="s">
        <v>469</v>
      </c>
      <c r="G66" t="s">
        <v>434</v>
      </c>
      <c r="H66" s="143">
        <f>'Raw Results 2024'!G66</f>
        <v>616374.34</v>
      </c>
      <c r="I66" s="143">
        <f>'Raw Results 2024'!H66</f>
        <v>767386.18</v>
      </c>
      <c r="J66" s="143">
        <f>'Raw Results 2024'!J66</f>
        <v>765120.65</v>
      </c>
      <c r="K66" s="155">
        <f t="shared" si="12"/>
        <v>-2.9522684393404478E-3</v>
      </c>
      <c r="L66" s="143">
        <f>'Raw Results 2024'!L66</f>
        <v>1166022.8400000001</v>
      </c>
      <c r="M66" s="143">
        <f>'Raw Results 2024'!N66</f>
        <v>1504444.74</v>
      </c>
      <c r="N66" s="143">
        <f>'Raw Results 2024'!P66</f>
        <v>1545211.5</v>
      </c>
      <c r="O66" s="155">
        <f t="shared" si="13"/>
        <v>2.7097545636671248E-2</v>
      </c>
      <c r="P66" s="143">
        <f>'Raw Results 2024'!R66</f>
        <v>2029430.04</v>
      </c>
      <c r="Q66" s="143">
        <f>'Raw Results 2024'!T66</f>
        <v>2618308.1</v>
      </c>
      <c r="R66" s="143">
        <f>'Raw Results 2024'!V66</f>
        <v>2906277.86</v>
      </c>
      <c r="S66" s="155">
        <f t="shared" si="14"/>
        <v>0.10998314522267252</v>
      </c>
      <c r="T66" s="143">
        <f>'Raw Results 2024'!Y66</f>
        <v>54216427.520000003</v>
      </c>
      <c r="U66" s="143">
        <f>'Raw Results 2024'!Z66</f>
        <v>73102180.200000003</v>
      </c>
      <c r="V66" s="143">
        <f>'Raw Results 2024'!AB66</f>
        <v>77113815.879999995</v>
      </c>
      <c r="W66" s="155">
        <f t="shared" si="15"/>
        <v>5.4877100368615164E-2</v>
      </c>
      <c r="X66" s="143">
        <f>'Raw Results 2024'!AD66</f>
        <v>7374233.4000000004</v>
      </c>
      <c r="Y66" s="143">
        <f>'Raw Results 2024'!AE66</f>
        <v>9748638.9800000004</v>
      </c>
      <c r="Z66" s="143">
        <f>'Raw Results 2024'!AF66</f>
        <v>11746379.939999999</v>
      </c>
      <c r="AA66" s="155">
        <f t="shared" si="16"/>
        <v>0.20492511458250748</v>
      </c>
      <c r="AB66" s="143">
        <f>'Raw Results 2024'!AH66</f>
        <v>0</v>
      </c>
      <c r="AC66" s="143">
        <f>'Raw Results 2024'!AJ66</f>
        <v>0</v>
      </c>
      <c r="AD66" s="143">
        <f>'Raw Results 2024'!AL66</f>
        <v>0</v>
      </c>
      <c r="AE66" s="155" t="e">
        <f t="shared" si="17"/>
        <v>#DIV/0!</v>
      </c>
      <c r="AF66" s="143">
        <f>'Raw Results 2024'!AN66</f>
        <v>0</v>
      </c>
      <c r="AG66" s="143">
        <f>'Raw Results 2024'!AP66</f>
        <v>0</v>
      </c>
      <c r="AH66" s="143">
        <f>'Raw Results 2024'!AR66</f>
        <v>0</v>
      </c>
      <c r="AI66" s="155" t="e">
        <f t="shared" si="18"/>
        <v>#DIV/0!</v>
      </c>
      <c r="AJ66" s="143">
        <f>'Raw Results 2024'!AT66</f>
        <v>0</v>
      </c>
      <c r="AK66" s="143">
        <f>'Raw Results 2024'!AV66</f>
        <v>0</v>
      </c>
      <c r="AL66" s="143">
        <f>'Raw Results 2024'!AX66</f>
        <v>0</v>
      </c>
      <c r="AM66" s="155" t="e">
        <f t="shared" si="19"/>
        <v>#DIV/0!</v>
      </c>
      <c r="AN66" s="143">
        <f>'Raw Results 2024'!AZ66</f>
        <v>0</v>
      </c>
      <c r="AO66" s="143">
        <f>'Raw Results 2024'!BB66</f>
        <v>0</v>
      </c>
      <c r="AP66" s="143">
        <f>'Raw Results 2024'!BD66</f>
        <v>0</v>
      </c>
      <c r="AQ66" s="155" t="e">
        <f t="shared" si="20"/>
        <v>#DIV/0!</v>
      </c>
      <c r="AT66" s="152">
        <f t="shared" si="37"/>
        <v>54832801.860000007</v>
      </c>
      <c r="AU66" s="152">
        <f t="shared" si="38"/>
        <v>73869566.38000001</v>
      </c>
      <c r="AV66" s="152">
        <f t="shared" si="39"/>
        <v>77878936.530000001</v>
      </c>
      <c r="AW66" s="155">
        <f t="shared" si="21"/>
        <v>5.4276346085138483E-2</v>
      </c>
      <c r="AY66" s="152">
        <f t="shared" si="40"/>
        <v>8540256.2400000002</v>
      </c>
      <c r="AZ66" s="152">
        <f t="shared" si="41"/>
        <v>11253083.720000001</v>
      </c>
      <c r="BA66" s="152">
        <f t="shared" si="42"/>
        <v>13291591.439999999</v>
      </c>
      <c r="BB66" s="155">
        <f t="shared" si="22"/>
        <v>0.18115103119485176</v>
      </c>
      <c r="BD66" s="152">
        <f t="shared" si="43"/>
        <v>2029430.04</v>
      </c>
      <c r="BE66" s="152">
        <f t="shared" si="44"/>
        <v>2618308.1</v>
      </c>
      <c r="BF66" s="152">
        <f t="shared" si="45"/>
        <v>2906277.86</v>
      </c>
      <c r="BG66" s="155">
        <f t="shared" si="23"/>
        <v>0.10998314522267252</v>
      </c>
      <c r="BJ66" s="152">
        <f t="shared" si="46"/>
        <v>65402488.140000008</v>
      </c>
      <c r="BK66" s="152">
        <f t="shared" si="47"/>
        <v>87740958.200000003</v>
      </c>
      <c r="BL66" s="152">
        <f t="shared" si="48"/>
        <v>94076805.829999998</v>
      </c>
      <c r="BM66" s="155">
        <f t="shared" si="24"/>
        <v>7.2210832431962149E-2</v>
      </c>
    </row>
    <row r="67" spans="1:65">
      <c r="A67" t="s">
        <v>407</v>
      </c>
      <c r="B67">
        <v>0</v>
      </c>
      <c r="C67" t="s">
        <v>436</v>
      </c>
      <c r="D67" t="s">
        <v>437</v>
      </c>
      <c r="F67" t="s">
        <v>470</v>
      </c>
      <c r="G67" t="s">
        <v>434</v>
      </c>
      <c r="H67" s="143">
        <f>'Raw Results 2024'!G67</f>
        <v>586584.73</v>
      </c>
      <c r="I67" s="143">
        <f>'Raw Results 2024'!H67</f>
        <v>730278.31</v>
      </c>
      <c r="J67" s="143">
        <f>'Raw Results 2024'!J67</f>
        <v>509826.78</v>
      </c>
      <c r="K67" s="155">
        <f t="shared" ref="K67:K75" si="49">(J67-I67)/I67</f>
        <v>-0.30187330909499421</v>
      </c>
      <c r="L67" s="143">
        <f>'Raw Results 2024'!L67</f>
        <v>1090615.42</v>
      </c>
      <c r="M67" s="143">
        <f>'Raw Results 2024'!N67</f>
        <v>1407138.62</v>
      </c>
      <c r="N67" s="143">
        <f>'Raw Results 2024'!P67</f>
        <v>1003915.45</v>
      </c>
      <c r="O67" s="155">
        <f t="shared" ref="O67:O75" si="50">(N67-M67)/M67</f>
        <v>-0.28655539992214846</v>
      </c>
      <c r="P67" s="143">
        <f>'Raw Results 2024'!R67</f>
        <v>2007736.07</v>
      </c>
      <c r="Q67" s="143">
        <f>'Raw Results 2024'!T67</f>
        <v>2590351.59</v>
      </c>
      <c r="R67" s="143">
        <f>'Raw Results 2024'!V67</f>
        <v>1910471.6799999999</v>
      </c>
      <c r="S67" s="155">
        <f t="shared" ref="S67:S75" si="51">(R67-Q67)/Q67</f>
        <v>-0.26246626621060348</v>
      </c>
      <c r="T67" s="143">
        <f>'Raw Results 2024'!Y67</f>
        <v>52089816.520000003</v>
      </c>
      <c r="U67" s="143">
        <f>'Raw Results 2024'!Z67</f>
        <v>70231818.129999995</v>
      </c>
      <c r="V67" s="143">
        <f>'Raw Results 2024'!AB67</f>
        <v>42529209.549999997</v>
      </c>
      <c r="W67" s="155">
        <f t="shared" ref="W67:W75" si="52">(V67-U67)/U67</f>
        <v>-0.39444527163916099</v>
      </c>
      <c r="X67" s="143">
        <f>'Raw Results 2024'!AD67</f>
        <v>6064576.7300000004</v>
      </c>
      <c r="Y67" s="143">
        <f>'Raw Results 2024'!AE67</f>
        <v>8017317.5</v>
      </c>
      <c r="Z67" s="143">
        <f>'Raw Results 2024'!AF67</f>
        <v>7161689.21</v>
      </c>
      <c r="AA67" s="155">
        <f t="shared" ref="AA67:AA75" si="53">(Z67-Y67)/Y67</f>
        <v>-0.10672251535504239</v>
      </c>
      <c r="AB67" s="143">
        <f>'Raw Results 2024'!AH67</f>
        <v>0</v>
      </c>
      <c r="AC67" s="143">
        <f>'Raw Results 2024'!AJ67</f>
        <v>0</v>
      </c>
      <c r="AD67" s="143">
        <f>'Raw Results 2024'!AL67</f>
        <v>0</v>
      </c>
      <c r="AE67" s="155" t="e">
        <f t="shared" ref="AE67:AE75" si="54">(AD67-AC67)/AC67</f>
        <v>#DIV/0!</v>
      </c>
      <c r="AF67" s="143">
        <f>'Raw Results 2024'!AN67</f>
        <v>0</v>
      </c>
      <c r="AG67" s="143">
        <f>'Raw Results 2024'!AP67</f>
        <v>0</v>
      </c>
      <c r="AH67" s="143">
        <f>'Raw Results 2024'!AR67</f>
        <v>0</v>
      </c>
      <c r="AI67" s="155" t="e">
        <f t="shared" ref="AI67:AI75" si="55">(AH67-AG67)/AG67</f>
        <v>#DIV/0!</v>
      </c>
      <c r="AJ67" s="143">
        <f>'Raw Results 2024'!AT67</f>
        <v>0</v>
      </c>
      <c r="AK67" s="143">
        <f>'Raw Results 2024'!AV67</f>
        <v>0</v>
      </c>
      <c r="AL67" s="143">
        <f>'Raw Results 2024'!AX67</f>
        <v>0</v>
      </c>
      <c r="AM67" s="155" t="e">
        <f t="shared" ref="AM67:AM75" si="56">(AL67-AK67)/AK67</f>
        <v>#DIV/0!</v>
      </c>
      <c r="AN67" s="143">
        <f>'Raw Results 2024'!AZ67</f>
        <v>0</v>
      </c>
      <c r="AO67" s="143">
        <f>'Raw Results 2024'!BB67</f>
        <v>0</v>
      </c>
      <c r="AP67" s="143">
        <f>'Raw Results 2024'!BD67</f>
        <v>0</v>
      </c>
      <c r="AQ67" s="155" t="e">
        <f t="shared" ref="AQ67:AQ75" si="57">(AP67-AO67)/AO67</f>
        <v>#DIV/0!</v>
      </c>
      <c r="AT67" s="152">
        <f t="shared" si="37"/>
        <v>52676401.25</v>
      </c>
      <c r="AU67" s="152">
        <f t="shared" si="38"/>
        <v>70962096.439999998</v>
      </c>
      <c r="AV67" s="152">
        <f t="shared" si="39"/>
        <v>43039036.329999998</v>
      </c>
      <c r="AW67" s="155">
        <f t="shared" ref="AW67:AW75" si="58">(AV67-AU67)/AU67</f>
        <v>-0.39349260395103403</v>
      </c>
      <c r="AY67" s="152">
        <f t="shared" si="40"/>
        <v>7155192.1500000004</v>
      </c>
      <c r="AZ67" s="152">
        <f t="shared" si="41"/>
        <v>9424456.120000001</v>
      </c>
      <c r="BA67" s="152">
        <f t="shared" si="42"/>
        <v>8165604.6600000001</v>
      </c>
      <c r="BB67" s="155">
        <f t="shared" ref="BB67:BB75" si="59">(BA67-AZ67)/AZ67</f>
        <v>-0.13357284961288576</v>
      </c>
      <c r="BD67" s="152">
        <f t="shared" si="43"/>
        <v>2007736.07</v>
      </c>
      <c r="BE67" s="152">
        <f t="shared" si="44"/>
        <v>2590351.59</v>
      </c>
      <c r="BF67" s="152">
        <f t="shared" si="45"/>
        <v>1910471.6799999999</v>
      </c>
      <c r="BG67" s="155">
        <f t="shared" ref="BG67:BG75" si="60">(BF67-BE67)/BE67</f>
        <v>-0.26246626621060348</v>
      </c>
      <c r="BJ67" s="152">
        <f t="shared" si="46"/>
        <v>61839329.469999999</v>
      </c>
      <c r="BK67" s="152">
        <f t="shared" si="47"/>
        <v>82976904.150000006</v>
      </c>
      <c r="BL67" s="152">
        <f t="shared" si="48"/>
        <v>53115112.669999994</v>
      </c>
      <c r="BM67" s="155">
        <f t="shared" ref="BM67:BM75" si="61">(BL67-BK67)/BK67</f>
        <v>-0.35988076183244794</v>
      </c>
    </row>
    <row r="68" spans="1:65">
      <c r="A68" t="s">
        <v>407</v>
      </c>
      <c r="B68">
        <v>0</v>
      </c>
      <c r="C68" t="s">
        <v>436</v>
      </c>
      <c r="D68" t="s">
        <v>437</v>
      </c>
      <c r="F68" t="s">
        <v>471</v>
      </c>
      <c r="G68" t="s">
        <v>434</v>
      </c>
      <c r="H68" s="143">
        <f>'Raw Results 2024'!G68</f>
        <v>43031.63</v>
      </c>
      <c r="I68" s="143">
        <f>'Raw Results 2024'!H68</f>
        <v>53531.55</v>
      </c>
      <c r="J68" s="143">
        <f>'Raw Results 2024'!J68</f>
        <v>54214.3</v>
      </c>
      <c r="K68" s="155">
        <f t="shared" si="49"/>
        <v>1.2754160864013838E-2</v>
      </c>
      <c r="L68" s="143">
        <f>'Raw Results 2024'!L68</f>
        <v>79356.94</v>
      </c>
      <c r="M68" s="143">
        <f>'Raw Results 2024'!N68</f>
        <v>102360.72</v>
      </c>
      <c r="N68" s="143">
        <f>'Raw Results 2024'!P68</f>
        <v>105727.22</v>
      </c>
      <c r="O68" s="155">
        <f t="shared" si="50"/>
        <v>3.2888592420998994E-2</v>
      </c>
      <c r="P68" s="143">
        <f>'Raw Results 2024'!R68</f>
        <v>201888.32</v>
      </c>
      <c r="Q68" s="143">
        <f>'Raw Results 2024'!T68</f>
        <v>260542.46</v>
      </c>
      <c r="R68" s="143">
        <f>'Raw Results 2024'!V68</f>
        <v>264181.02</v>
      </c>
      <c r="S68" s="155">
        <f t="shared" si="51"/>
        <v>1.3965324500275413E-2</v>
      </c>
      <c r="T68" s="143">
        <f>'Raw Results 2024'!Y68</f>
        <v>5669624.4100000001</v>
      </c>
      <c r="U68" s="143">
        <f>'Raw Results 2024'!Z68</f>
        <v>7636865.6200000001</v>
      </c>
      <c r="V68" s="143">
        <f>'Raw Results 2024'!AB68</f>
        <v>5911618.6699999999</v>
      </c>
      <c r="W68" s="155">
        <f t="shared" si="52"/>
        <v>-0.22591034540162566</v>
      </c>
      <c r="X68" s="143">
        <f>'Raw Results 2024'!AD68</f>
        <v>473764.4</v>
      </c>
      <c r="Y68" s="143">
        <f>'Raw Results 2024'!AE68</f>
        <v>626381.63</v>
      </c>
      <c r="Z68" s="143">
        <f>'Raw Results 2024'!AF68</f>
        <v>706183.67</v>
      </c>
      <c r="AA68" s="155">
        <f t="shared" si="53"/>
        <v>0.1274016289398526</v>
      </c>
      <c r="AB68" s="143">
        <f>'Raw Results 2024'!AH68</f>
        <v>0</v>
      </c>
      <c r="AC68" s="143">
        <f>'Raw Results 2024'!AJ68</f>
        <v>0</v>
      </c>
      <c r="AD68" s="143">
        <f>'Raw Results 2024'!AL68</f>
        <v>0</v>
      </c>
      <c r="AE68" s="155" t="e">
        <f t="shared" si="54"/>
        <v>#DIV/0!</v>
      </c>
      <c r="AF68" s="143">
        <f>'Raw Results 2024'!AN68</f>
        <v>0</v>
      </c>
      <c r="AG68" s="143">
        <f>'Raw Results 2024'!AP68</f>
        <v>0</v>
      </c>
      <c r="AH68" s="143">
        <f>'Raw Results 2024'!AR68</f>
        <v>0</v>
      </c>
      <c r="AI68" s="155" t="e">
        <f t="shared" si="55"/>
        <v>#DIV/0!</v>
      </c>
      <c r="AJ68" s="143">
        <f>'Raw Results 2024'!AT68</f>
        <v>0</v>
      </c>
      <c r="AK68" s="143">
        <f>'Raw Results 2024'!AV68</f>
        <v>0</v>
      </c>
      <c r="AL68" s="143">
        <f>'Raw Results 2024'!AX68</f>
        <v>0</v>
      </c>
      <c r="AM68" s="155" t="e">
        <f t="shared" si="56"/>
        <v>#DIV/0!</v>
      </c>
      <c r="AN68" s="143">
        <f>'Raw Results 2024'!AZ68</f>
        <v>0</v>
      </c>
      <c r="AO68" s="143">
        <f>'Raw Results 2024'!BB68</f>
        <v>0</v>
      </c>
      <c r="AP68" s="143">
        <f>'Raw Results 2024'!BD68</f>
        <v>0</v>
      </c>
      <c r="AQ68" s="155" t="e">
        <f t="shared" si="57"/>
        <v>#DIV/0!</v>
      </c>
      <c r="AT68" s="152">
        <f t="shared" si="37"/>
        <v>5712656.04</v>
      </c>
      <c r="AU68" s="152">
        <f t="shared" si="38"/>
        <v>7690397.1699999999</v>
      </c>
      <c r="AV68" s="152">
        <f t="shared" si="39"/>
        <v>5965832.9699999997</v>
      </c>
      <c r="AW68" s="155">
        <f t="shared" si="58"/>
        <v>-0.22424904226370407</v>
      </c>
      <c r="AY68" s="152">
        <f t="shared" si="40"/>
        <v>553121.34000000008</v>
      </c>
      <c r="AZ68" s="152">
        <f t="shared" si="41"/>
        <v>728742.35</v>
      </c>
      <c r="BA68" s="152">
        <f t="shared" si="42"/>
        <v>811910.89</v>
      </c>
      <c r="BB68" s="155">
        <f t="shared" si="59"/>
        <v>0.11412612427423773</v>
      </c>
      <c r="BD68" s="152">
        <f t="shared" si="43"/>
        <v>201888.32</v>
      </c>
      <c r="BE68" s="152">
        <f t="shared" si="44"/>
        <v>260542.46</v>
      </c>
      <c r="BF68" s="152">
        <f t="shared" si="45"/>
        <v>264181.02</v>
      </c>
      <c r="BG68" s="155">
        <f t="shared" si="60"/>
        <v>1.3965324500275413E-2</v>
      </c>
      <c r="BJ68" s="152">
        <f t="shared" si="46"/>
        <v>6467665.7000000002</v>
      </c>
      <c r="BK68" s="152">
        <f t="shared" si="47"/>
        <v>8679681.9800000004</v>
      </c>
      <c r="BL68" s="152">
        <f t="shared" si="48"/>
        <v>7041924.879999999</v>
      </c>
      <c r="BM68" s="155">
        <f t="shared" si="61"/>
        <v>-0.18868860676851681</v>
      </c>
    </row>
    <row r="69" spans="1:65">
      <c r="A69" t="s">
        <v>407</v>
      </c>
      <c r="B69">
        <v>0</v>
      </c>
      <c r="C69" t="s">
        <v>436</v>
      </c>
      <c r="D69" t="s">
        <v>437</v>
      </c>
      <c r="F69" t="s">
        <v>435</v>
      </c>
      <c r="G69" t="s">
        <v>421</v>
      </c>
      <c r="H69" s="143">
        <f>'Raw Results 2024'!G69</f>
        <v>845.35</v>
      </c>
      <c r="I69" s="143">
        <f>'Raw Results 2024'!H69</f>
        <v>1052.4100000000001</v>
      </c>
      <c r="J69" s="143">
        <f>'Raw Results 2024'!J69</f>
        <v>1136.3699999999999</v>
      </c>
      <c r="K69" s="155">
        <f t="shared" si="49"/>
        <v>7.9778793436018097E-2</v>
      </c>
      <c r="L69" s="143">
        <f>'Raw Results 2024'!L69</f>
        <v>1829.08</v>
      </c>
      <c r="M69" s="143">
        <f>'Raw Results 2024'!N69</f>
        <v>2359.91</v>
      </c>
      <c r="N69" s="143">
        <f>'Raw Results 2024'!P69</f>
        <v>2495.23</v>
      </c>
      <c r="O69" s="155">
        <f t="shared" si="50"/>
        <v>5.7341169790373438E-2</v>
      </c>
      <c r="P69" s="143">
        <f>'Raw Results 2024'!R69</f>
        <v>3156.97</v>
      </c>
      <c r="Q69" s="143">
        <f>'Raw Results 2024'!T69</f>
        <v>4073.11</v>
      </c>
      <c r="R69" s="143">
        <f>'Raw Results 2024'!V69</f>
        <v>4901.57</v>
      </c>
      <c r="S69" s="155">
        <f t="shared" si="51"/>
        <v>0.20339740394931627</v>
      </c>
      <c r="T69" s="143">
        <f>'Raw Results 2024'!Y69</f>
        <v>76591.47</v>
      </c>
      <c r="U69" s="143">
        <f>'Raw Results 2024'!Z69</f>
        <v>103264.1</v>
      </c>
      <c r="V69" s="143">
        <f>'Raw Results 2024'!AB69</f>
        <v>108779.86</v>
      </c>
      <c r="W69" s="155">
        <f t="shared" si="52"/>
        <v>5.3414110034368134E-2</v>
      </c>
      <c r="X69" s="143">
        <f>'Raw Results 2024'!AD69</f>
        <v>8794.84</v>
      </c>
      <c r="Y69" s="143">
        <f>'Raw Results 2024'!AE69</f>
        <v>11626.72</v>
      </c>
      <c r="Z69" s="143">
        <f>'Raw Results 2024'!AF69</f>
        <v>12717.04</v>
      </c>
      <c r="AA69" s="155">
        <f t="shared" si="53"/>
        <v>9.3777092765629649E-2</v>
      </c>
      <c r="AB69" s="143">
        <f>'Raw Results 2024'!AH69</f>
        <v>0</v>
      </c>
      <c r="AC69" s="143">
        <f>'Raw Results 2024'!AJ69</f>
        <v>0</v>
      </c>
      <c r="AD69" s="143">
        <f>'Raw Results 2024'!AL69</f>
        <v>0</v>
      </c>
      <c r="AE69" s="155" t="e">
        <f t="shared" si="54"/>
        <v>#DIV/0!</v>
      </c>
      <c r="AF69" s="143">
        <f>'Raw Results 2024'!AN69</f>
        <v>0</v>
      </c>
      <c r="AG69" s="143">
        <f>'Raw Results 2024'!AP69</f>
        <v>0</v>
      </c>
      <c r="AH69" s="143">
        <f>'Raw Results 2024'!AR69</f>
        <v>0</v>
      </c>
      <c r="AI69" s="155" t="e">
        <f t="shared" si="55"/>
        <v>#DIV/0!</v>
      </c>
      <c r="AJ69" s="143">
        <f>'Raw Results 2024'!AT69</f>
        <v>0</v>
      </c>
      <c r="AK69" s="143">
        <f>'Raw Results 2024'!AV69</f>
        <v>0</v>
      </c>
      <c r="AL69" s="143">
        <f>'Raw Results 2024'!AX69</f>
        <v>0</v>
      </c>
      <c r="AM69" s="155" t="e">
        <f t="shared" si="56"/>
        <v>#DIV/0!</v>
      </c>
      <c r="AN69" s="143">
        <f>'Raw Results 2024'!AZ69</f>
        <v>0</v>
      </c>
      <c r="AO69" s="143">
        <f>'Raw Results 2024'!BB69</f>
        <v>0</v>
      </c>
      <c r="AP69" s="143">
        <f>'Raw Results 2024'!BD69</f>
        <v>0</v>
      </c>
      <c r="AQ69" s="155" t="e">
        <f t="shared" si="57"/>
        <v>#DIV/0!</v>
      </c>
      <c r="AT69" s="152">
        <f t="shared" si="37"/>
        <v>77436.820000000007</v>
      </c>
      <c r="AU69" s="152">
        <f t="shared" si="38"/>
        <v>104316.51000000001</v>
      </c>
      <c r="AV69" s="152">
        <f t="shared" si="39"/>
        <v>109916.23</v>
      </c>
      <c r="AW69" s="155">
        <f t="shared" si="58"/>
        <v>5.3680093400363817E-2</v>
      </c>
      <c r="AY69" s="152">
        <f t="shared" si="40"/>
        <v>10623.92</v>
      </c>
      <c r="AZ69" s="152">
        <f t="shared" si="41"/>
        <v>13986.63</v>
      </c>
      <c r="BA69" s="152">
        <f t="shared" si="42"/>
        <v>15212.27</v>
      </c>
      <c r="BB69" s="155">
        <f t="shared" si="59"/>
        <v>8.7629400363061105E-2</v>
      </c>
      <c r="BD69" s="152">
        <f t="shared" si="43"/>
        <v>3156.97</v>
      </c>
      <c r="BE69" s="152">
        <f t="shared" si="44"/>
        <v>4073.11</v>
      </c>
      <c r="BF69" s="152">
        <f t="shared" si="45"/>
        <v>4901.57</v>
      </c>
      <c r="BG69" s="155">
        <f t="shared" si="60"/>
        <v>0.20339740394931627</v>
      </c>
      <c r="BJ69" s="152">
        <f t="shared" si="46"/>
        <v>91217.71</v>
      </c>
      <c r="BK69" s="152">
        <f t="shared" si="47"/>
        <v>122376.25000000001</v>
      </c>
      <c r="BL69" s="152">
        <f t="shared" si="48"/>
        <v>130030.07</v>
      </c>
      <c r="BM69" s="155">
        <f t="shared" si="61"/>
        <v>6.254334480750956E-2</v>
      </c>
    </row>
    <row r="70" spans="1:65">
      <c r="A70" t="s">
        <v>407</v>
      </c>
      <c r="B70">
        <v>1</v>
      </c>
      <c r="C70" t="s">
        <v>472</v>
      </c>
      <c r="D70" t="s">
        <v>473</v>
      </c>
      <c r="F70" t="s">
        <v>474</v>
      </c>
      <c r="G70" t="s">
        <v>426</v>
      </c>
      <c r="H70" s="143">
        <f>'Raw Results 2024'!G70</f>
        <v>0</v>
      </c>
      <c r="I70" s="143">
        <f>'Raw Results 2024'!H70</f>
        <v>0</v>
      </c>
      <c r="J70" s="143">
        <f>'Raw Results 2024'!J70</f>
        <v>0</v>
      </c>
      <c r="K70" s="155" t="e">
        <f t="shared" si="49"/>
        <v>#DIV/0!</v>
      </c>
      <c r="L70" s="143">
        <f>'Raw Results 2024'!L70</f>
        <v>0</v>
      </c>
      <c r="M70" s="143">
        <f>'Raw Results 2024'!N70</f>
        <v>0</v>
      </c>
      <c r="N70" s="143">
        <f>'Raw Results 2024'!P70</f>
        <v>0</v>
      </c>
      <c r="O70" s="155" t="e">
        <f t="shared" si="50"/>
        <v>#DIV/0!</v>
      </c>
      <c r="P70" s="143">
        <f>'Raw Results 2024'!R70</f>
        <v>0</v>
      </c>
      <c r="Q70" s="143">
        <f>'Raw Results 2024'!T70</f>
        <v>0</v>
      </c>
      <c r="R70" s="143">
        <f>'Raw Results 2024'!V70</f>
        <v>0</v>
      </c>
      <c r="S70" s="155" t="e">
        <f t="shared" si="51"/>
        <v>#DIV/0!</v>
      </c>
      <c r="T70" s="143">
        <f>'Raw Results 2024'!Y70</f>
        <v>0</v>
      </c>
      <c r="U70" s="143">
        <f>'Raw Results 2024'!Z70</f>
        <v>0</v>
      </c>
      <c r="V70" s="143">
        <f>'Raw Results 2024'!AB70</f>
        <v>0</v>
      </c>
      <c r="W70" s="155" t="e">
        <f t="shared" si="52"/>
        <v>#DIV/0!</v>
      </c>
      <c r="X70" s="143">
        <f>'Raw Results 2024'!AD70</f>
        <v>0</v>
      </c>
      <c r="Y70" s="143">
        <f>'Raw Results 2024'!AE70</f>
        <v>0</v>
      </c>
      <c r="Z70" s="143">
        <f>'Raw Results 2024'!AF70</f>
        <v>0</v>
      </c>
      <c r="AA70" s="155" t="e">
        <f t="shared" si="53"/>
        <v>#DIV/0!</v>
      </c>
      <c r="AB70" s="143">
        <f>'Raw Results 2024'!AH70</f>
        <v>0</v>
      </c>
      <c r="AC70" s="143">
        <f>'Raw Results 2024'!AJ70</f>
        <v>0</v>
      </c>
      <c r="AD70" s="143">
        <f>'Raw Results 2024'!AL70</f>
        <v>0</v>
      </c>
      <c r="AE70" s="155" t="e">
        <f t="shared" si="54"/>
        <v>#DIV/0!</v>
      </c>
      <c r="AF70" s="143">
        <f>'Raw Results 2024'!AN70</f>
        <v>0</v>
      </c>
      <c r="AG70" s="143">
        <f>'Raw Results 2024'!AP70</f>
        <v>0</v>
      </c>
      <c r="AH70" s="143">
        <f>'Raw Results 2024'!AR70</f>
        <v>0</v>
      </c>
      <c r="AI70" s="155" t="e">
        <f t="shared" si="55"/>
        <v>#DIV/0!</v>
      </c>
      <c r="AJ70" s="143">
        <f>'Raw Results 2024'!AT70</f>
        <v>0</v>
      </c>
      <c r="AK70" s="143">
        <f>'Raw Results 2024'!AV70</f>
        <v>0</v>
      </c>
      <c r="AL70" s="143">
        <f>'Raw Results 2024'!AX70</f>
        <v>0</v>
      </c>
      <c r="AM70" s="155" t="e">
        <f t="shared" si="56"/>
        <v>#DIV/0!</v>
      </c>
      <c r="AN70" s="143">
        <f>'Raw Results 2024'!AZ70</f>
        <v>0</v>
      </c>
      <c r="AO70" s="143">
        <f>'Raw Results 2024'!BB70</f>
        <v>0</v>
      </c>
      <c r="AP70" s="143">
        <f>'Raw Results 2024'!BD70</f>
        <v>0</v>
      </c>
      <c r="AQ70" s="155" t="e">
        <f t="shared" si="57"/>
        <v>#DIV/0!</v>
      </c>
      <c r="AT70" s="152">
        <f t="shared" si="37"/>
        <v>0</v>
      </c>
      <c r="AU70" s="152">
        <f t="shared" si="38"/>
        <v>0</v>
      </c>
      <c r="AV70" s="152">
        <f t="shared" si="39"/>
        <v>0</v>
      </c>
      <c r="AW70" s="155" t="e">
        <f t="shared" si="58"/>
        <v>#DIV/0!</v>
      </c>
      <c r="AY70" s="152">
        <f t="shared" si="40"/>
        <v>0</v>
      </c>
      <c r="AZ70" s="152">
        <f t="shared" si="41"/>
        <v>0</v>
      </c>
      <c r="BA70" s="152">
        <f t="shared" si="42"/>
        <v>0</v>
      </c>
      <c r="BB70" s="155" t="e">
        <f t="shared" si="59"/>
        <v>#DIV/0!</v>
      </c>
      <c r="BD70" s="152">
        <f t="shared" si="43"/>
        <v>0</v>
      </c>
      <c r="BE70" s="152">
        <f t="shared" si="44"/>
        <v>0</v>
      </c>
      <c r="BF70" s="152">
        <f t="shared" si="45"/>
        <v>0</v>
      </c>
      <c r="BG70" s="155" t="e">
        <f t="shared" si="60"/>
        <v>#DIV/0!</v>
      </c>
      <c r="BJ70" s="152">
        <f t="shared" si="46"/>
        <v>0</v>
      </c>
      <c r="BK70" s="152">
        <f t="shared" si="47"/>
        <v>0</v>
      </c>
      <c r="BL70" s="152">
        <f t="shared" si="48"/>
        <v>0</v>
      </c>
      <c r="BM70" s="155" t="e">
        <f t="shared" si="61"/>
        <v>#DIV/0!</v>
      </c>
    </row>
    <row r="71" spans="1:65">
      <c r="A71" t="s">
        <v>407</v>
      </c>
      <c r="B71">
        <v>1</v>
      </c>
      <c r="C71" t="s">
        <v>472</v>
      </c>
      <c r="D71" t="s">
        <v>473</v>
      </c>
      <c r="F71" t="s">
        <v>433</v>
      </c>
      <c r="G71" t="s">
        <v>434</v>
      </c>
      <c r="H71" s="143">
        <f>'Raw Results 2024'!G71</f>
        <v>0</v>
      </c>
      <c r="I71" s="143">
        <f>'Raw Results 2024'!H71</f>
        <v>0</v>
      </c>
      <c r="J71" s="143">
        <f>'Raw Results 2024'!J71</f>
        <v>0</v>
      </c>
      <c r="K71" s="155" t="e">
        <f t="shared" si="49"/>
        <v>#DIV/0!</v>
      </c>
      <c r="L71" s="143">
        <f>'Raw Results 2024'!L71</f>
        <v>0</v>
      </c>
      <c r="M71" s="143">
        <f>'Raw Results 2024'!N71</f>
        <v>0</v>
      </c>
      <c r="N71" s="143">
        <f>'Raw Results 2024'!P71</f>
        <v>0</v>
      </c>
      <c r="O71" s="155" t="e">
        <f t="shared" si="50"/>
        <v>#DIV/0!</v>
      </c>
      <c r="P71" s="143">
        <f>'Raw Results 2024'!R71</f>
        <v>0</v>
      </c>
      <c r="Q71" s="143">
        <f>'Raw Results 2024'!T71</f>
        <v>0</v>
      </c>
      <c r="R71" s="143">
        <f>'Raw Results 2024'!V71</f>
        <v>0</v>
      </c>
      <c r="S71" s="155" t="e">
        <f t="shared" si="51"/>
        <v>#DIV/0!</v>
      </c>
      <c r="T71" s="143">
        <f>'Raw Results 2024'!Y71</f>
        <v>0</v>
      </c>
      <c r="U71" s="143">
        <f>'Raw Results 2024'!Z71</f>
        <v>0</v>
      </c>
      <c r="V71" s="143">
        <f>'Raw Results 2024'!AB71</f>
        <v>0</v>
      </c>
      <c r="W71" s="155" t="e">
        <f t="shared" si="52"/>
        <v>#DIV/0!</v>
      </c>
      <c r="X71" s="143">
        <f>'Raw Results 2024'!AD71</f>
        <v>0</v>
      </c>
      <c r="Y71" s="143">
        <f>'Raw Results 2024'!AE71</f>
        <v>0</v>
      </c>
      <c r="Z71" s="143">
        <f>'Raw Results 2024'!AF71</f>
        <v>0</v>
      </c>
      <c r="AA71" s="155" t="e">
        <f t="shared" si="53"/>
        <v>#DIV/0!</v>
      </c>
      <c r="AB71" s="143">
        <f>'Raw Results 2024'!AH71</f>
        <v>0</v>
      </c>
      <c r="AC71" s="143">
        <f>'Raw Results 2024'!AJ71</f>
        <v>0</v>
      </c>
      <c r="AD71" s="143">
        <f>'Raw Results 2024'!AL71</f>
        <v>0</v>
      </c>
      <c r="AE71" s="155" t="e">
        <f t="shared" si="54"/>
        <v>#DIV/0!</v>
      </c>
      <c r="AF71" s="143">
        <f>'Raw Results 2024'!AN71</f>
        <v>0</v>
      </c>
      <c r="AG71" s="143">
        <f>'Raw Results 2024'!AP71</f>
        <v>0</v>
      </c>
      <c r="AH71" s="143">
        <f>'Raw Results 2024'!AR71</f>
        <v>0</v>
      </c>
      <c r="AI71" s="155" t="e">
        <f t="shared" si="55"/>
        <v>#DIV/0!</v>
      </c>
      <c r="AJ71" s="143">
        <f>'Raw Results 2024'!AT71</f>
        <v>0</v>
      </c>
      <c r="AK71" s="143">
        <f>'Raw Results 2024'!AV71</f>
        <v>0</v>
      </c>
      <c r="AL71" s="143">
        <f>'Raw Results 2024'!AX71</f>
        <v>0</v>
      </c>
      <c r="AM71" s="155" t="e">
        <f t="shared" si="56"/>
        <v>#DIV/0!</v>
      </c>
      <c r="AN71" s="143">
        <f>'Raw Results 2024'!AZ71</f>
        <v>0</v>
      </c>
      <c r="AO71" s="143">
        <f>'Raw Results 2024'!BB71</f>
        <v>0</v>
      </c>
      <c r="AP71" s="143">
        <f>'Raw Results 2024'!BD71</f>
        <v>0</v>
      </c>
      <c r="AQ71" s="155" t="e">
        <f t="shared" si="57"/>
        <v>#DIV/0!</v>
      </c>
      <c r="AT71" s="152">
        <f t="shared" si="37"/>
        <v>0</v>
      </c>
      <c r="AU71" s="152">
        <f t="shared" si="38"/>
        <v>0</v>
      </c>
      <c r="AV71" s="152">
        <f t="shared" si="39"/>
        <v>0</v>
      </c>
      <c r="AW71" s="155" t="e">
        <f t="shared" si="58"/>
        <v>#DIV/0!</v>
      </c>
      <c r="AY71" s="152">
        <f t="shared" si="40"/>
        <v>0</v>
      </c>
      <c r="AZ71" s="152">
        <f t="shared" si="41"/>
        <v>0</v>
      </c>
      <c r="BA71" s="152">
        <f t="shared" si="42"/>
        <v>0</v>
      </c>
      <c r="BB71" s="155" t="e">
        <f t="shared" si="59"/>
        <v>#DIV/0!</v>
      </c>
      <c r="BD71" s="152">
        <f t="shared" si="43"/>
        <v>0</v>
      </c>
      <c r="BE71" s="152">
        <f t="shared" si="44"/>
        <v>0</v>
      </c>
      <c r="BF71" s="152">
        <f t="shared" si="45"/>
        <v>0</v>
      </c>
      <c r="BG71" s="155" t="e">
        <f t="shared" si="60"/>
        <v>#DIV/0!</v>
      </c>
      <c r="BJ71" s="152">
        <f t="shared" si="46"/>
        <v>0</v>
      </c>
      <c r="BK71" s="152">
        <f t="shared" si="47"/>
        <v>0</v>
      </c>
      <c r="BL71" s="152">
        <f t="shared" si="48"/>
        <v>0</v>
      </c>
      <c r="BM71" s="155" t="e">
        <f t="shared" si="61"/>
        <v>#DIV/0!</v>
      </c>
    </row>
    <row r="72" spans="1:65">
      <c r="A72" t="s">
        <v>407</v>
      </c>
      <c r="B72">
        <v>1</v>
      </c>
      <c r="C72" t="s">
        <v>472</v>
      </c>
      <c r="D72" t="s">
        <v>472</v>
      </c>
      <c r="F72" t="s">
        <v>425</v>
      </c>
      <c r="G72" t="s">
        <v>426</v>
      </c>
      <c r="H72" s="143">
        <f>'Raw Results 2024'!G72</f>
        <v>473343.2</v>
      </c>
      <c r="I72" s="143">
        <f>'Raw Results 2024'!H72</f>
        <v>589296.4</v>
      </c>
      <c r="J72" s="143">
        <f>'Raw Results 2024'!J72</f>
        <v>695684</v>
      </c>
      <c r="K72" s="155">
        <f t="shared" si="49"/>
        <v>0.18053325966355804</v>
      </c>
      <c r="L72" s="143">
        <f>'Raw Results 2024'!L72</f>
        <v>1237687.5</v>
      </c>
      <c r="M72" s="143">
        <f>'Raw Results 2024'!N72</f>
        <v>1596894.6</v>
      </c>
      <c r="N72" s="143">
        <f>'Raw Results 2024'!P72</f>
        <v>1868809.8</v>
      </c>
      <c r="O72" s="155">
        <f t="shared" si="50"/>
        <v>0.17027748731819867</v>
      </c>
      <c r="P72" s="143">
        <f>'Raw Results 2024'!R72</f>
        <v>2270148.2999999998</v>
      </c>
      <c r="Q72" s="143">
        <f>'Raw Results 2024'!T72</f>
        <v>2928912</v>
      </c>
      <c r="R72" s="143">
        <f>'Raw Results 2024'!V72</f>
        <v>4835565</v>
      </c>
      <c r="S72" s="155">
        <f t="shared" si="51"/>
        <v>0.65097654009406902</v>
      </c>
      <c r="T72" s="143">
        <f>'Raw Results 2024'!Y72</f>
        <v>56112959.700000003</v>
      </c>
      <c r="U72" s="143">
        <f>'Raw Results 2024'!Z72</f>
        <v>75656154</v>
      </c>
      <c r="V72" s="143">
        <f>'Raw Results 2024'!AB72</f>
        <v>117632604</v>
      </c>
      <c r="W72" s="155">
        <f t="shared" si="52"/>
        <v>0.5548319307904549</v>
      </c>
      <c r="X72" s="143">
        <f>'Raw Results 2024'!AD72</f>
        <v>6606329.0999999996</v>
      </c>
      <c r="Y72" s="143">
        <f>'Raw Results 2024'!AE72</f>
        <v>8733509.4000000004</v>
      </c>
      <c r="Z72" s="143">
        <f>'Raw Results 2024'!AF72</f>
        <v>29646136.800000001</v>
      </c>
      <c r="AA72" s="155">
        <f t="shared" si="53"/>
        <v>2.3945273820853732</v>
      </c>
      <c r="AB72" s="143">
        <f>'Raw Results 2024'!AH72</f>
        <v>0</v>
      </c>
      <c r="AC72" s="143">
        <f>'Raw Results 2024'!AJ72</f>
        <v>0</v>
      </c>
      <c r="AD72" s="143">
        <f>'Raw Results 2024'!AL72</f>
        <v>0</v>
      </c>
      <c r="AE72" s="155" t="e">
        <f t="shared" si="54"/>
        <v>#DIV/0!</v>
      </c>
      <c r="AF72" s="143">
        <f>'Raw Results 2024'!AN72</f>
        <v>0</v>
      </c>
      <c r="AG72" s="143">
        <f>'Raw Results 2024'!AP72</f>
        <v>0</v>
      </c>
      <c r="AH72" s="143">
        <f>'Raw Results 2024'!AR72</f>
        <v>0</v>
      </c>
      <c r="AI72" s="155" t="e">
        <f t="shared" si="55"/>
        <v>#DIV/0!</v>
      </c>
      <c r="AJ72" s="143">
        <f>'Raw Results 2024'!AT72</f>
        <v>0</v>
      </c>
      <c r="AK72" s="143">
        <f>'Raw Results 2024'!AV72</f>
        <v>0</v>
      </c>
      <c r="AL72" s="143">
        <f>'Raw Results 2024'!AX72</f>
        <v>0</v>
      </c>
      <c r="AM72" s="155" t="e">
        <f t="shared" si="56"/>
        <v>#DIV/0!</v>
      </c>
      <c r="AN72" s="143">
        <f>'Raw Results 2024'!AZ72</f>
        <v>0</v>
      </c>
      <c r="AO72" s="143">
        <f>'Raw Results 2024'!BB72</f>
        <v>0</v>
      </c>
      <c r="AP72" s="143">
        <f>'Raw Results 2024'!BD72</f>
        <v>0</v>
      </c>
      <c r="AQ72" s="155" t="e">
        <f t="shared" si="57"/>
        <v>#DIV/0!</v>
      </c>
      <c r="AT72" s="152">
        <f t="shared" si="37"/>
        <v>56586302.900000006</v>
      </c>
      <c r="AU72" s="152">
        <f t="shared" si="38"/>
        <v>76245450.400000006</v>
      </c>
      <c r="AV72" s="152">
        <f t="shared" si="39"/>
        <v>118328288</v>
      </c>
      <c r="AW72" s="155">
        <f t="shared" si="58"/>
        <v>0.55193899936618374</v>
      </c>
      <c r="AY72" s="152">
        <f t="shared" si="40"/>
        <v>7844016.5999999996</v>
      </c>
      <c r="AZ72" s="152">
        <f t="shared" si="41"/>
        <v>10330404</v>
      </c>
      <c r="BA72" s="152">
        <f t="shared" si="42"/>
        <v>31514946.600000001</v>
      </c>
      <c r="BB72" s="155">
        <f t="shared" si="59"/>
        <v>2.0506983657173525</v>
      </c>
      <c r="BD72" s="152">
        <f t="shared" si="43"/>
        <v>2270148.2999999998</v>
      </c>
      <c r="BE72" s="152">
        <f t="shared" si="44"/>
        <v>2928912</v>
      </c>
      <c r="BF72" s="152">
        <f t="shared" si="45"/>
        <v>4835565</v>
      </c>
      <c r="BG72" s="155">
        <f t="shared" si="60"/>
        <v>0.65097654009406902</v>
      </c>
      <c r="BJ72" s="152">
        <f t="shared" si="46"/>
        <v>66700467.800000004</v>
      </c>
      <c r="BK72" s="152">
        <f t="shared" si="47"/>
        <v>89504766.400000006</v>
      </c>
      <c r="BL72" s="152">
        <f t="shared" si="48"/>
        <v>154678799.59999999</v>
      </c>
      <c r="BM72" s="155">
        <f t="shared" si="61"/>
        <v>0.72816270933253879</v>
      </c>
    </row>
    <row r="73" spans="1:65">
      <c r="A73" t="s">
        <v>407</v>
      </c>
      <c r="B73">
        <v>1</v>
      </c>
      <c r="C73" t="s">
        <v>472</v>
      </c>
      <c r="D73" t="s">
        <v>472</v>
      </c>
      <c r="F73" t="s">
        <v>457</v>
      </c>
      <c r="G73" t="s">
        <v>426</v>
      </c>
      <c r="H73" s="143">
        <f>'Raw Results 2024'!G73</f>
        <v>70573.570000000007</v>
      </c>
      <c r="I73" s="143">
        <f>'Raw Results 2024'!H73</f>
        <v>87861.49</v>
      </c>
      <c r="J73" s="143">
        <f>'Raw Results 2024'!J73</f>
        <v>101466.23</v>
      </c>
      <c r="K73" s="155">
        <f t="shared" si="49"/>
        <v>0.15484303760384657</v>
      </c>
      <c r="L73" s="143">
        <f>'Raw Results 2024'!L73</f>
        <v>143822.07999999999</v>
      </c>
      <c r="M73" s="143">
        <f>'Raw Results 2024'!N73</f>
        <v>185562.59</v>
      </c>
      <c r="N73" s="143">
        <f>'Raw Results 2024'!P73</f>
        <v>220428.35</v>
      </c>
      <c r="O73" s="155">
        <f t="shared" si="50"/>
        <v>0.18789218236283514</v>
      </c>
      <c r="P73" s="143">
        <f>'Raw Results 2024'!R73</f>
        <v>266473.03999999998</v>
      </c>
      <c r="Q73" s="143">
        <f>'Raw Results 2024'!T73</f>
        <v>343800.06</v>
      </c>
      <c r="R73" s="143">
        <f>'Raw Results 2024'!V73</f>
        <v>420244.68</v>
      </c>
      <c r="S73" s="155">
        <f t="shared" si="51"/>
        <v>0.22235196817592176</v>
      </c>
      <c r="T73" s="143">
        <f>'Raw Results 2024'!Y73</f>
        <v>7070691.2599999998</v>
      </c>
      <c r="U73" s="143">
        <f>'Raw Results 2024'!Z73</f>
        <v>9533250.1899999995</v>
      </c>
      <c r="V73" s="143">
        <f>'Raw Results 2024'!AB73</f>
        <v>11143246.449999999</v>
      </c>
      <c r="W73" s="155">
        <f t="shared" si="52"/>
        <v>0.16888219945059471</v>
      </c>
      <c r="X73" s="143">
        <f>'Raw Results 2024'!AD73</f>
        <v>831336.01</v>
      </c>
      <c r="Y73" s="143">
        <f>'Raw Results 2024'!AE73</f>
        <v>1099019.3500000001</v>
      </c>
      <c r="Z73" s="143">
        <f>'Raw Results 2024'!AF73</f>
        <v>1503914.69</v>
      </c>
      <c r="AA73" s="155">
        <f t="shared" si="53"/>
        <v>0.36841511480211864</v>
      </c>
      <c r="AB73" s="143">
        <f>'Raw Results 2024'!AH73</f>
        <v>0</v>
      </c>
      <c r="AC73" s="143">
        <f>'Raw Results 2024'!AJ73</f>
        <v>0</v>
      </c>
      <c r="AD73" s="143">
        <f>'Raw Results 2024'!AL73</f>
        <v>0</v>
      </c>
      <c r="AE73" s="155" t="e">
        <f t="shared" si="54"/>
        <v>#DIV/0!</v>
      </c>
      <c r="AF73" s="143">
        <f>'Raw Results 2024'!AN73</f>
        <v>0</v>
      </c>
      <c r="AG73" s="143">
        <f>'Raw Results 2024'!AP73</f>
        <v>0</v>
      </c>
      <c r="AH73" s="143">
        <f>'Raw Results 2024'!AR73</f>
        <v>0</v>
      </c>
      <c r="AI73" s="155" t="e">
        <f t="shared" si="55"/>
        <v>#DIV/0!</v>
      </c>
      <c r="AJ73" s="143">
        <f>'Raw Results 2024'!AT73</f>
        <v>0</v>
      </c>
      <c r="AK73" s="143">
        <f>'Raw Results 2024'!AV73</f>
        <v>0</v>
      </c>
      <c r="AL73" s="143">
        <f>'Raw Results 2024'!AX73</f>
        <v>0</v>
      </c>
      <c r="AM73" s="155" t="e">
        <f t="shared" si="56"/>
        <v>#DIV/0!</v>
      </c>
      <c r="AN73" s="143">
        <f>'Raw Results 2024'!AZ73</f>
        <v>0</v>
      </c>
      <c r="AO73" s="143">
        <f>'Raw Results 2024'!BB73</f>
        <v>0</v>
      </c>
      <c r="AP73" s="143">
        <f>'Raw Results 2024'!BD73</f>
        <v>0</v>
      </c>
      <c r="AQ73" s="155" t="e">
        <f t="shared" si="57"/>
        <v>#DIV/0!</v>
      </c>
      <c r="AT73" s="152">
        <f t="shared" si="37"/>
        <v>7141264.8300000001</v>
      </c>
      <c r="AU73" s="152">
        <f t="shared" si="38"/>
        <v>9621111.6799999997</v>
      </c>
      <c r="AV73" s="152">
        <f t="shared" si="39"/>
        <v>11244712.68</v>
      </c>
      <c r="AW73" s="155">
        <f t="shared" si="58"/>
        <v>0.16875399163852134</v>
      </c>
      <c r="AY73" s="152">
        <f t="shared" si="40"/>
        <v>975158.09</v>
      </c>
      <c r="AZ73" s="152">
        <f t="shared" si="41"/>
        <v>1284581.9400000002</v>
      </c>
      <c r="BA73" s="152">
        <f t="shared" si="42"/>
        <v>1724343.04</v>
      </c>
      <c r="BB73" s="155">
        <f t="shared" si="59"/>
        <v>0.34233791267530961</v>
      </c>
      <c r="BD73" s="152">
        <f t="shared" si="43"/>
        <v>266473.03999999998</v>
      </c>
      <c r="BE73" s="152">
        <f t="shared" si="44"/>
        <v>343800.06</v>
      </c>
      <c r="BF73" s="152">
        <f t="shared" si="45"/>
        <v>420244.68</v>
      </c>
      <c r="BG73" s="155">
        <f t="shared" si="60"/>
        <v>0.22235196817592176</v>
      </c>
      <c r="BJ73" s="152">
        <f t="shared" si="46"/>
        <v>8382895.96</v>
      </c>
      <c r="BK73" s="152">
        <f t="shared" si="47"/>
        <v>11249493.68</v>
      </c>
      <c r="BL73" s="152">
        <f t="shared" si="48"/>
        <v>13389300.399999999</v>
      </c>
      <c r="BM73" s="155">
        <f t="shared" si="61"/>
        <v>0.19021360257344477</v>
      </c>
    </row>
    <row r="74" spans="1:65">
      <c r="A74" t="s">
        <v>407</v>
      </c>
      <c r="B74">
        <v>1</v>
      </c>
      <c r="C74" t="s">
        <v>472</v>
      </c>
      <c r="D74" t="s">
        <v>472</v>
      </c>
      <c r="F74" t="s">
        <v>462</v>
      </c>
      <c r="G74" t="s">
        <v>463</v>
      </c>
      <c r="H74" s="143">
        <f>'Raw Results 2024'!G74</f>
        <v>5636041.8399999999</v>
      </c>
      <c r="I74" s="143">
        <f>'Raw Results 2024'!H74</f>
        <v>7016576.0199999996</v>
      </c>
      <c r="J74" s="143">
        <f>'Raw Results 2024'!J74</f>
        <v>6890920.04</v>
      </c>
      <c r="K74" s="155">
        <f t="shared" si="49"/>
        <v>-1.7908447031975507E-2</v>
      </c>
      <c r="L74" s="143">
        <f>'Raw Results 2024'!L74</f>
        <v>10447421.07</v>
      </c>
      <c r="M74" s="143">
        <f>'Raw Results 2024'!N74</f>
        <v>13479447.060000001</v>
      </c>
      <c r="N74" s="143">
        <f>'Raw Results 2024'!P74</f>
        <v>13527257.77</v>
      </c>
      <c r="O74" s="155">
        <f t="shared" si="50"/>
        <v>3.5469340683770621E-3</v>
      </c>
      <c r="P74" s="143">
        <f>'Raw Results 2024'!R74</f>
        <v>19548502.489999998</v>
      </c>
      <c r="Q74" s="143">
        <f>'Raw Results 2024'!T74</f>
        <v>25221367.460000001</v>
      </c>
      <c r="R74" s="143">
        <f>'Raw Results 2024'!V74</f>
        <v>26357837.239999998</v>
      </c>
      <c r="S74" s="155">
        <f t="shared" si="51"/>
        <v>4.5059800258744474E-2</v>
      </c>
      <c r="T74" s="143">
        <f>'Raw Results 2024'!Y74</f>
        <v>536619333.05000001</v>
      </c>
      <c r="U74" s="143">
        <f>'Raw Results 2024'!Z74</f>
        <v>723495563.37</v>
      </c>
      <c r="V74" s="143">
        <f>'Raw Results 2024'!AB74</f>
        <v>614316411.20000005</v>
      </c>
      <c r="W74" s="155">
        <f t="shared" si="52"/>
        <v>-0.15090507488594657</v>
      </c>
      <c r="X74" s="143">
        <f>'Raw Results 2024'!AD74</f>
        <v>61684983.32</v>
      </c>
      <c r="Y74" s="143">
        <f>'Raw Results 2024'!AE74</f>
        <v>81547163.939999998</v>
      </c>
      <c r="Z74" s="143">
        <f>'Raw Results 2024'!AF74</f>
        <v>88659574.400000006</v>
      </c>
      <c r="AA74" s="155">
        <f t="shared" si="53"/>
        <v>8.7218366848822726E-2</v>
      </c>
      <c r="AB74" s="143">
        <f>'Raw Results 2024'!AH74</f>
        <v>0</v>
      </c>
      <c r="AC74" s="143">
        <f>'Raw Results 2024'!AJ74</f>
        <v>0</v>
      </c>
      <c r="AD74" s="143">
        <f>'Raw Results 2024'!AL74</f>
        <v>0</v>
      </c>
      <c r="AE74" s="155" t="e">
        <f t="shared" si="54"/>
        <v>#DIV/0!</v>
      </c>
      <c r="AF74" s="143">
        <f>'Raw Results 2024'!AN74</f>
        <v>0</v>
      </c>
      <c r="AG74" s="143">
        <f>'Raw Results 2024'!AP74</f>
        <v>0</v>
      </c>
      <c r="AH74" s="143">
        <f>'Raw Results 2024'!AR74</f>
        <v>0</v>
      </c>
      <c r="AI74" s="155" t="e">
        <f t="shared" si="55"/>
        <v>#DIV/0!</v>
      </c>
      <c r="AJ74" s="143">
        <f>'Raw Results 2024'!AT74</f>
        <v>0</v>
      </c>
      <c r="AK74" s="143">
        <f>'Raw Results 2024'!AV74</f>
        <v>0</v>
      </c>
      <c r="AL74" s="143">
        <f>'Raw Results 2024'!AX74</f>
        <v>0</v>
      </c>
      <c r="AM74" s="155" t="e">
        <f t="shared" si="56"/>
        <v>#DIV/0!</v>
      </c>
      <c r="AN74" s="143">
        <f>'Raw Results 2024'!AZ74</f>
        <v>0</v>
      </c>
      <c r="AO74" s="143">
        <f>'Raw Results 2024'!BB74</f>
        <v>0</v>
      </c>
      <c r="AP74" s="143">
        <f>'Raw Results 2024'!BD74</f>
        <v>0</v>
      </c>
      <c r="AQ74" s="155" t="e">
        <f t="shared" si="57"/>
        <v>#DIV/0!</v>
      </c>
      <c r="AT74" s="152">
        <f t="shared" si="37"/>
        <v>542255374.88999999</v>
      </c>
      <c r="AU74" s="152">
        <f t="shared" si="38"/>
        <v>730512139.38999999</v>
      </c>
      <c r="AV74" s="152">
        <f t="shared" si="39"/>
        <v>621207331.24000001</v>
      </c>
      <c r="AW74" s="155">
        <f t="shared" si="58"/>
        <v>-0.1496276410153469</v>
      </c>
      <c r="AY74" s="152">
        <f t="shared" si="40"/>
        <v>72132404.390000001</v>
      </c>
      <c r="AZ74" s="152">
        <f t="shared" si="41"/>
        <v>95026611</v>
      </c>
      <c r="BA74" s="152">
        <f t="shared" si="42"/>
        <v>102186832.17</v>
      </c>
      <c r="BB74" s="155">
        <f t="shared" si="59"/>
        <v>7.534964253328999E-2</v>
      </c>
      <c r="BD74" s="152">
        <f t="shared" si="43"/>
        <v>19548502.489999998</v>
      </c>
      <c r="BE74" s="152">
        <f t="shared" si="44"/>
        <v>25221367.460000001</v>
      </c>
      <c r="BF74" s="152">
        <f t="shared" si="45"/>
        <v>26357837.239999998</v>
      </c>
      <c r="BG74" s="155">
        <f t="shared" si="60"/>
        <v>4.5059800258744474E-2</v>
      </c>
      <c r="BJ74" s="152">
        <f t="shared" si="46"/>
        <v>633936281.76999998</v>
      </c>
      <c r="BK74" s="152">
        <f t="shared" si="47"/>
        <v>850760117.85000002</v>
      </c>
      <c r="BL74" s="152">
        <f t="shared" si="48"/>
        <v>749752000.64999998</v>
      </c>
      <c r="BM74" s="155">
        <f t="shared" si="61"/>
        <v>-0.11872690677515878</v>
      </c>
    </row>
    <row r="75" spans="1:65">
      <c r="A75" t="s">
        <v>407</v>
      </c>
      <c r="B75">
        <v>1</v>
      </c>
      <c r="C75" t="s">
        <v>472</v>
      </c>
      <c r="D75" t="s">
        <v>472</v>
      </c>
      <c r="F75" t="s">
        <v>433</v>
      </c>
      <c r="G75" t="s">
        <v>434</v>
      </c>
      <c r="H75" s="143">
        <f>'Raw Results 2024'!G75</f>
        <v>3736567.09</v>
      </c>
      <c r="I75" s="143">
        <f>'Raw Results 2024'!H75</f>
        <v>4651829.78</v>
      </c>
      <c r="J75" s="143">
        <f>'Raw Results 2024'!J75</f>
        <v>4583201.91</v>
      </c>
      <c r="K75" s="155">
        <f t="shared" si="49"/>
        <v>-1.4752876447684658E-2</v>
      </c>
      <c r="L75" s="143">
        <f>'Raw Results 2024'!L75</f>
        <v>7130814.1500000004</v>
      </c>
      <c r="M75" s="143">
        <f>'Raw Results 2024'!N75</f>
        <v>9200303.3000000007</v>
      </c>
      <c r="N75" s="143">
        <f>'Raw Results 2024'!P75</f>
        <v>9312384.4199999999</v>
      </c>
      <c r="O75" s="155">
        <f t="shared" si="50"/>
        <v>1.218232881518147E-2</v>
      </c>
      <c r="P75" s="143">
        <f>'Raw Results 2024'!R75</f>
        <v>13331334.16</v>
      </c>
      <c r="Q75" s="143">
        <f>'Raw Results 2024'!T75</f>
        <v>17200009.5</v>
      </c>
      <c r="R75" s="143">
        <f>'Raw Results 2024'!V75</f>
        <v>18195269.84</v>
      </c>
      <c r="S75" s="155">
        <f t="shared" si="51"/>
        <v>5.7863941296078927E-2</v>
      </c>
      <c r="T75" s="143">
        <f>'Raw Results 2024'!Y75</f>
        <v>367815855.05000001</v>
      </c>
      <c r="U75" s="143">
        <f>'Raw Results 2024'!Z75</f>
        <v>495906952.12</v>
      </c>
      <c r="V75" s="143">
        <f>'Raw Results 2024'!AB75</f>
        <v>432337895.62</v>
      </c>
      <c r="W75" s="155">
        <f t="shared" si="52"/>
        <v>-0.12818746788735783</v>
      </c>
      <c r="X75" s="143">
        <f>'Raw Results 2024'!AD75</f>
        <v>48304885</v>
      </c>
      <c r="Y75" s="143">
        <f>'Raw Results 2024'!AE75</f>
        <v>63858754.32</v>
      </c>
      <c r="Z75" s="143">
        <f>'Raw Results 2024'!AF75</f>
        <v>69882679.219999999</v>
      </c>
      <c r="AA75" s="155">
        <f t="shared" si="53"/>
        <v>9.4332013897636555E-2</v>
      </c>
      <c r="AB75" s="143">
        <f>'Raw Results 2024'!AH75</f>
        <v>0</v>
      </c>
      <c r="AC75" s="143">
        <f>'Raw Results 2024'!AJ75</f>
        <v>0</v>
      </c>
      <c r="AD75" s="143">
        <f>'Raw Results 2024'!AL75</f>
        <v>0</v>
      </c>
      <c r="AE75" s="155" t="e">
        <f t="shared" si="54"/>
        <v>#DIV/0!</v>
      </c>
      <c r="AF75" s="143">
        <f>'Raw Results 2024'!AN75</f>
        <v>0</v>
      </c>
      <c r="AG75" s="143">
        <f>'Raw Results 2024'!AP75</f>
        <v>0</v>
      </c>
      <c r="AH75" s="143">
        <f>'Raw Results 2024'!AR75</f>
        <v>0</v>
      </c>
      <c r="AI75" s="155" t="e">
        <f t="shared" si="55"/>
        <v>#DIV/0!</v>
      </c>
      <c r="AJ75" s="143">
        <f>'Raw Results 2024'!AT75</f>
        <v>0</v>
      </c>
      <c r="AK75" s="143">
        <f>'Raw Results 2024'!AV75</f>
        <v>0</v>
      </c>
      <c r="AL75" s="143">
        <f>'Raw Results 2024'!AX75</f>
        <v>0</v>
      </c>
      <c r="AM75" s="155" t="e">
        <f t="shared" si="56"/>
        <v>#DIV/0!</v>
      </c>
      <c r="AN75" s="143">
        <f>'Raw Results 2024'!AZ75</f>
        <v>0</v>
      </c>
      <c r="AO75" s="143">
        <f>'Raw Results 2024'!BB75</f>
        <v>0</v>
      </c>
      <c r="AP75" s="143">
        <f>'Raw Results 2024'!BD75</f>
        <v>0</v>
      </c>
      <c r="AQ75" s="155" t="e">
        <f t="shared" si="57"/>
        <v>#DIV/0!</v>
      </c>
      <c r="AT75" s="152">
        <f t="shared" si="37"/>
        <v>371552422.13999999</v>
      </c>
      <c r="AU75" s="152">
        <f t="shared" si="38"/>
        <v>500558781.89999998</v>
      </c>
      <c r="AV75" s="152">
        <f t="shared" si="39"/>
        <v>436921097.53000003</v>
      </c>
      <c r="AW75" s="155">
        <f t="shared" si="58"/>
        <v>-0.12713328917823938</v>
      </c>
      <c r="AY75" s="152">
        <f t="shared" si="40"/>
        <v>55435699.149999999</v>
      </c>
      <c r="AZ75" s="152">
        <f t="shared" si="41"/>
        <v>73059057.620000005</v>
      </c>
      <c r="BA75" s="152">
        <f t="shared" si="42"/>
        <v>79195063.640000001</v>
      </c>
      <c r="BB75" s="155">
        <f t="shared" si="59"/>
        <v>8.3986930845933283E-2</v>
      </c>
      <c r="BD75" s="152">
        <f t="shared" si="43"/>
        <v>13331334.16</v>
      </c>
      <c r="BE75" s="152">
        <f t="shared" si="44"/>
        <v>17200009.5</v>
      </c>
      <c r="BF75" s="152">
        <f t="shared" si="45"/>
        <v>18195269.84</v>
      </c>
      <c r="BG75" s="155">
        <f t="shared" si="60"/>
        <v>5.7863941296078927E-2</v>
      </c>
      <c r="BJ75" s="152">
        <f t="shared" si="46"/>
        <v>440319455.44999999</v>
      </c>
      <c r="BK75" s="152">
        <f t="shared" si="47"/>
        <v>590817849.01999998</v>
      </c>
      <c r="BL75" s="152">
        <f t="shared" si="48"/>
        <v>534311431.00999999</v>
      </c>
      <c r="BM75" s="155">
        <f t="shared" si="61"/>
        <v>-9.5641013729913862E-2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41D48-E848-4317-91DE-252C58D0712A}">
  <dimension ref="A1:K32"/>
  <sheetViews>
    <sheetView workbookViewId="0">
      <selection activeCell="N28" sqref="N28"/>
    </sheetView>
  </sheetViews>
  <sheetFormatPr defaultColWidth="8.85546875" defaultRowHeight="14.45"/>
  <cols>
    <col min="1" max="1" width="8" bestFit="1" customWidth="1"/>
    <col min="2" max="2" width="13.5703125" customWidth="1"/>
    <col min="3" max="3" width="8.85546875" bestFit="1" customWidth="1"/>
    <col min="4" max="4" width="11" bestFit="1" customWidth="1"/>
    <col min="5" max="5" width="10.7109375" bestFit="1" customWidth="1"/>
    <col min="6" max="6" width="9.85546875" bestFit="1" customWidth="1"/>
    <col min="7" max="7" width="11" bestFit="1" customWidth="1"/>
    <col min="8" max="8" width="10.7109375" bestFit="1" customWidth="1"/>
    <col min="9" max="9" width="8.85546875" bestFit="1" customWidth="1"/>
    <col min="10" max="10" width="11" bestFit="1" customWidth="1"/>
    <col min="11" max="11" width="10.7109375" bestFit="1" customWidth="1"/>
    <col min="15" max="15" width="14.140625" bestFit="1" customWidth="1"/>
    <col min="16" max="17" width="12.85546875" bestFit="1" customWidth="1"/>
    <col min="18" max="19" width="13.85546875" bestFit="1" customWidth="1"/>
    <col min="20" max="20" width="12.85546875" bestFit="1" customWidth="1"/>
    <col min="21" max="21" width="14.85546875" bestFit="1" customWidth="1"/>
    <col min="22" max="23" width="12.85546875" bestFit="1" customWidth="1"/>
    <col min="24" max="24" width="13.85546875" bestFit="1" customWidth="1"/>
    <col min="26" max="26" width="13.85546875" bestFit="1" customWidth="1"/>
    <col min="27" max="27" width="14.85546875" bestFit="1" customWidth="1"/>
  </cols>
  <sheetData>
    <row r="1" spans="1:11">
      <c r="C1" s="313" t="s">
        <v>74</v>
      </c>
      <c r="D1" s="314"/>
      <c r="E1" s="315"/>
      <c r="F1" s="313" t="s">
        <v>75</v>
      </c>
      <c r="G1" s="314"/>
      <c r="H1" s="315"/>
      <c r="I1" s="313" t="s">
        <v>76</v>
      </c>
      <c r="J1" s="314"/>
      <c r="K1" s="315"/>
    </row>
    <row r="2" spans="1:11" ht="19.149999999999999" customHeight="1">
      <c r="A2" s="9" t="s">
        <v>34</v>
      </c>
      <c r="B2" s="142" t="s">
        <v>35</v>
      </c>
      <c r="C2" s="9" t="s">
        <v>28</v>
      </c>
      <c r="D2" s="9" t="s">
        <v>29</v>
      </c>
      <c r="E2" s="9" t="s">
        <v>30</v>
      </c>
      <c r="F2" s="9" t="s">
        <v>28</v>
      </c>
      <c r="G2" s="9" t="s">
        <v>29</v>
      </c>
      <c r="H2" s="9" t="s">
        <v>30</v>
      </c>
      <c r="I2" s="9" t="s">
        <v>28</v>
      </c>
      <c r="J2" s="9" t="s">
        <v>29</v>
      </c>
      <c r="K2" s="9" t="s">
        <v>30</v>
      </c>
    </row>
    <row r="3" spans="1:11">
      <c r="A3" s="9" t="s">
        <v>39</v>
      </c>
      <c r="B3" s="142" t="s">
        <v>40</v>
      </c>
      <c r="C3" s="97">
        <v>438836.54592602357</v>
      </c>
      <c r="D3" s="97">
        <v>1435916.8194734114</v>
      </c>
      <c r="E3" s="97">
        <v>4187131.0210731635</v>
      </c>
      <c r="F3" s="97">
        <v>734331.22184327722</v>
      </c>
      <c r="G3" s="97">
        <v>2532969.3895257055</v>
      </c>
      <c r="H3" s="97">
        <v>10256294.634363562</v>
      </c>
      <c r="I3" s="97">
        <v>0</v>
      </c>
      <c r="J3" s="97">
        <v>0</v>
      </c>
      <c r="K3" s="97">
        <v>3120710.5220736247</v>
      </c>
    </row>
    <row r="4" spans="1:11">
      <c r="A4" s="9" t="s">
        <v>41</v>
      </c>
      <c r="B4" s="142" t="s">
        <v>42</v>
      </c>
      <c r="C4" s="97">
        <v>0</v>
      </c>
      <c r="D4" s="97">
        <v>0</v>
      </c>
      <c r="E4" s="97">
        <v>6516345.7002625735</v>
      </c>
      <c r="F4" s="97">
        <v>0</v>
      </c>
      <c r="G4" s="97">
        <v>0</v>
      </c>
      <c r="H4" s="97">
        <v>23374608.387483921</v>
      </c>
      <c r="I4" s="97">
        <v>0</v>
      </c>
      <c r="J4" s="97">
        <v>0</v>
      </c>
      <c r="K4" s="97">
        <v>1187177.3299259101</v>
      </c>
    </row>
    <row r="5" spans="1:11">
      <c r="A5" s="9" t="s">
        <v>41</v>
      </c>
      <c r="B5" s="142" t="s">
        <v>43</v>
      </c>
      <c r="C5" s="97">
        <v>0</v>
      </c>
      <c r="D5" s="97">
        <v>0</v>
      </c>
      <c r="E5" s="97">
        <v>1932350.1789673998</v>
      </c>
      <c r="F5" s="97">
        <v>0</v>
      </c>
      <c r="G5" s="97">
        <v>0</v>
      </c>
      <c r="H5" s="97">
        <v>17430837.947103798</v>
      </c>
      <c r="I5" s="97">
        <v>0</v>
      </c>
      <c r="J5" s="97">
        <v>0</v>
      </c>
      <c r="K5" s="97">
        <v>354158.75044209557</v>
      </c>
    </row>
    <row r="6" spans="1:11">
      <c r="A6" s="9" t="s">
        <v>44</v>
      </c>
      <c r="B6" s="142" t="s">
        <v>45</v>
      </c>
      <c r="C6" s="97">
        <v>0</v>
      </c>
      <c r="D6" s="97">
        <v>0</v>
      </c>
      <c r="E6" s="97">
        <v>5609305.1906247586</v>
      </c>
      <c r="F6" s="97">
        <v>0</v>
      </c>
      <c r="G6" s="97">
        <v>0</v>
      </c>
      <c r="H6" s="97">
        <v>13726426.088103494</v>
      </c>
      <c r="I6" s="97">
        <v>0</v>
      </c>
      <c r="J6" s="97">
        <v>0</v>
      </c>
      <c r="K6" s="97">
        <v>3122662.5880133999</v>
      </c>
    </row>
    <row r="7" spans="1:11">
      <c r="A7" s="9" t="s">
        <v>39</v>
      </c>
      <c r="B7" s="142" t="s">
        <v>46</v>
      </c>
      <c r="C7" s="97">
        <v>0</v>
      </c>
      <c r="D7" s="97">
        <v>0</v>
      </c>
      <c r="E7" s="97">
        <v>12119452.055334589</v>
      </c>
      <c r="F7" s="97">
        <v>0</v>
      </c>
      <c r="G7" s="97">
        <v>1337101.5907053843</v>
      </c>
      <c r="H7" s="97">
        <v>24083080.742096599</v>
      </c>
      <c r="I7" s="97">
        <v>0</v>
      </c>
      <c r="J7" s="97">
        <v>0</v>
      </c>
      <c r="K7" s="97">
        <v>7999546.3587084068</v>
      </c>
    </row>
    <row r="8" spans="1:11">
      <c r="A8" s="9" t="s">
        <v>41</v>
      </c>
      <c r="B8" s="142" t="s">
        <v>47</v>
      </c>
      <c r="C8" s="97">
        <v>0</v>
      </c>
      <c r="D8" s="97">
        <v>0</v>
      </c>
      <c r="E8" s="97">
        <v>6213289.539906797</v>
      </c>
      <c r="F8" s="97">
        <v>0</v>
      </c>
      <c r="G8" s="97">
        <v>0</v>
      </c>
      <c r="H8" s="97">
        <v>48400910.725058138</v>
      </c>
      <c r="I8" s="97">
        <v>293844.94829076785</v>
      </c>
      <c r="J8" s="97">
        <v>0</v>
      </c>
      <c r="K8" s="97">
        <v>5524866.8990511699</v>
      </c>
    </row>
    <row r="9" spans="1:11">
      <c r="A9" s="9" t="s">
        <v>48</v>
      </c>
      <c r="B9" s="142" t="s">
        <v>49</v>
      </c>
      <c r="C9" s="97">
        <v>0</v>
      </c>
      <c r="D9" s="97">
        <v>329057.92940834386</v>
      </c>
      <c r="E9" s="97">
        <v>4545874.3581226766</v>
      </c>
      <c r="F9" s="97">
        <v>0</v>
      </c>
      <c r="G9" s="97">
        <v>0</v>
      </c>
      <c r="H9" s="97">
        <v>17150853.166751321</v>
      </c>
      <c r="I9" s="97">
        <v>0</v>
      </c>
      <c r="J9" s="97">
        <v>0</v>
      </c>
      <c r="K9" s="97">
        <v>6862211.8708959194</v>
      </c>
    </row>
    <row r="10" spans="1:11">
      <c r="A10" s="9" t="s">
        <v>48</v>
      </c>
      <c r="B10" s="142" t="s">
        <v>50</v>
      </c>
      <c r="C10" s="97">
        <v>0</v>
      </c>
      <c r="D10" s="97">
        <v>918167.69378688838</v>
      </c>
      <c r="E10" s="97">
        <v>6312222.1531128529</v>
      </c>
      <c r="F10" s="97">
        <v>0</v>
      </c>
      <c r="G10" s="97">
        <v>2298170.1638393025</v>
      </c>
      <c r="H10" s="97">
        <v>22439937.089543931</v>
      </c>
      <c r="I10" s="97">
        <v>408478.29654266679</v>
      </c>
      <c r="J10" s="97">
        <v>0</v>
      </c>
      <c r="K10" s="97">
        <v>2021493.7233423234</v>
      </c>
    </row>
    <row r="11" spans="1:11">
      <c r="A11" s="9" t="s">
        <v>48</v>
      </c>
      <c r="B11" s="142" t="s">
        <v>51</v>
      </c>
      <c r="C11" s="97">
        <v>0</v>
      </c>
      <c r="D11" s="97">
        <v>0</v>
      </c>
      <c r="E11" s="97">
        <v>2570439.4284310923</v>
      </c>
      <c r="F11" s="97">
        <v>0</v>
      </c>
      <c r="G11" s="97">
        <v>0</v>
      </c>
      <c r="H11" s="97">
        <v>16837274.138136376</v>
      </c>
      <c r="I11" s="97">
        <v>0</v>
      </c>
      <c r="J11" s="97">
        <v>0</v>
      </c>
      <c r="K11" s="97">
        <v>1518454.1359721802</v>
      </c>
    </row>
    <row r="12" spans="1:11">
      <c r="A12" s="9" t="s">
        <v>52</v>
      </c>
      <c r="B12" s="142" t="s">
        <v>53</v>
      </c>
      <c r="C12" s="97">
        <v>0</v>
      </c>
      <c r="D12" s="97">
        <v>0</v>
      </c>
      <c r="E12" s="97">
        <v>11726640.003982436</v>
      </c>
      <c r="F12" s="97">
        <v>0</v>
      </c>
      <c r="G12" s="97">
        <v>0</v>
      </c>
      <c r="H12" s="97">
        <v>13234668.19075935</v>
      </c>
      <c r="I12" s="97">
        <v>0</v>
      </c>
      <c r="J12" s="97">
        <v>0</v>
      </c>
      <c r="K12" s="97">
        <v>5542579.9149929928</v>
      </c>
    </row>
    <row r="13" spans="1:11">
      <c r="A13" s="9" t="s">
        <v>39</v>
      </c>
      <c r="B13" s="142" t="s">
        <v>54</v>
      </c>
      <c r="C13" s="97">
        <v>845946.26375360508</v>
      </c>
      <c r="D13" s="97">
        <v>1412469.2607138236</v>
      </c>
      <c r="E13" s="97">
        <v>5418047.8489772649</v>
      </c>
      <c r="F13" s="97">
        <v>0</v>
      </c>
      <c r="G13" s="97">
        <v>0</v>
      </c>
      <c r="H13" s="97">
        <v>18721583.051079936</v>
      </c>
      <c r="I13" s="97">
        <v>186082.00742459751</v>
      </c>
      <c r="J13" s="97">
        <v>0</v>
      </c>
      <c r="K13" s="97">
        <v>1674738.0668213777</v>
      </c>
    </row>
    <row r="14" spans="1:11">
      <c r="A14" s="9" t="s">
        <v>44</v>
      </c>
      <c r="B14" s="142" t="s">
        <v>55</v>
      </c>
      <c r="C14" s="97">
        <v>54188.410086255615</v>
      </c>
      <c r="D14" s="97">
        <v>0</v>
      </c>
      <c r="E14" s="97">
        <v>718827.42566632107</v>
      </c>
      <c r="F14" s="97">
        <v>0</v>
      </c>
      <c r="G14" s="97">
        <v>0</v>
      </c>
      <c r="H14" s="97">
        <v>2217953.5994135719</v>
      </c>
      <c r="I14" s="97">
        <v>423376.67110505683</v>
      </c>
      <c r="J14" s="97">
        <v>0</v>
      </c>
      <c r="K14" s="97">
        <v>1871347.8335293976</v>
      </c>
    </row>
    <row r="15" spans="1:11">
      <c r="A15" s="9" t="s">
        <v>39</v>
      </c>
      <c r="B15" s="142" t="s">
        <v>56</v>
      </c>
      <c r="C15" s="97">
        <v>427450.32743596169</v>
      </c>
      <c r="D15" s="97">
        <v>0</v>
      </c>
      <c r="E15" s="97">
        <v>4601377.0541635882</v>
      </c>
      <c r="F15" s="97">
        <v>0</v>
      </c>
      <c r="G15" s="97">
        <v>765677.04717502778</v>
      </c>
      <c r="H15" s="97">
        <v>13599745.976746693</v>
      </c>
      <c r="I15" s="97">
        <v>0</v>
      </c>
      <c r="J15" s="97">
        <v>0</v>
      </c>
      <c r="K15" s="97">
        <v>1886368.4054707203</v>
      </c>
    </row>
    <row r="16" spans="1:11">
      <c r="A16" s="9" t="s">
        <v>48</v>
      </c>
      <c r="B16" s="142" t="s">
        <v>57</v>
      </c>
      <c r="C16" s="97">
        <v>0</v>
      </c>
      <c r="D16" s="97">
        <v>0</v>
      </c>
      <c r="E16" s="97">
        <v>3738898.4067166671</v>
      </c>
      <c r="F16" s="97">
        <v>0</v>
      </c>
      <c r="G16" s="97">
        <v>0</v>
      </c>
      <c r="H16" s="97">
        <v>13559308.59933538</v>
      </c>
      <c r="I16" s="97">
        <v>0</v>
      </c>
      <c r="J16" s="97">
        <v>0</v>
      </c>
      <c r="K16" s="97">
        <v>140704.07483999999</v>
      </c>
    </row>
    <row r="17" spans="1:11">
      <c r="A17" s="9" t="s">
        <v>41</v>
      </c>
      <c r="B17" s="142" t="s">
        <v>58</v>
      </c>
      <c r="C17" s="97">
        <v>0</v>
      </c>
      <c r="D17" s="97">
        <v>0</v>
      </c>
      <c r="E17" s="97">
        <v>6192893.677903221</v>
      </c>
      <c r="F17" s="97">
        <v>0</v>
      </c>
      <c r="G17" s="97">
        <v>0</v>
      </c>
      <c r="H17" s="97">
        <v>12581494.837435756</v>
      </c>
      <c r="I17" s="97">
        <v>0</v>
      </c>
      <c r="J17" s="97">
        <v>423454.63753196853</v>
      </c>
      <c r="K17" s="97">
        <v>4255602.1307770759</v>
      </c>
    </row>
    <row r="18" spans="1:11">
      <c r="A18" s="9" t="s">
        <v>39</v>
      </c>
      <c r="B18" s="142" t="s">
        <v>59</v>
      </c>
      <c r="C18" s="97">
        <v>0</v>
      </c>
      <c r="D18" s="97">
        <v>0</v>
      </c>
      <c r="E18" s="97">
        <v>1973373.8710966578</v>
      </c>
      <c r="F18" s="97">
        <v>0</v>
      </c>
      <c r="G18" s="97">
        <v>0</v>
      </c>
      <c r="H18" s="97">
        <v>18237887.003728349</v>
      </c>
      <c r="I18" s="97">
        <v>757421.31171573</v>
      </c>
      <c r="J18" s="97">
        <v>0</v>
      </c>
      <c r="K18" s="97">
        <v>5415531.514003342</v>
      </c>
    </row>
    <row r="19" spans="1:11">
      <c r="A19" s="9" t="s">
        <v>52</v>
      </c>
      <c r="B19" s="142" t="s">
        <v>60</v>
      </c>
      <c r="C19" s="97">
        <v>0</v>
      </c>
      <c r="D19" s="97">
        <v>0</v>
      </c>
      <c r="E19" s="97">
        <v>4004818.3486901089</v>
      </c>
      <c r="F19" s="97">
        <v>0</v>
      </c>
      <c r="G19" s="97">
        <v>0</v>
      </c>
      <c r="H19" s="97">
        <v>15958698.481212385</v>
      </c>
      <c r="I19" s="97">
        <v>0</v>
      </c>
      <c r="J19" s="97">
        <v>0</v>
      </c>
      <c r="K19" s="97">
        <v>2232753.779178415</v>
      </c>
    </row>
    <row r="20" spans="1:11">
      <c r="A20" s="9" t="s">
        <v>52</v>
      </c>
      <c r="B20" s="142" t="s">
        <v>61</v>
      </c>
      <c r="C20" s="97">
        <v>0</v>
      </c>
      <c r="D20" s="97">
        <v>318083.18928547221</v>
      </c>
      <c r="E20" s="97">
        <v>4771247.8392820833</v>
      </c>
      <c r="F20" s="97">
        <v>0</v>
      </c>
      <c r="G20" s="97">
        <v>1016056.0401098646</v>
      </c>
      <c r="H20" s="97">
        <v>15347191.072834989</v>
      </c>
      <c r="I20" s="97">
        <v>863506.58243698091</v>
      </c>
      <c r="J20" s="97">
        <v>467922.81221868092</v>
      </c>
      <c r="K20" s="97">
        <v>5185601.4161894768</v>
      </c>
    </row>
    <row r="21" spans="1:11">
      <c r="A21" s="9" t="s">
        <v>39</v>
      </c>
      <c r="B21" s="142" t="s">
        <v>62</v>
      </c>
      <c r="C21" s="97">
        <v>2329610.2591542033</v>
      </c>
      <c r="D21" s="97">
        <v>2409941.6474009003</v>
      </c>
      <c r="E21" s="97">
        <v>18887326.989532154</v>
      </c>
      <c r="F21" s="97">
        <v>10382133.621999305</v>
      </c>
      <c r="G21" s="97">
        <v>779327.25388786558</v>
      </c>
      <c r="H21" s="97">
        <v>42217118.157528289</v>
      </c>
      <c r="I21" s="97">
        <v>613984.07525272551</v>
      </c>
      <c r="J21" s="97">
        <v>0</v>
      </c>
      <c r="K21" s="97">
        <v>2211529.3865637747</v>
      </c>
    </row>
    <row r="22" spans="1:11">
      <c r="A22" s="9" t="s">
        <v>48</v>
      </c>
      <c r="B22" s="142" t="s">
        <v>63</v>
      </c>
      <c r="C22" s="97">
        <v>0</v>
      </c>
      <c r="D22" s="97">
        <v>990279.12418979523</v>
      </c>
      <c r="E22" s="97">
        <v>8351042.5388043215</v>
      </c>
      <c r="F22" s="97">
        <v>0</v>
      </c>
      <c r="G22" s="97">
        <v>1667354.0896216945</v>
      </c>
      <c r="H22" s="97">
        <v>15006186.806595249</v>
      </c>
      <c r="I22" s="97">
        <v>0</v>
      </c>
      <c r="J22" s="97">
        <v>0</v>
      </c>
      <c r="K22" s="97">
        <v>22082.5</v>
      </c>
    </row>
    <row r="23" spans="1:11">
      <c r="A23" s="9" t="s">
        <v>52</v>
      </c>
      <c r="B23" s="142" t="s">
        <v>64</v>
      </c>
      <c r="C23" s="97">
        <v>0</v>
      </c>
      <c r="D23" s="97">
        <v>0</v>
      </c>
      <c r="E23" s="97">
        <v>2459192.6101533002</v>
      </c>
      <c r="F23" s="97">
        <v>0</v>
      </c>
      <c r="G23" s="97">
        <v>0</v>
      </c>
      <c r="H23" s="97">
        <v>9623721.8253600504</v>
      </c>
      <c r="I23" s="97">
        <v>0</v>
      </c>
      <c r="J23" s="97">
        <v>0</v>
      </c>
      <c r="K23" s="97">
        <v>2921281.7619076082</v>
      </c>
    </row>
    <row r="24" spans="1:11">
      <c r="A24" s="9" t="s">
        <v>48</v>
      </c>
      <c r="B24" s="142" t="s">
        <v>65</v>
      </c>
      <c r="C24" s="97">
        <v>0</v>
      </c>
      <c r="D24" s="97">
        <v>583597.67796555534</v>
      </c>
      <c r="E24" s="97">
        <v>9375407.065473957</v>
      </c>
      <c r="F24" s="97">
        <v>0</v>
      </c>
      <c r="G24" s="97">
        <v>0</v>
      </c>
      <c r="H24" s="97">
        <v>26787811.506463494</v>
      </c>
      <c r="I24" s="97">
        <v>0</v>
      </c>
      <c r="J24" s="97">
        <v>0</v>
      </c>
      <c r="K24" s="97">
        <v>1939019.18483023</v>
      </c>
    </row>
    <row r="25" spans="1:11">
      <c r="A25" s="9" t="s">
        <v>44</v>
      </c>
      <c r="B25" s="142" t="s">
        <v>66</v>
      </c>
      <c r="C25" s="97">
        <v>0</v>
      </c>
      <c r="D25" s="97">
        <v>97515.995635132233</v>
      </c>
      <c r="E25" s="97">
        <v>916163.79267185554</v>
      </c>
      <c r="F25" s="97">
        <v>0</v>
      </c>
      <c r="G25" s="97">
        <v>0</v>
      </c>
      <c r="H25" s="97">
        <v>1972104.9967708655</v>
      </c>
      <c r="I25" s="97">
        <v>0</v>
      </c>
      <c r="J25" s="97">
        <v>0</v>
      </c>
      <c r="K25" s="97">
        <v>500198.84845956205</v>
      </c>
    </row>
    <row r="26" spans="1:11">
      <c r="A26" s="9" t="s">
        <v>48</v>
      </c>
      <c r="B26" s="142" t="s">
        <v>67</v>
      </c>
      <c r="C26" s="97">
        <v>0</v>
      </c>
      <c r="D26" s="97">
        <v>2107135.3305711551</v>
      </c>
      <c r="E26" s="97">
        <v>11271501.688928241</v>
      </c>
      <c r="F26" s="97">
        <v>0</v>
      </c>
      <c r="G26" s="97">
        <v>1808114.0499608978</v>
      </c>
      <c r="H26" s="97">
        <v>10997226.247212602</v>
      </c>
      <c r="I26" s="97">
        <v>0</v>
      </c>
      <c r="J26" s="97">
        <v>0</v>
      </c>
      <c r="K26" s="97">
        <v>936301.19461348059</v>
      </c>
    </row>
    <row r="27" spans="1:11">
      <c r="A27" s="9" t="s">
        <v>52</v>
      </c>
      <c r="B27" s="142" t="s">
        <v>68</v>
      </c>
      <c r="C27" s="97">
        <v>246480.58569342602</v>
      </c>
      <c r="D27" s="97">
        <v>1001108.350423062</v>
      </c>
      <c r="E27" s="97">
        <v>1672797.1502985121</v>
      </c>
      <c r="F27" s="97">
        <v>1716894.0793752111</v>
      </c>
      <c r="G27" s="97">
        <v>3901424.6784246038</v>
      </c>
      <c r="H27" s="97">
        <v>16650086.940970756</v>
      </c>
      <c r="I27" s="97">
        <v>7740508.5709752254</v>
      </c>
      <c r="J27" s="97">
        <v>0</v>
      </c>
      <c r="K27" s="97">
        <v>3689657.659053165</v>
      </c>
    </row>
    <row r="28" spans="1:11">
      <c r="A28" s="9" t="s">
        <v>48</v>
      </c>
      <c r="B28" s="142" t="s">
        <v>69</v>
      </c>
      <c r="C28" s="97">
        <v>0</v>
      </c>
      <c r="D28" s="97">
        <v>0</v>
      </c>
      <c r="E28" s="97">
        <v>3833617.7680229247</v>
      </c>
      <c r="F28" s="97">
        <v>0</v>
      </c>
      <c r="G28" s="97">
        <v>0</v>
      </c>
      <c r="H28" s="97">
        <v>22489185.096005492</v>
      </c>
      <c r="I28" s="97">
        <v>0</v>
      </c>
      <c r="J28" s="97">
        <v>0</v>
      </c>
      <c r="K28" s="97">
        <v>2004646.5949285354</v>
      </c>
    </row>
    <row r="29" spans="1:11">
      <c r="A29" s="9" t="s">
        <v>41</v>
      </c>
      <c r="B29" s="142" t="s">
        <v>70</v>
      </c>
      <c r="C29" s="97">
        <v>0</v>
      </c>
      <c r="D29" s="97">
        <v>0</v>
      </c>
      <c r="E29" s="97">
        <v>7404294.7373921368</v>
      </c>
      <c r="F29" s="97">
        <v>0</v>
      </c>
      <c r="G29" s="97">
        <v>0</v>
      </c>
      <c r="H29" s="97">
        <v>31075687.257324751</v>
      </c>
      <c r="I29" s="97">
        <v>0</v>
      </c>
      <c r="J29" s="97">
        <v>0</v>
      </c>
      <c r="K29" s="97">
        <v>3478406.7423274391</v>
      </c>
    </row>
    <row r="30" spans="1:11">
      <c r="A30" s="9" t="s">
        <v>52</v>
      </c>
      <c r="B30" s="142" t="s">
        <v>71</v>
      </c>
      <c r="C30" s="97">
        <v>0</v>
      </c>
      <c r="D30" s="97">
        <v>0</v>
      </c>
      <c r="E30" s="97">
        <v>3492636.7980759093</v>
      </c>
      <c r="F30" s="97">
        <v>0</v>
      </c>
      <c r="G30" s="97">
        <v>0</v>
      </c>
      <c r="H30" s="97">
        <v>4018796.8768562167</v>
      </c>
      <c r="I30" s="97">
        <v>0</v>
      </c>
      <c r="J30" s="97">
        <v>0</v>
      </c>
      <c r="K30" s="97">
        <v>1786857.7449392357</v>
      </c>
    </row>
    <row r="31" spans="1:11">
      <c r="A31" s="9" t="s">
        <v>52</v>
      </c>
      <c r="B31" s="142" t="s">
        <v>72</v>
      </c>
      <c r="C31" s="97">
        <v>0</v>
      </c>
      <c r="D31" s="97">
        <v>1015269.1278363809</v>
      </c>
      <c r="E31" s="97">
        <v>4223477.6618250273</v>
      </c>
      <c r="F31" s="97">
        <v>0</v>
      </c>
      <c r="G31" s="97">
        <v>0</v>
      </c>
      <c r="H31" s="97">
        <v>13689290.419952787</v>
      </c>
      <c r="I31" s="97">
        <v>0</v>
      </c>
      <c r="J31" s="97">
        <v>868406.96048591752</v>
      </c>
      <c r="K31" s="97">
        <v>4062921.6055897074</v>
      </c>
    </row>
    <row r="32" spans="1:11">
      <c r="A32" s="9" t="s">
        <v>39</v>
      </c>
      <c r="B32" s="142" t="s">
        <v>73</v>
      </c>
      <c r="C32" s="97">
        <v>0</v>
      </c>
      <c r="D32" s="97">
        <v>0</v>
      </c>
      <c r="E32" s="97">
        <v>3170210.4419462825</v>
      </c>
      <c r="F32" s="97">
        <v>0</v>
      </c>
      <c r="G32" s="97">
        <v>0</v>
      </c>
      <c r="H32" s="97">
        <v>28701646.371602681</v>
      </c>
      <c r="I32" s="97">
        <v>0</v>
      </c>
      <c r="J32" s="97">
        <v>0</v>
      </c>
      <c r="K32" s="97">
        <v>7415327.0909617804</v>
      </c>
    </row>
  </sheetData>
  <mergeCells count="3">
    <mergeCell ref="C1:E1"/>
    <mergeCell ref="F1:H1"/>
    <mergeCell ref="I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8"/>
  <sheetViews>
    <sheetView workbookViewId="0">
      <selection activeCell="D4" sqref="D4"/>
    </sheetView>
  </sheetViews>
  <sheetFormatPr defaultColWidth="9.140625" defaultRowHeight="14.45"/>
  <cols>
    <col min="1" max="1" width="12.5703125" style="88" bestFit="1" customWidth="1"/>
    <col min="2" max="2" width="12.5703125" style="106" bestFit="1" customWidth="1"/>
    <col min="3" max="3" width="12.7109375" style="106" bestFit="1" customWidth="1"/>
    <col min="4" max="4" width="7" style="106" bestFit="1" customWidth="1"/>
    <col min="5" max="5" width="7.42578125" style="106" bestFit="1" customWidth="1"/>
    <col min="6" max="6" width="7" style="106" bestFit="1" customWidth="1"/>
    <col min="7" max="7" width="7.42578125" style="106" bestFit="1" customWidth="1"/>
    <col min="8" max="8" width="6" style="106" bestFit="1" customWidth="1"/>
    <col min="9" max="9" width="7.42578125" style="106" bestFit="1" customWidth="1"/>
    <col min="10" max="10" width="15.7109375" style="106" customWidth="1"/>
    <col min="11" max="11" width="15.28515625" style="106" customWidth="1"/>
    <col min="12" max="12" width="14.42578125" style="106" customWidth="1"/>
    <col min="13" max="13" width="12.7109375" style="106" customWidth="1"/>
    <col min="14" max="14" width="15.140625" style="106" customWidth="1"/>
    <col min="15" max="15" width="14" style="106" customWidth="1"/>
    <col min="16" max="16" width="11.5703125" style="106" bestFit="1" customWidth="1"/>
    <col min="17" max="17" width="15.28515625" style="106" customWidth="1"/>
    <col min="18" max="18" width="14.7109375" style="106" customWidth="1"/>
    <col min="19" max="19" width="10.85546875" style="106" bestFit="1" customWidth="1"/>
    <col min="20" max="20" width="10.140625" style="106" bestFit="1" customWidth="1"/>
    <col min="21" max="16384" width="9.140625" style="106"/>
  </cols>
  <sheetData>
    <row r="1" spans="1:19" ht="33.6" customHeight="1">
      <c r="D1" s="310" t="s">
        <v>77</v>
      </c>
      <c r="E1" s="310"/>
      <c r="F1" s="310"/>
      <c r="G1" s="310"/>
      <c r="H1" s="310"/>
      <c r="I1" s="310"/>
      <c r="J1" s="310" t="s">
        <v>78</v>
      </c>
      <c r="K1" s="310"/>
      <c r="L1" s="310"/>
      <c r="M1" s="318" t="s">
        <v>79</v>
      </c>
      <c r="N1" s="318"/>
      <c r="O1" s="318"/>
    </row>
    <row r="2" spans="1:19" ht="22.5" customHeight="1">
      <c r="D2" s="310" t="s">
        <v>80</v>
      </c>
      <c r="E2" s="310"/>
      <c r="F2" s="310" t="s">
        <v>81</v>
      </c>
      <c r="G2" s="310"/>
      <c r="H2" s="310" t="s">
        <v>82</v>
      </c>
      <c r="I2" s="310"/>
      <c r="J2" s="316" t="s">
        <v>80</v>
      </c>
      <c r="K2" s="316" t="s">
        <v>81</v>
      </c>
      <c r="L2" s="316" t="s">
        <v>82</v>
      </c>
      <c r="M2" s="316" t="s">
        <v>80</v>
      </c>
      <c r="N2" s="316" t="s">
        <v>81</v>
      </c>
      <c r="O2" s="316" t="s">
        <v>82</v>
      </c>
    </row>
    <row r="3" spans="1:19" ht="23.25" customHeight="1">
      <c r="A3" s="80" t="s">
        <v>83</v>
      </c>
      <c r="B3" s="105" t="s">
        <v>84</v>
      </c>
      <c r="C3" s="105" t="s">
        <v>85</v>
      </c>
      <c r="D3" s="80" t="s">
        <v>86</v>
      </c>
      <c r="E3" s="80" t="s">
        <v>87</v>
      </c>
      <c r="F3" s="80" t="s">
        <v>86</v>
      </c>
      <c r="G3" s="80" t="s">
        <v>87</v>
      </c>
      <c r="H3" s="80" t="s">
        <v>86</v>
      </c>
      <c r="I3" s="80" t="s">
        <v>87</v>
      </c>
      <c r="J3" s="317"/>
      <c r="K3" s="317"/>
      <c r="L3" s="317"/>
      <c r="M3" s="317"/>
      <c r="N3" s="317"/>
      <c r="O3" s="317"/>
      <c r="Q3" s="106" t="s">
        <v>88</v>
      </c>
    </row>
    <row r="4" spans="1:19">
      <c r="A4" s="80">
        <v>1</v>
      </c>
      <c r="B4" s="105" t="s">
        <v>39</v>
      </c>
      <c r="C4" s="105" t="s">
        <v>40</v>
      </c>
      <c r="D4" s="107">
        <v>486.2054</v>
      </c>
      <c r="E4" s="107">
        <v>1366.174</v>
      </c>
      <c r="F4" s="107">
        <v>946.26829999999995</v>
      </c>
      <c r="G4" s="107">
        <v>2831.7579999999998</v>
      </c>
      <c r="H4" s="107">
        <v>0</v>
      </c>
      <c r="I4" s="107">
        <v>0</v>
      </c>
      <c r="J4" s="108">
        <f>(D4*$B$36)+(E4*$C$36)</f>
        <v>580024.09</v>
      </c>
      <c r="K4" s="107">
        <f t="shared" ref="K4:K33" si="0">(F4*$B$37)+(G4*$C$37)</f>
        <v>1369622.6199999999</v>
      </c>
      <c r="L4" s="107">
        <f t="shared" ref="L4:L33" si="1">(H4*$B$38)+(I4*$C$38)</f>
        <v>0</v>
      </c>
      <c r="M4" s="107">
        <f>J4*0.57</f>
        <v>330613.73129999993</v>
      </c>
      <c r="N4" s="107">
        <f t="shared" ref="M4:O33" si="2">K4*0.57</f>
        <v>780684.89339999983</v>
      </c>
      <c r="O4" s="107">
        <f t="shared" si="2"/>
        <v>0</v>
      </c>
      <c r="Q4" s="106" t="s">
        <v>89</v>
      </c>
    </row>
    <row r="5" spans="1:19">
      <c r="A5" s="80">
        <v>3</v>
      </c>
      <c r="B5" s="105" t="s">
        <v>41</v>
      </c>
      <c r="C5" s="105" t="s">
        <v>42</v>
      </c>
      <c r="D5" s="107">
        <v>249.15090000000001</v>
      </c>
      <c r="E5" s="107">
        <v>251.57470000000001</v>
      </c>
      <c r="F5" s="107">
        <v>1017.753</v>
      </c>
      <c r="G5" s="107">
        <v>1243.732</v>
      </c>
      <c r="H5" s="107">
        <v>0</v>
      </c>
      <c r="I5" s="107">
        <v>108.0372</v>
      </c>
      <c r="J5" s="107">
        <f t="shared" ref="J5:J33" si="3">(D5*$B$36)+(E5*$C$36)</f>
        <v>162675.22500000001</v>
      </c>
      <c r="K5" s="107">
        <f t="shared" si="0"/>
        <v>842407.4</v>
      </c>
      <c r="L5" s="107">
        <f t="shared" si="1"/>
        <v>43214.879999999997</v>
      </c>
      <c r="M5" s="107">
        <f t="shared" si="2"/>
        <v>92724.878249999994</v>
      </c>
      <c r="N5" s="107">
        <f t="shared" si="2"/>
        <v>480172.21799999999</v>
      </c>
      <c r="O5" s="107">
        <f t="shared" si="2"/>
        <v>24632.481599999996</v>
      </c>
      <c r="Q5" s="106" t="s">
        <v>90</v>
      </c>
      <c r="R5" s="106" t="s">
        <v>91</v>
      </c>
    </row>
    <row r="6" spans="1:19">
      <c r="A6" s="80">
        <v>5</v>
      </c>
      <c r="B6" s="105" t="s">
        <v>41</v>
      </c>
      <c r="C6" s="105" t="s">
        <v>43</v>
      </c>
      <c r="D6" s="107">
        <v>899.44380000000001</v>
      </c>
      <c r="E6" s="107">
        <v>485.17660000000001</v>
      </c>
      <c r="F6" s="107">
        <v>4802.5420000000004</v>
      </c>
      <c r="G6" s="107">
        <v>1323.54</v>
      </c>
      <c r="H6" s="107">
        <v>2</v>
      </c>
      <c r="I6" s="107">
        <v>0</v>
      </c>
      <c r="J6" s="107">
        <f t="shared" si="3"/>
        <v>460358.31000000006</v>
      </c>
      <c r="K6" s="107">
        <f t="shared" si="0"/>
        <v>2384255.7999999998</v>
      </c>
      <c r="L6" s="107">
        <f t="shared" si="1"/>
        <v>900</v>
      </c>
      <c r="M6" s="107">
        <f t="shared" si="2"/>
        <v>262404.23670000001</v>
      </c>
      <c r="N6" s="107">
        <f t="shared" si="2"/>
        <v>1359025.8059999999</v>
      </c>
      <c r="O6" s="107">
        <f t="shared" si="2"/>
        <v>513</v>
      </c>
      <c r="Q6" s="88">
        <v>34</v>
      </c>
      <c r="R6" s="109">
        <v>174904000</v>
      </c>
    </row>
    <row r="7" spans="1:19">
      <c r="A7" s="80">
        <v>30</v>
      </c>
      <c r="B7" s="105" t="s">
        <v>44</v>
      </c>
      <c r="C7" s="105" t="s">
        <v>45</v>
      </c>
      <c r="D7" s="107">
        <v>404.54590000000002</v>
      </c>
      <c r="E7" s="107">
        <v>0</v>
      </c>
      <c r="F7" s="107">
        <v>811.9348</v>
      </c>
      <c r="G7" s="107">
        <v>632.70510000000002</v>
      </c>
      <c r="H7" s="107">
        <v>0</v>
      </c>
      <c r="I7" s="107">
        <v>0</v>
      </c>
      <c r="J7" s="107">
        <f t="shared" si="3"/>
        <v>141591.065</v>
      </c>
      <c r="K7" s="107">
        <f t="shared" si="0"/>
        <v>546220.70499999996</v>
      </c>
      <c r="L7" s="107">
        <f t="shared" si="1"/>
        <v>0</v>
      </c>
      <c r="M7" s="107">
        <f t="shared" si="2"/>
        <v>80706.907049999994</v>
      </c>
      <c r="N7" s="107">
        <f t="shared" si="2"/>
        <v>311345.80184999993</v>
      </c>
      <c r="O7" s="107">
        <f t="shared" si="2"/>
        <v>0</v>
      </c>
    </row>
    <row r="8" spans="1:19">
      <c r="A8" s="80">
        <v>2</v>
      </c>
      <c r="B8" s="105" t="s">
        <v>39</v>
      </c>
      <c r="C8" s="105" t="s">
        <v>46</v>
      </c>
      <c r="D8" s="107">
        <v>854.69039999999995</v>
      </c>
      <c r="E8" s="107">
        <v>1798.787</v>
      </c>
      <c r="F8" s="107">
        <v>338</v>
      </c>
      <c r="G8" s="107">
        <v>1323.259</v>
      </c>
      <c r="H8" s="107">
        <v>10</v>
      </c>
      <c r="I8" s="107">
        <v>2</v>
      </c>
      <c r="J8" s="107">
        <f t="shared" si="3"/>
        <v>838777.74</v>
      </c>
      <c r="K8" s="107">
        <f t="shared" si="0"/>
        <v>598340.65</v>
      </c>
      <c r="L8" s="107">
        <f t="shared" si="1"/>
        <v>5300</v>
      </c>
      <c r="M8" s="107">
        <f t="shared" si="2"/>
        <v>478103.31179999997</v>
      </c>
      <c r="N8" s="107">
        <f t="shared" si="2"/>
        <v>341054.17050000001</v>
      </c>
      <c r="O8" s="107">
        <f t="shared" si="2"/>
        <v>3020.9999999999995</v>
      </c>
      <c r="Q8" s="106" t="s">
        <v>92</v>
      </c>
      <c r="R8" s="110">
        <f>R6*0.34</f>
        <v>59467360.000000007</v>
      </c>
      <c r="S8" s="106" t="s">
        <v>93</v>
      </c>
    </row>
    <row r="9" spans="1:19">
      <c r="A9" s="80">
        <v>4</v>
      </c>
      <c r="B9" s="105" t="s">
        <v>41</v>
      </c>
      <c r="C9" s="105" t="s">
        <v>47</v>
      </c>
      <c r="D9" s="107">
        <v>557.50260000000003</v>
      </c>
      <c r="E9" s="107">
        <v>0</v>
      </c>
      <c r="F9" s="107">
        <v>3597.19</v>
      </c>
      <c r="G9" s="107">
        <v>1788.8620000000001</v>
      </c>
      <c r="H9" s="107">
        <v>3</v>
      </c>
      <c r="I9" s="107">
        <v>1</v>
      </c>
      <c r="J9" s="107">
        <f t="shared" si="3"/>
        <v>195125.91</v>
      </c>
      <c r="K9" s="107">
        <f t="shared" si="0"/>
        <v>2064977.7000000002</v>
      </c>
      <c r="L9" s="107">
        <f t="shared" si="1"/>
        <v>1750</v>
      </c>
      <c r="M9" s="107">
        <f t="shared" si="2"/>
        <v>111221.76869999999</v>
      </c>
      <c r="N9" s="107">
        <f t="shared" si="2"/>
        <v>1177037.2890000001</v>
      </c>
      <c r="O9" s="107">
        <f t="shared" si="2"/>
        <v>997.49999999999989</v>
      </c>
    </row>
    <row r="10" spans="1:19">
      <c r="A10" s="80">
        <v>11</v>
      </c>
      <c r="B10" s="105" t="s">
        <v>48</v>
      </c>
      <c r="C10" s="105" t="s">
        <v>49</v>
      </c>
      <c r="D10" s="107">
        <v>528.23059999999998</v>
      </c>
      <c r="E10" s="107">
        <v>1497.261</v>
      </c>
      <c r="F10" s="107">
        <v>248.95490000000001</v>
      </c>
      <c r="G10" s="107">
        <v>1822.5930000000001</v>
      </c>
      <c r="H10" s="107">
        <v>2</v>
      </c>
      <c r="I10" s="107">
        <v>276.75409999999999</v>
      </c>
      <c r="J10" s="107">
        <f t="shared" si="3"/>
        <v>634059.01</v>
      </c>
      <c r="K10" s="107">
        <f t="shared" si="0"/>
        <v>737489.51</v>
      </c>
      <c r="L10" s="107">
        <f t="shared" si="1"/>
        <v>111601.64</v>
      </c>
      <c r="M10" s="107">
        <f t="shared" si="2"/>
        <v>361413.63569999998</v>
      </c>
      <c r="N10" s="107">
        <f t="shared" si="2"/>
        <v>420369.02069999999</v>
      </c>
      <c r="O10" s="107">
        <f t="shared" si="2"/>
        <v>63612.934799999995</v>
      </c>
      <c r="R10" s="106">
        <v>0.75</v>
      </c>
      <c r="S10" s="106" t="s">
        <v>94</v>
      </c>
    </row>
    <row r="11" spans="1:19">
      <c r="A11" s="80">
        <v>9</v>
      </c>
      <c r="B11" s="105" t="s">
        <v>48</v>
      </c>
      <c r="C11" s="105" t="s">
        <v>50</v>
      </c>
      <c r="D11" s="107">
        <v>803.56479999999999</v>
      </c>
      <c r="E11" s="107">
        <v>1245.6559999999999</v>
      </c>
      <c r="F11" s="107">
        <v>836.18809999999996</v>
      </c>
      <c r="G11" s="107">
        <v>3367.7089999999998</v>
      </c>
      <c r="H11" s="107">
        <v>0</v>
      </c>
      <c r="I11" s="107">
        <v>134.23259999999999</v>
      </c>
      <c r="J11" s="107">
        <f t="shared" si="3"/>
        <v>654944.48</v>
      </c>
      <c r="K11" s="107">
        <f t="shared" si="0"/>
        <v>1513173.39</v>
      </c>
      <c r="L11" s="107">
        <f t="shared" si="1"/>
        <v>53693.039999999994</v>
      </c>
      <c r="M11" s="107">
        <f t="shared" si="2"/>
        <v>373318.35359999997</v>
      </c>
      <c r="N11" s="107">
        <f t="shared" si="2"/>
        <v>862508.83229999989</v>
      </c>
      <c r="O11" s="107">
        <f t="shared" si="2"/>
        <v>30605.032799999994</v>
      </c>
      <c r="R11" s="106">
        <v>0.21129999999999999</v>
      </c>
      <c r="S11" s="106" t="s">
        <v>95</v>
      </c>
    </row>
    <row r="12" spans="1:19">
      <c r="A12" s="80">
        <v>13</v>
      </c>
      <c r="B12" s="105" t="s">
        <v>48</v>
      </c>
      <c r="C12" s="105" t="s">
        <v>51</v>
      </c>
      <c r="D12" s="107">
        <v>758.42899999999997</v>
      </c>
      <c r="E12" s="107">
        <v>472.42419999999998</v>
      </c>
      <c r="F12" s="107">
        <v>1353.867</v>
      </c>
      <c r="G12" s="107">
        <v>2386.152</v>
      </c>
      <c r="H12" s="107">
        <v>523.78970000000004</v>
      </c>
      <c r="I12" s="107">
        <v>0</v>
      </c>
      <c r="J12" s="107">
        <f t="shared" si="3"/>
        <v>407177.41</v>
      </c>
      <c r="K12" s="107">
        <f t="shared" si="0"/>
        <v>1376700</v>
      </c>
      <c r="L12" s="107">
        <f t="shared" si="1"/>
        <v>235705.36500000002</v>
      </c>
      <c r="M12" s="107">
        <f t="shared" si="2"/>
        <v>232091.12369999997</v>
      </c>
      <c r="N12" s="107">
        <f t="shared" si="2"/>
        <v>784718.99999999988</v>
      </c>
      <c r="O12" s="107">
        <f t="shared" si="2"/>
        <v>134352.05804999999</v>
      </c>
      <c r="R12" s="111">
        <f>SUM(M34:O34)</f>
        <v>25721496.044774998</v>
      </c>
      <c r="S12" s="106" t="s">
        <v>96</v>
      </c>
    </row>
    <row r="13" spans="1:19">
      <c r="A13" s="80">
        <v>19</v>
      </c>
      <c r="B13" s="105" t="s">
        <v>52</v>
      </c>
      <c r="C13" s="105" t="s">
        <v>53</v>
      </c>
      <c r="D13" s="107">
        <v>680.46559999999999</v>
      </c>
      <c r="E13" s="107">
        <v>1033.2909999999999</v>
      </c>
      <c r="F13" s="107">
        <v>252.00739999999999</v>
      </c>
      <c r="G13" s="107">
        <v>391.77190000000002</v>
      </c>
      <c r="H13" s="107">
        <v>0</v>
      </c>
      <c r="I13" s="107">
        <v>212.52019999999999</v>
      </c>
      <c r="J13" s="107">
        <f t="shared" si="3"/>
        <v>548150.26</v>
      </c>
      <c r="K13" s="107">
        <f t="shared" si="0"/>
        <v>237923.125</v>
      </c>
      <c r="L13" s="107">
        <f t="shared" si="1"/>
        <v>85008.08</v>
      </c>
      <c r="M13" s="107">
        <f t="shared" si="2"/>
        <v>312445.6482</v>
      </c>
      <c r="N13" s="107">
        <f t="shared" si="2"/>
        <v>135616.18124999999</v>
      </c>
      <c r="O13" s="107">
        <f t="shared" si="2"/>
        <v>48454.605599999995</v>
      </c>
      <c r="R13" s="111">
        <f>SUM(J34:L34)</f>
        <v>45125431.657500006</v>
      </c>
      <c r="S13" s="106" t="s">
        <v>97</v>
      </c>
    </row>
    <row r="14" spans="1:19">
      <c r="A14" s="80">
        <v>23</v>
      </c>
      <c r="B14" s="105" t="s">
        <v>39</v>
      </c>
      <c r="C14" s="105" t="s">
        <v>54</v>
      </c>
      <c r="D14" s="107">
        <v>578.00450000000001</v>
      </c>
      <c r="E14" s="107">
        <v>999.77210000000002</v>
      </c>
      <c r="F14" s="107">
        <v>1439.3320000000001</v>
      </c>
      <c r="G14" s="107">
        <v>2441.4059999999999</v>
      </c>
      <c r="H14" s="107">
        <v>2</v>
      </c>
      <c r="I14" s="107">
        <v>1</v>
      </c>
      <c r="J14" s="107">
        <f t="shared" si="3"/>
        <v>502233.20500000002</v>
      </c>
      <c r="K14" s="107">
        <f t="shared" si="0"/>
        <v>1430224.9</v>
      </c>
      <c r="L14" s="107">
        <f t="shared" si="1"/>
        <v>1300</v>
      </c>
      <c r="M14" s="107">
        <f t="shared" si="2"/>
        <v>286272.92684999999</v>
      </c>
      <c r="N14" s="107">
        <f t="shared" si="2"/>
        <v>815228.19299999985</v>
      </c>
      <c r="O14" s="107">
        <f t="shared" si="2"/>
        <v>740.99999999999989</v>
      </c>
      <c r="R14" s="115">
        <f>R12*R10*R11</f>
        <v>4076214.0856957179</v>
      </c>
      <c r="S14" s="106" t="s">
        <v>98</v>
      </c>
    </row>
    <row r="15" spans="1:19">
      <c r="A15" s="80">
        <v>29</v>
      </c>
      <c r="B15" s="105" t="s">
        <v>44</v>
      </c>
      <c r="C15" s="105" t="s">
        <v>55</v>
      </c>
      <c r="D15" s="107">
        <v>0</v>
      </c>
      <c r="E15" s="107">
        <v>45.99492</v>
      </c>
      <c r="F15" s="107">
        <v>133.77500000000001</v>
      </c>
      <c r="G15" s="107">
        <v>0</v>
      </c>
      <c r="H15" s="107">
        <v>55.777430000000003</v>
      </c>
      <c r="I15" s="107">
        <v>175.7276</v>
      </c>
      <c r="J15" s="107">
        <f t="shared" si="3"/>
        <v>13798.476000000001</v>
      </c>
      <c r="K15" s="107">
        <f t="shared" si="0"/>
        <v>53510</v>
      </c>
      <c r="L15" s="107">
        <f t="shared" si="1"/>
        <v>95390.883499999996</v>
      </c>
      <c r="M15" s="107">
        <f t="shared" si="2"/>
        <v>7865.1313199999995</v>
      </c>
      <c r="N15" s="107">
        <f t="shared" si="2"/>
        <v>30500.699999999997</v>
      </c>
      <c r="O15" s="107">
        <f t="shared" si="2"/>
        <v>54372.80359499999</v>
      </c>
      <c r="R15" s="114"/>
    </row>
    <row r="16" spans="1:19">
      <c r="A16" s="80">
        <v>25</v>
      </c>
      <c r="B16" s="105" t="s">
        <v>39</v>
      </c>
      <c r="C16" s="105" t="s">
        <v>56</v>
      </c>
      <c r="D16" s="107">
        <v>5</v>
      </c>
      <c r="E16" s="107">
        <v>8</v>
      </c>
      <c r="F16" s="107">
        <v>1262.4390000000001</v>
      </c>
      <c r="G16" s="107">
        <v>947.27859999999998</v>
      </c>
      <c r="H16" s="107">
        <v>197.9385</v>
      </c>
      <c r="I16" s="107">
        <v>0</v>
      </c>
      <c r="J16" s="107">
        <f t="shared" si="3"/>
        <v>4150</v>
      </c>
      <c r="K16" s="107">
        <f t="shared" si="0"/>
        <v>836523.1100000001</v>
      </c>
      <c r="L16" s="107">
        <f t="shared" si="1"/>
        <v>89072.324999999997</v>
      </c>
      <c r="M16" s="107">
        <f t="shared" si="2"/>
        <v>2365.5</v>
      </c>
      <c r="N16" s="107">
        <f t="shared" si="2"/>
        <v>476818.1727</v>
      </c>
      <c r="O16" s="107">
        <f t="shared" si="2"/>
        <v>50771.225249999996</v>
      </c>
    </row>
    <row r="17" spans="1:15">
      <c r="A17" s="80">
        <v>12</v>
      </c>
      <c r="B17" s="105" t="s">
        <v>48</v>
      </c>
      <c r="C17" s="105" t="s">
        <v>57</v>
      </c>
      <c r="D17" s="107">
        <v>472.94830000000002</v>
      </c>
      <c r="E17" s="107">
        <v>244.8279</v>
      </c>
      <c r="F17" s="107">
        <v>2226.6669999999999</v>
      </c>
      <c r="G17" s="107">
        <v>2222.8090000000002</v>
      </c>
      <c r="H17" s="107">
        <v>0</v>
      </c>
      <c r="I17" s="107">
        <v>0</v>
      </c>
      <c r="J17" s="107">
        <f t="shared" si="3"/>
        <v>238980.27499999999</v>
      </c>
      <c r="K17" s="107">
        <f t="shared" si="0"/>
        <v>1668649.95</v>
      </c>
      <c r="L17" s="107">
        <f t="shared" si="1"/>
        <v>0</v>
      </c>
      <c r="M17" s="107">
        <f t="shared" si="2"/>
        <v>136218.75674999997</v>
      </c>
      <c r="N17" s="107">
        <f t="shared" si="2"/>
        <v>951130.47149999987</v>
      </c>
      <c r="O17" s="107">
        <f t="shared" si="2"/>
        <v>0</v>
      </c>
    </row>
    <row r="18" spans="1:15">
      <c r="A18" s="80">
        <v>6</v>
      </c>
      <c r="B18" s="105" t="s">
        <v>41</v>
      </c>
      <c r="C18" s="105" t="s">
        <v>58</v>
      </c>
      <c r="D18" s="107">
        <v>0</v>
      </c>
      <c r="E18" s="107">
        <v>822.72260000000006</v>
      </c>
      <c r="F18" s="107">
        <v>3177.3049999999998</v>
      </c>
      <c r="G18" s="107">
        <v>1466.7809999999999</v>
      </c>
      <c r="H18" s="107">
        <v>280.36380000000003</v>
      </c>
      <c r="I18" s="107">
        <v>559.46079999999995</v>
      </c>
      <c r="J18" s="107">
        <f t="shared" si="3"/>
        <v>246816.78000000003</v>
      </c>
      <c r="K18" s="107">
        <f t="shared" si="0"/>
        <v>1784295.35</v>
      </c>
      <c r="L18" s="107">
        <f t="shared" si="1"/>
        <v>349948.02999999997</v>
      </c>
      <c r="M18" s="107">
        <f t="shared" si="2"/>
        <v>140685.56460000001</v>
      </c>
      <c r="N18" s="107">
        <f t="shared" si="2"/>
        <v>1017048.3495</v>
      </c>
      <c r="O18" s="107">
        <f t="shared" si="2"/>
        <v>199470.37709999995</v>
      </c>
    </row>
    <row r="19" spans="1:15">
      <c r="A19" s="80">
        <v>24</v>
      </c>
      <c r="B19" s="105" t="s">
        <v>39</v>
      </c>
      <c r="C19" s="105" t="s">
        <v>59</v>
      </c>
      <c r="D19" s="107">
        <v>246.06020000000001</v>
      </c>
      <c r="E19" s="107">
        <v>298.4796</v>
      </c>
      <c r="F19" s="107">
        <v>1192.375</v>
      </c>
      <c r="G19" s="107">
        <v>2024.61</v>
      </c>
      <c r="H19" s="107">
        <v>1</v>
      </c>
      <c r="I19" s="107">
        <v>234.06020000000001</v>
      </c>
      <c r="J19" s="107">
        <f t="shared" si="3"/>
        <v>175664.95</v>
      </c>
      <c r="K19" s="107">
        <f t="shared" si="0"/>
        <v>1185563.5</v>
      </c>
      <c r="L19" s="107">
        <f t="shared" si="1"/>
        <v>94074.08</v>
      </c>
      <c r="M19" s="107">
        <f t="shared" si="2"/>
        <v>100129.0215</v>
      </c>
      <c r="N19" s="107">
        <f t="shared" si="2"/>
        <v>675771.19499999995</v>
      </c>
      <c r="O19" s="107">
        <f t="shared" si="2"/>
        <v>53622.225599999998</v>
      </c>
    </row>
    <row r="20" spans="1:15">
      <c r="A20" s="80">
        <v>20</v>
      </c>
      <c r="B20" s="105" t="s">
        <v>52</v>
      </c>
      <c r="C20" s="105" t="s">
        <v>60</v>
      </c>
      <c r="D20" s="107">
        <v>1404.0350000000001</v>
      </c>
      <c r="E20" s="107">
        <v>1056.5519999999999</v>
      </c>
      <c r="F20" s="107">
        <v>925.11199999999997</v>
      </c>
      <c r="G20" s="107">
        <v>886.02269999999999</v>
      </c>
      <c r="H20" s="107">
        <v>13</v>
      </c>
      <c r="I20" s="107">
        <v>15</v>
      </c>
      <c r="J20" s="107">
        <f t="shared" si="3"/>
        <v>808377.85</v>
      </c>
      <c r="K20" s="107">
        <f t="shared" si="0"/>
        <v>680152.745</v>
      </c>
      <c r="L20" s="107">
        <f t="shared" si="1"/>
        <v>11850</v>
      </c>
      <c r="M20" s="107">
        <f t="shared" si="2"/>
        <v>460775.37449999998</v>
      </c>
      <c r="N20" s="107">
        <f t="shared" si="2"/>
        <v>387687.06464999996</v>
      </c>
      <c r="O20" s="107">
        <f t="shared" si="2"/>
        <v>6754.4999999999991</v>
      </c>
    </row>
    <row r="21" spans="1:15">
      <c r="A21" s="80">
        <v>17</v>
      </c>
      <c r="B21" s="105" t="s">
        <v>52</v>
      </c>
      <c r="C21" s="105" t="s">
        <v>61</v>
      </c>
      <c r="D21" s="107">
        <v>507.90129999999999</v>
      </c>
      <c r="E21" s="107">
        <v>1009.479</v>
      </c>
      <c r="F21" s="107">
        <v>984.84640000000002</v>
      </c>
      <c r="G21" s="107">
        <v>1452.2650000000001</v>
      </c>
      <c r="H21" s="107">
        <v>212.47989999999999</v>
      </c>
      <c r="I21" s="107">
        <v>207.7869</v>
      </c>
      <c r="J21" s="107">
        <f t="shared" si="3"/>
        <v>480609.15500000003</v>
      </c>
      <c r="K21" s="107">
        <f t="shared" si="0"/>
        <v>902231.31</v>
      </c>
      <c r="L21" s="107">
        <f t="shared" si="1"/>
        <v>178730.71499999997</v>
      </c>
      <c r="M21" s="107">
        <f t="shared" si="2"/>
        <v>273947.21834999998</v>
      </c>
      <c r="N21" s="107">
        <f t="shared" si="2"/>
        <v>514271.84669999999</v>
      </c>
      <c r="O21" s="107">
        <f t="shared" si="2"/>
        <v>101876.50754999997</v>
      </c>
    </row>
    <row r="22" spans="1:15">
      <c r="A22" s="80">
        <v>26</v>
      </c>
      <c r="B22" s="105" t="s">
        <v>39</v>
      </c>
      <c r="C22" s="105" t="s">
        <v>62</v>
      </c>
      <c r="D22" s="107">
        <v>571.18820000000005</v>
      </c>
      <c r="E22" s="107">
        <v>254.1951</v>
      </c>
      <c r="F22" s="107">
        <v>2318.0100000000002</v>
      </c>
      <c r="G22" s="107">
        <v>1545.5509999999999</v>
      </c>
      <c r="H22" s="107">
        <v>589.37670000000003</v>
      </c>
      <c r="I22" s="107">
        <v>1</v>
      </c>
      <c r="J22" s="107">
        <f t="shared" si="3"/>
        <v>276174.40000000002</v>
      </c>
      <c r="K22" s="107">
        <f t="shared" si="0"/>
        <v>1468146.85</v>
      </c>
      <c r="L22" s="107">
        <f t="shared" si="1"/>
        <v>265619.51500000001</v>
      </c>
      <c r="M22" s="107">
        <f t="shared" si="2"/>
        <v>157419.408</v>
      </c>
      <c r="N22" s="107">
        <f t="shared" si="2"/>
        <v>836843.70449999999</v>
      </c>
      <c r="O22" s="107">
        <f t="shared" si="2"/>
        <v>151403.12354999999</v>
      </c>
    </row>
    <row r="23" spans="1:15">
      <c r="A23" s="80">
        <v>10</v>
      </c>
      <c r="B23" s="105" t="s">
        <v>48</v>
      </c>
      <c r="C23" s="105" t="s">
        <v>63</v>
      </c>
      <c r="D23" s="107">
        <v>1561.09</v>
      </c>
      <c r="E23" s="107">
        <v>2763.71</v>
      </c>
      <c r="F23" s="107">
        <v>2244.2449999999999</v>
      </c>
      <c r="G23" s="107">
        <v>2059.6039999999998</v>
      </c>
      <c r="H23" s="107">
        <v>1</v>
      </c>
      <c r="I23" s="107">
        <v>4</v>
      </c>
      <c r="J23" s="107">
        <f t="shared" si="3"/>
        <v>1375494.5</v>
      </c>
      <c r="K23" s="107">
        <f t="shared" si="0"/>
        <v>1618559.4</v>
      </c>
      <c r="L23" s="107">
        <f t="shared" si="1"/>
        <v>2050</v>
      </c>
      <c r="M23" s="107">
        <f t="shared" si="2"/>
        <v>784031.86499999999</v>
      </c>
      <c r="N23" s="107">
        <f t="shared" si="2"/>
        <v>922578.85799999989</v>
      </c>
      <c r="O23" s="107">
        <f t="shared" si="2"/>
        <v>1168.5</v>
      </c>
    </row>
    <row r="24" spans="1:15">
      <c r="A24" s="80">
        <v>21</v>
      </c>
      <c r="B24" s="105" t="s">
        <v>52</v>
      </c>
      <c r="C24" s="105" t="s">
        <v>64</v>
      </c>
      <c r="D24" s="107">
        <v>942.11770000000001</v>
      </c>
      <c r="E24" s="107">
        <v>470.46980000000002</v>
      </c>
      <c r="F24" s="107">
        <v>994.34680000000003</v>
      </c>
      <c r="G24" s="107">
        <v>951.46630000000005</v>
      </c>
      <c r="H24" s="107">
        <v>1</v>
      </c>
      <c r="I24" s="107">
        <v>274.34339999999997</v>
      </c>
      <c r="J24" s="107">
        <f t="shared" si="3"/>
        <v>470882.13500000001</v>
      </c>
      <c r="K24" s="107">
        <f t="shared" si="0"/>
        <v>730751.92500000005</v>
      </c>
      <c r="L24" s="107">
        <f t="shared" si="1"/>
        <v>110187.35999999999</v>
      </c>
      <c r="M24" s="107">
        <f t="shared" si="2"/>
        <v>268402.81695000001</v>
      </c>
      <c r="N24" s="107">
        <f t="shared" si="2"/>
        <v>416528.59724999999</v>
      </c>
      <c r="O24" s="107">
        <f t="shared" si="2"/>
        <v>62806.795199999986</v>
      </c>
    </row>
    <row r="25" spans="1:15">
      <c r="A25" s="80">
        <v>14</v>
      </c>
      <c r="B25" s="105" t="s">
        <v>48</v>
      </c>
      <c r="C25" s="105" t="s">
        <v>65</v>
      </c>
      <c r="D25" s="107">
        <v>998.8904</v>
      </c>
      <c r="E25" s="107">
        <v>1462.26</v>
      </c>
      <c r="F25" s="107">
        <v>1478.2460000000001</v>
      </c>
      <c r="G25" s="107">
        <v>1981.915</v>
      </c>
      <c r="H25" s="107">
        <v>0</v>
      </c>
      <c r="I25" s="107">
        <v>1</v>
      </c>
      <c r="J25" s="107">
        <f t="shared" si="3"/>
        <v>788289.64</v>
      </c>
      <c r="K25" s="107">
        <f t="shared" si="0"/>
        <v>1284968.6499999999</v>
      </c>
      <c r="L25" s="107">
        <f t="shared" si="1"/>
        <v>400</v>
      </c>
      <c r="M25" s="107">
        <f t="shared" si="2"/>
        <v>449325.09479999996</v>
      </c>
      <c r="N25" s="107">
        <f t="shared" si="2"/>
        <v>732432.13049999985</v>
      </c>
      <c r="O25" s="107">
        <f t="shared" si="2"/>
        <v>227.99999999999997</v>
      </c>
    </row>
    <row r="26" spans="1:15">
      <c r="A26" s="80">
        <v>28</v>
      </c>
      <c r="B26" s="105" t="s">
        <v>44</v>
      </c>
      <c r="C26" s="105" t="s">
        <v>66</v>
      </c>
      <c r="D26" s="107">
        <v>0</v>
      </c>
      <c r="E26" s="107">
        <v>154.2373</v>
      </c>
      <c r="F26" s="107">
        <v>167.47120000000001</v>
      </c>
      <c r="G26" s="107">
        <v>49.37753</v>
      </c>
      <c r="H26" s="107">
        <v>17.217110000000002</v>
      </c>
      <c r="I26" s="107">
        <v>59.755740000000003</v>
      </c>
      <c r="J26" s="107">
        <f t="shared" si="3"/>
        <v>46271.19</v>
      </c>
      <c r="K26" s="107">
        <f t="shared" si="0"/>
        <v>84270.615500000014</v>
      </c>
      <c r="L26" s="107">
        <f t="shared" si="1"/>
        <v>31649.995500000005</v>
      </c>
      <c r="M26" s="107">
        <f t="shared" si="2"/>
        <v>26374.578299999997</v>
      </c>
      <c r="N26" s="107">
        <f t="shared" si="2"/>
        <v>48034.250835000006</v>
      </c>
      <c r="O26" s="107">
        <f t="shared" si="2"/>
        <v>18040.497435000001</v>
      </c>
    </row>
    <row r="27" spans="1:15">
      <c r="A27" s="80">
        <v>15</v>
      </c>
      <c r="B27" s="105" t="s">
        <v>48</v>
      </c>
      <c r="C27" s="105" t="s">
        <v>67</v>
      </c>
      <c r="D27" s="107">
        <v>753.83420000000001</v>
      </c>
      <c r="E27" s="107">
        <v>358.34679999999997</v>
      </c>
      <c r="F27" s="107">
        <v>569.13509999999997</v>
      </c>
      <c r="G27" s="107">
        <v>1094.9380000000001</v>
      </c>
      <c r="H27" s="107">
        <v>0</v>
      </c>
      <c r="I27" s="107">
        <v>0</v>
      </c>
      <c r="J27" s="107">
        <f t="shared" si="3"/>
        <v>371346.01</v>
      </c>
      <c r="K27" s="107">
        <f t="shared" si="0"/>
        <v>610882.34000000008</v>
      </c>
      <c r="L27" s="107">
        <f t="shared" si="1"/>
        <v>0</v>
      </c>
      <c r="M27" s="107">
        <f t="shared" si="2"/>
        <v>211667.22569999998</v>
      </c>
      <c r="N27" s="107">
        <f t="shared" si="2"/>
        <v>348202.9338</v>
      </c>
      <c r="O27" s="107">
        <f t="shared" si="2"/>
        <v>0</v>
      </c>
    </row>
    <row r="28" spans="1:15">
      <c r="A28" s="80">
        <v>18</v>
      </c>
      <c r="B28" s="105" t="s">
        <v>52</v>
      </c>
      <c r="C28" s="105" t="s">
        <v>68</v>
      </c>
      <c r="D28" s="107">
        <v>142.21780000000001</v>
      </c>
      <c r="E28" s="107">
        <v>0</v>
      </c>
      <c r="F28" s="107">
        <v>862.89639999999997</v>
      </c>
      <c r="G28" s="107">
        <v>1127.4760000000001</v>
      </c>
      <c r="H28" s="107">
        <v>172.2081</v>
      </c>
      <c r="I28" s="107">
        <v>25</v>
      </c>
      <c r="J28" s="107">
        <f t="shared" si="3"/>
        <v>49776.23</v>
      </c>
      <c r="K28" s="107">
        <f t="shared" si="0"/>
        <v>739775.16</v>
      </c>
      <c r="L28" s="107">
        <f t="shared" si="1"/>
        <v>87493.645000000004</v>
      </c>
      <c r="M28" s="107">
        <f t="shared" si="2"/>
        <v>28372.451099999998</v>
      </c>
      <c r="N28" s="107">
        <f t="shared" si="2"/>
        <v>421671.84119999997</v>
      </c>
      <c r="O28" s="107">
        <f t="shared" si="2"/>
        <v>49871.377649999995</v>
      </c>
    </row>
    <row r="29" spans="1:15">
      <c r="A29" s="80">
        <v>8</v>
      </c>
      <c r="B29" s="105" t="s">
        <v>48</v>
      </c>
      <c r="C29" s="105" t="s">
        <v>69</v>
      </c>
      <c r="D29" s="107">
        <v>96.078019999999995</v>
      </c>
      <c r="E29" s="107">
        <v>811.05110000000002</v>
      </c>
      <c r="F29" s="107">
        <v>1147.116</v>
      </c>
      <c r="G29" s="107">
        <v>1970.577</v>
      </c>
      <c r="H29" s="107">
        <v>1</v>
      </c>
      <c r="I29" s="107">
        <v>2</v>
      </c>
      <c r="J29" s="107">
        <f t="shared" si="3"/>
        <v>276942.63699999999</v>
      </c>
      <c r="K29" s="107">
        <f t="shared" si="0"/>
        <v>1148548.3500000001</v>
      </c>
      <c r="L29" s="107">
        <f t="shared" si="1"/>
        <v>1250</v>
      </c>
      <c r="M29" s="107">
        <f t="shared" si="2"/>
        <v>157857.30308999997</v>
      </c>
      <c r="N29" s="107">
        <f t="shared" si="2"/>
        <v>654672.55949999997</v>
      </c>
      <c r="O29" s="107">
        <f t="shared" si="2"/>
        <v>712.49999999999989</v>
      </c>
    </row>
    <row r="30" spans="1:15">
      <c r="A30" s="80">
        <v>7</v>
      </c>
      <c r="B30" s="105" t="s">
        <v>41</v>
      </c>
      <c r="C30" s="105" t="s">
        <v>70</v>
      </c>
      <c r="D30" s="107">
        <v>1200.125</v>
      </c>
      <c r="E30" s="107">
        <v>1128.0709999999999</v>
      </c>
      <c r="F30" s="107">
        <v>2044.7940000000001</v>
      </c>
      <c r="G30" s="107">
        <v>1863.076</v>
      </c>
      <c r="H30" s="107">
        <v>6</v>
      </c>
      <c r="I30" s="107">
        <v>249.6746</v>
      </c>
      <c r="J30" s="107">
        <f t="shared" si="3"/>
        <v>758465.05</v>
      </c>
      <c r="K30" s="107">
        <f t="shared" si="0"/>
        <v>1469994.2000000002</v>
      </c>
      <c r="L30" s="107">
        <f t="shared" si="1"/>
        <v>102569.84</v>
      </c>
      <c r="M30" s="107">
        <f t="shared" si="2"/>
        <v>432325.0785</v>
      </c>
      <c r="N30" s="107">
        <f t="shared" si="2"/>
        <v>837896.69400000002</v>
      </c>
      <c r="O30" s="107">
        <f t="shared" si="2"/>
        <v>58464.808799999992</v>
      </c>
    </row>
    <row r="31" spans="1:15">
      <c r="A31" s="80">
        <v>16</v>
      </c>
      <c r="B31" s="105" t="s">
        <v>52</v>
      </c>
      <c r="C31" s="105" t="s">
        <v>71</v>
      </c>
      <c r="D31" s="107">
        <v>552.18709999999999</v>
      </c>
      <c r="E31" s="107">
        <v>732.14819999999997</v>
      </c>
      <c r="F31" s="107">
        <v>224.9212</v>
      </c>
      <c r="G31" s="107">
        <v>303.87580000000003</v>
      </c>
      <c r="H31" s="107">
        <v>0</v>
      </c>
      <c r="I31" s="107">
        <v>0</v>
      </c>
      <c r="J31" s="107">
        <f t="shared" si="3"/>
        <v>412909.94499999995</v>
      </c>
      <c r="K31" s="107">
        <f t="shared" si="0"/>
        <v>196325.01</v>
      </c>
      <c r="L31" s="107">
        <f t="shared" si="1"/>
        <v>0</v>
      </c>
      <c r="M31" s="107">
        <f t="shared" si="2"/>
        <v>235358.66864999995</v>
      </c>
      <c r="N31" s="107">
        <f t="shared" si="2"/>
        <v>111905.25569999999</v>
      </c>
      <c r="O31" s="107">
        <f t="shared" si="2"/>
        <v>0</v>
      </c>
    </row>
    <row r="32" spans="1:15">
      <c r="A32" s="80">
        <v>22</v>
      </c>
      <c r="B32" s="105" t="s">
        <v>52</v>
      </c>
      <c r="C32" s="105" t="s">
        <v>72</v>
      </c>
      <c r="D32" s="107">
        <v>232.91460000000001</v>
      </c>
      <c r="E32" s="107">
        <v>263.46420000000001</v>
      </c>
      <c r="F32" s="107">
        <v>632.42729999999995</v>
      </c>
      <c r="G32" s="107">
        <v>423.35140000000001</v>
      </c>
      <c r="H32" s="107">
        <v>12</v>
      </c>
      <c r="I32" s="107">
        <v>351.05829999999997</v>
      </c>
      <c r="J32" s="107">
        <f t="shared" si="3"/>
        <v>160559.37</v>
      </c>
      <c r="K32" s="107">
        <f t="shared" si="0"/>
        <v>401143.91</v>
      </c>
      <c r="L32" s="107">
        <f t="shared" si="1"/>
        <v>145823.31999999998</v>
      </c>
      <c r="M32" s="107">
        <f t="shared" si="2"/>
        <v>91518.840899999996</v>
      </c>
      <c r="N32" s="107">
        <f t="shared" si="2"/>
        <v>228652.02869999997</v>
      </c>
      <c r="O32" s="107">
        <f t="shared" si="2"/>
        <v>83119.292399999977</v>
      </c>
    </row>
    <row r="33" spans="1:15">
      <c r="A33" s="80">
        <v>27</v>
      </c>
      <c r="B33" s="105" t="s">
        <v>39</v>
      </c>
      <c r="C33" s="105" t="s">
        <v>73</v>
      </c>
      <c r="D33" s="107">
        <v>0</v>
      </c>
      <c r="E33" s="107">
        <v>1</v>
      </c>
      <c r="F33" s="107">
        <v>326.52999999999997</v>
      </c>
      <c r="G33" s="107">
        <v>1872.6890000000001</v>
      </c>
      <c r="H33" s="107">
        <v>10</v>
      </c>
      <c r="I33" s="107">
        <v>459.35579999999999</v>
      </c>
      <c r="J33" s="107">
        <f t="shared" si="3"/>
        <v>300</v>
      </c>
      <c r="K33" s="107">
        <f t="shared" si="0"/>
        <v>786053.15</v>
      </c>
      <c r="L33" s="107">
        <f t="shared" si="1"/>
        <v>188242.32</v>
      </c>
      <c r="M33" s="107">
        <f t="shared" si="2"/>
        <v>170.99999999999997</v>
      </c>
      <c r="N33" s="107">
        <f t="shared" si="2"/>
        <v>448050.29549999995</v>
      </c>
      <c r="O33" s="107">
        <f t="shared" si="2"/>
        <v>107298.12239999999</v>
      </c>
    </row>
    <row r="34" spans="1:15">
      <c r="J34" s="111">
        <f t="shared" ref="J34:L34" si="4">SUM(J4:J33)</f>
        <v>12080925.298000002</v>
      </c>
      <c r="K34" s="111">
        <f t="shared" si="4"/>
        <v>30751681.3255</v>
      </c>
      <c r="L34" s="111">
        <f t="shared" si="4"/>
        <v>2292825.0339999995</v>
      </c>
      <c r="M34" s="111">
        <f>SUM(M4:M33)</f>
        <v>6886127.4198600007</v>
      </c>
      <c r="N34" s="111">
        <f t="shared" ref="N34:O34" si="5">SUM(N4:N33)</f>
        <v>17528458.355534997</v>
      </c>
      <c r="O34" s="111">
        <f t="shared" si="5"/>
        <v>1306910.2693799997</v>
      </c>
    </row>
    <row r="35" spans="1:15" ht="28.9">
      <c r="A35" s="80"/>
      <c r="B35" s="112" t="s">
        <v>99</v>
      </c>
      <c r="C35" s="112" t="s">
        <v>100</v>
      </c>
      <c r="J35" s="114"/>
      <c r="K35" s="114"/>
      <c r="L35" s="114"/>
    </row>
    <row r="36" spans="1:15">
      <c r="A36" s="80" t="s">
        <v>11</v>
      </c>
      <c r="B36" s="105">
        <v>350</v>
      </c>
      <c r="C36" s="105">
        <v>300</v>
      </c>
      <c r="J36" s="114"/>
    </row>
    <row r="37" spans="1:15">
      <c r="A37" s="80" t="s">
        <v>13</v>
      </c>
      <c r="B37" s="105">
        <v>400</v>
      </c>
      <c r="C37" s="105">
        <v>350</v>
      </c>
      <c r="J37" s="114"/>
    </row>
    <row r="38" spans="1:15">
      <c r="A38" s="80" t="s">
        <v>15</v>
      </c>
      <c r="B38" s="105">
        <v>450</v>
      </c>
      <c r="C38" s="105">
        <v>400</v>
      </c>
    </row>
  </sheetData>
  <mergeCells count="12">
    <mergeCell ref="N2:N3"/>
    <mergeCell ref="O2:O3"/>
    <mergeCell ref="D1:I1"/>
    <mergeCell ref="J1:L1"/>
    <mergeCell ref="M1:O1"/>
    <mergeCell ref="D2:E2"/>
    <mergeCell ref="F2:G2"/>
    <mergeCell ref="H2:I2"/>
    <mergeCell ref="J2:J3"/>
    <mergeCell ref="K2:K3"/>
    <mergeCell ref="L2:L3"/>
    <mergeCell ref="M2:M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selection activeCell="E19" sqref="E19"/>
    </sheetView>
  </sheetViews>
  <sheetFormatPr defaultColWidth="8.85546875" defaultRowHeight="14.45"/>
  <cols>
    <col min="1" max="1" width="62.7109375" style="16" customWidth="1"/>
    <col min="2" max="2" width="33" style="8" bestFit="1" customWidth="1"/>
    <col min="3" max="3" width="22.85546875" customWidth="1"/>
  </cols>
  <sheetData>
    <row r="1" spans="1:5">
      <c r="B1" s="8" t="s">
        <v>101</v>
      </c>
      <c r="C1" t="s">
        <v>102</v>
      </c>
      <c r="D1" t="s">
        <v>103</v>
      </c>
    </row>
    <row r="2" spans="1:5">
      <c r="A2" s="17" t="s">
        <v>104</v>
      </c>
      <c r="B2" s="25" t="s">
        <v>105</v>
      </c>
      <c r="C2" t="s">
        <v>106</v>
      </c>
    </row>
    <row r="3" spans="1:5">
      <c r="A3" s="17" t="s">
        <v>107</v>
      </c>
      <c r="B3" s="25">
        <v>0.7</v>
      </c>
      <c r="C3" t="s">
        <v>108</v>
      </c>
    </row>
    <row r="4" spans="1:5">
      <c r="A4" s="17" t="s">
        <v>109</v>
      </c>
      <c r="B4" s="25">
        <v>3.56</v>
      </c>
      <c r="C4" t="s">
        <v>110</v>
      </c>
    </row>
    <row r="5" spans="1:5">
      <c r="A5" s="18" t="s">
        <v>111</v>
      </c>
      <c r="B5" s="25">
        <v>3.24</v>
      </c>
      <c r="C5" t="s">
        <v>112</v>
      </c>
    </row>
    <row r="6" spans="1:5">
      <c r="A6" s="18" t="s">
        <v>113</v>
      </c>
      <c r="B6" s="25">
        <v>300</v>
      </c>
      <c r="C6" t="s">
        <v>114</v>
      </c>
      <c r="D6" t="s">
        <v>115</v>
      </c>
      <c r="E6" s="20" t="s">
        <v>116</v>
      </c>
    </row>
    <row r="7" spans="1:5">
      <c r="A7" s="18" t="s">
        <v>117</v>
      </c>
      <c r="B7" s="11">
        <v>350</v>
      </c>
      <c r="C7" t="s">
        <v>114</v>
      </c>
      <c r="D7" t="s">
        <v>115</v>
      </c>
      <c r="E7" s="20" t="s">
        <v>116</v>
      </c>
    </row>
    <row r="8" spans="1:5">
      <c r="A8" s="18" t="s">
        <v>118</v>
      </c>
      <c r="B8" s="11">
        <v>25</v>
      </c>
      <c r="C8" t="s">
        <v>114</v>
      </c>
      <c r="D8" t="s">
        <v>115</v>
      </c>
      <c r="E8" s="20" t="s">
        <v>116</v>
      </c>
    </row>
    <row r="9" spans="1:5">
      <c r="A9" s="17" t="s">
        <v>119</v>
      </c>
      <c r="B9" s="25">
        <v>0.56999999999999995</v>
      </c>
      <c r="C9" t="s">
        <v>120</v>
      </c>
    </row>
    <row r="10" spans="1:5">
      <c r="A10" s="17" t="s">
        <v>121</v>
      </c>
      <c r="B10" s="25">
        <v>0.05</v>
      </c>
      <c r="C10" t="s">
        <v>122</v>
      </c>
    </row>
    <row r="11" spans="1:5">
      <c r="A11" s="17" t="s">
        <v>123</v>
      </c>
      <c r="B11" s="25">
        <v>0.05</v>
      </c>
      <c r="C11" t="s">
        <v>122</v>
      </c>
    </row>
    <row r="12" spans="1:5">
      <c r="A12" s="17" t="s">
        <v>124</v>
      </c>
      <c r="B12" s="26" t="s">
        <v>125</v>
      </c>
      <c r="C12" t="s">
        <v>126</v>
      </c>
      <c r="D12" s="20" t="s">
        <v>127</v>
      </c>
    </row>
    <row r="13" spans="1:5">
      <c r="A13" s="18" t="s">
        <v>109</v>
      </c>
      <c r="B13" s="27">
        <v>3.5</v>
      </c>
      <c r="C13" t="s">
        <v>128</v>
      </c>
    </row>
    <row r="14" spans="1:5">
      <c r="A14" s="18" t="s">
        <v>111</v>
      </c>
      <c r="B14" s="27">
        <v>3.8</v>
      </c>
      <c r="C14" t="s">
        <v>128</v>
      </c>
    </row>
    <row r="15" spans="1:5">
      <c r="A15" s="18" t="s">
        <v>129</v>
      </c>
      <c r="B15" s="37" t="s">
        <v>130</v>
      </c>
      <c r="C15" t="s">
        <v>131</v>
      </c>
    </row>
    <row r="16" spans="1:5">
      <c r="A16" s="18" t="s">
        <v>132</v>
      </c>
      <c r="B16" s="37" t="s">
        <v>133</v>
      </c>
      <c r="C16" t="s">
        <v>131</v>
      </c>
    </row>
    <row r="17" spans="1:5">
      <c r="A17" s="18" t="s">
        <v>134</v>
      </c>
      <c r="B17" s="25">
        <v>10</v>
      </c>
      <c r="C17" s="16"/>
      <c r="D17" s="8" t="s">
        <v>135</v>
      </c>
      <c r="E17" s="8" t="s">
        <v>136</v>
      </c>
    </row>
    <row r="18" spans="1:5">
      <c r="C18" s="16" t="s">
        <v>137</v>
      </c>
      <c r="D18" t="s">
        <v>138</v>
      </c>
      <c r="E18">
        <v>10</v>
      </c>
    </row>
    <row r="19" spans="1:5">
      <c r="C19" s="16"/>
      <c r="D19" t="s">
        <v>139</v>
      </c>
      <c r="E19">
        <v>5</v>
      </c>
    </row>
    <row r="20" spans="1:5">
      <c r="C20" s="16"/>
      <c r="D20" t="s">
        <v>140</v>
      </c>
      <c r="E20">
        <v>5</v>
      </c>
    </row>
    <row r="21" spans="1:5">
      <c r="C21" s="16" t="s">
        <v>141</v>
      </c>
      <c r="D21" t="s">
        <v>142</v>
      </c>
      <c r="E21">
        <v>5</v>
      </c>
    </row>
    <row r="22" spans="1:5">
      <c r="C22" s="16"/>
      <c r="D22" t="s">
        <v>143</v>
      </c>
      <c r="E22">
        <v>10</v>
      </c>
    </row>
    <row r="23" spans="1:5">
      <c r="C23" s="16" t="s">
        <v>144</v>
      </c>
      <c r="D23" t="s">
        <v>145</v>
      </c>
      <c r="E23">
        <v>5</v>
      </c>
    </row>
    <row r="24" spans="1:5">
      <c r="C24" s="16"/>
      <c r="D24" t="s">
        <v>146</v>
      </c>
      <c r="E24">
        <v>10</v>
      </c>
    </row>
    <row r="25" spans="1:5">
      <c r="D25" t="s">
        <v>147</v>
      </c>
      <c r="E25">
        <v>15</v>
      </c>
    </row>
    <row r="26" spans="1:5">
      <c r="C26" s="16"/>
      <c r="D26" t="s">
        <v>148</v>
      </c>
      <c r="E26">
        <v>10</v>
      </c>
    </row>
    <row r="27" spans="1:5">
      <c r="C27" s="16"/>
      <c r="D27" t="s">
        <v>149</v>
      </c>
      <c r="E27">
        <v>10</v>
      </c>
    </row>
    <row r="28" spans="1:5">
      <c r="C28" s="16"/>
      <c r="D28" t="s">
        <v>150</v>
      </c>
      <c r="E28">
        <v>10</v>
      </c>
    </row>
    <row r="29" spans="1:5">
      <c r="C29" s="16"/>
      <c r="D29" t="s">
        <v>151</v>
      </c>
      <c r="E29">
        <v>10</v>
      </c>
    </row>
    <row r="30" spans="1:5">
      <c r="C30" s="16"/>
      <c r="D30" s="16" t="s">
        <v>152</v>
      </c>
      <c r="E30">
        <v>10</v>
      </c>
    </row>
    <row r="32" spans="1:5">
      <c r="A32"/>
    </row>
    <row r="33" spans="1:1">
      <c r="A33"/>
    </row>
    <row r="34" spans="1:1">
      <c r="A34"/>
    </row>
    <row r="35" spans="1:1">
      <c r="A35"/>
    </row>
  </sheetData>
  <hyperlinks>
    <hyperlink ref="D12" r:id="rId1" xr:uid="{00000000-0004-0000-0300-000000000000}"/>
    <hyperlink ref="E6" r:id="rId2" xr:uid="{00000000-0004-0000-0300-000001000000}"/>
    <hyperlink ref="E7" r:id="rId3" xr:uid="{00000000-0004-0000-0300-000002000000}"/>
    <hyperlink ref="E8" r:id="rId4" xr:uid="{00000000-0004-0000-0300-000003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I43"/>
  <sheetViews>
    <sheetView topLeftCell="AQ1" zoomScale="90" zoomScaleNormal="90" workbookViewId="0">
      <selection activeCell="E43" sqref="E43"/>
    </sheetView>
  </sheetViews>
  <sheetFormatPr defaultColWidth="8.85546875" defaultRowHeight="15" customHeight="1"/>
  <cols>
    <col min="2" max="2" width="10.5703125" customWidth="1"/>
    <col min="3" max="3" width="12.42578125" bestFit="1" customWidth="1"/>
    <col min="4" max="4" width="12" bestFit="1" customWidth="1"/>
    <col min="5" max="5" width="13.7109375" bestFit="1" customWidth="1"/>
    <col min="6" max="6" width="7" bestFit="1" customWidth="1"/>
    <col min="7" max="7" width="7.5703125" bestFit="1" customWidth="1"/>
    <col min="8" max="8" width="7" bestFit="1" customWidth="1"/>
    <col min="9" max="9" width="7.5703125" customWidth="1"/>
    <col min="10" max="10" width="7" bestFit="1" customWidth="1"/>
    <col min="11" max="11" width="7.5703125" bestFit="1" customWidth="1"/>
    <col min="12" max="12" width="7" bestFit="1" customWidth="1"/>
    <col min="13" max="13" width="7.5703125" bestFit="1" customWidth="1"/>
    <col min="14" max="14" width="7" bestFit="1" customWidth="1"/>
    <col min="15" max="15" width="7.5703125" bestFit="1" customWidth="1"/>
    <col min="16" max="16" width="7" bestFit="1" customWidth="1"/>
    <col min="17" max="17" width="7.5703125" bestFit="1" customWidth="1"/>
    <col min="18" max="18" width="7" bestFit="1" customWidth="1"/>
    <col min="19" max="19" width="10.7109375" customWidth="1"/>
    <col min="20" max="20" width="14.5703125" bestFit="1" customWidth="1"/>
    <col min="21" max="21" width="10.85546875" bestFit="1" customWidth="1"/>
    <col min="22" max="22" width="11.7109375" bestFit="1" customWidth="1"/>
    <col min="23" max="23" width="14" bestFit="1" customWidth="1"/>
    <col min="24" max="24" width="13.7109375" bestFit="1" customWidth="1"/>
    <col min="25" max="25" width="20.140625" customWidth="1"/>
    <col min="26" max="27" width="22.42578125" customWidth="1"/>
    <col min="28" max="28" width="17.85546875" bestFit="1" customWidth="1"/>
    <col min="29" max="29" width="17.42578125" bestFit="1" customWidth="1"/>
    <col min="30" max="30" width="14.85546875" bestFit="1" customWidth="1"/>
    <col min="31" max="31" width="19.5703125" bestFit="1" customWidth="1"/>
    <col min="32" max="32" width="17.7109375" bestFit="1" customWidth="1"/>
    <col min="33" max="33" width="25.7109375" bestFit="1" customWidth="1"/>
    <col min="34" max="34" width="22.140625" customWidth="1"/>
    <col min="35" max="35" width="13.28515625" bestFit="1" customWidth="1"/>
    <col min="36" max="36" width="24.140625" customWidth="1"/>
    <col min="37" max="37" width="23.5703125" bestFit="1" customWidth="1"/>
    <col min="38" max="38" width="23.5703125" customWidth="1"/>
    <col min="39" max="39" width="20" bestFit="1" customWidth="1"/>
    <col min="40" max="40" width="19.7109375" bestFit="1" customWidth="1"/>
    <col min="41" max="41" width="22.85546875" bestFit="1" customWidth="1"/>
    <col min="42" max="42" width="21.42578125" bestFit="1" customWidth="1"/>
    <col min="43" max="43" width="36" customWidth="1"/>
    <col min="44" max="44" width="24.28515625" bestFit="1" customWidth="1"/>
    <col min="45" max="45" width="22.7109375" bestFit="1" customWidth="1"/>
    <col min="46" max="46" width="21.7109375" bestFit="1" customWidth="1"/>
    <col min="47" max="47" width="19.140625" bestFit="1" customWidth="1"/>
    <col min="48" max="48" width="19.28515625" bestFit="1" customWidth="1"/>
    <col min="49" max="49" width="17.42578125" bestFit="1" customWidth="1"/>
    <col min="50" max="50" width="19.28515625" bestFit="1" customWidth="1"/>
    <col min="51" max="51" width="20.140625" bestFit="1" customWidth="1"/>
    <col min="52" max="52" width="21.7109375" bestFit="1" customWidth="1"/>
    <col min="53" max="53" width="19.140625" bestFit="1" customWidth="1"/>
    <col min="54" max="54" width="20.5703125" bestFit="1" customWidth="1"/>
    <col min="55" max="55" width="20.140625" bestFit="1" customWidth="1"/>
    <col min="56" max="56" width="20.5703125" bestFit="1" customWidth="1"/>
    <col min="57" max="57" width="17.85546875" customWidth="1"/>
    <col min="58" max="58" width="18.42578125" customWidth="1"/>
    <col min="59" max="59" width="17.140625" customWidth="1"/>
    <col min="61" max="61" width="15.85546875" bestFit="1" customWidth="1"/>
  </cols>
  <sheetData>
    <row r="2" spans="1:61" ht="23.45">
      <c r="A2" s="30" t="s">
        <v>153</v>
      </c>
    </row>
    <row r="3" spans="1:61" ht="14.45">
      <c r="A3" s="29" t="s">
        <v>154</v>
      </c>
    </row>
    <row r="5" spans="1:61" ht="14.45">
      <c r="E5" s="39"/>
    </row>
    <row r="6" spans="1:61" s="33" customFormat="1" ht="48" customHeight="1">
      <c r="D6" s="319" t="s">
        <v>155</v>
      </c>
      <c r="E6" s="319"/>
      <c r="F6" s="319" t="s">
        <v>156</v>
      </c>
      <c r="G6" s="319"/>
      <c r="H6" s="319" t="s">
        <v>77</v>
      </c>
      <c r="I6" s="319"/>
      <c r="J6" s="319" t="s">
        <v>157</v>
      </c>
      <c r="K6" s="319"/>
      <c r="L6" s="319" t="s">
        <v>158</v>
      </c>
      <c r="M6" s="319"/>
      <c r="N6" s="319" t="s">
        <v>159</v>
      </c>
      <c r="O6" s="319"/>
      <c r="P6" s="319" t="s">
        <v>160</v>
      </c>
      <c r="Q6" s="319"/>
      <c r="R6" s="319" t="s">
        <v>161</v>
      </c>
      <c r="S6" s="319"/>
      <c r="T6" s="319" t="s">
        <v>162</v>
      </c>
      <c r="U6" s="319"/>
      <c r="V6" s="319"/>
      <c r="W6" s="31" t="s">
        <v>163</v>
      </c>
      <c r="X6" s="31" t="s">
        <v>164</v>
      </c>
      <c r="Y6" s="31" t="s">
        <v>165</v>
      </c>
      <c r="Z6" s="31" t="s">
        <v>166</v>
      </c>
      <c r="AA6" s="31" t="s">
        <v>167</v>
      </c>
      <c r="AB6" s="31" t="s">
        <v>168</v>
      </c>
      <c r="AC6" s="31" t="s">
        <v>134</v>
      </c>
      <c r="AD6" s="31" t="s">
        <v>169</v>
      </c>
      <c r="AE6" s="31" t="s">
        <v>170</v>
      </c>
      <c r="AF6" s="31" t="s">
        <v>171</v>
      </c>
      <c r="AG6" s="31" t="s">
        <v>172</v>
      </c>
      <c r="AH6" s="31" t="s">
        <v>173</v>
      </c>
      <c r="AI6" s="31" t="s">
        <v>174</v>
      </c>
      <c r="AJ6" s="31" t="s">
        <v>175</v>
      </c>
      <c r="AK6" s="31" t="s">
        <v>176</v>
      </c>
      <c r="AL6" s="94" t="s">
        <v>177</v>
      </c>
      <c r="AM6" s="31" t="s">
        <v>178</v>
      </c>
      <c r="AN6" s="31" t="s">
        <v>179</v>
      </c>
      <c r="AO6" s="31" t="s">
        <v>180</v>
      </c>
      <c r="AP6" s="31" t="s">
        <v>181</v>
      </c>
      <c r="AQ6" s="31" t="s">
        <v>182</v>
      </c>
      <c r="AR6" s="31" t="s">
        <v>183</v>
      </c>
      <c r="AS6" s="31" t="s">
        <v>184</v>
      </c>
      <c r="AT6" s="31" t="s">
        <v>185</v>
      </c>
      <c r="AU6" s="31" t="s">
        <v>186</v>
      </c>
      <c r="AV6" s="31" t="s">
        <v>187</v>
      </c>
      <c r="AW6" s="31" t="s">
        <v>188</v>
      </c>
      <c r="AX6" s="31" t="s">
        <v>189</v>
      </c>
      <c r="AY6" s="31" t="s">
        <v>190</v>
      </c>
      <c r="AZ6" s="31" t="s">
        <v>191</v>
      </c>
      <c r="BA6" s="31" t="s">
        <v>192</v>
      </c>
      <c r="BB6" s="31" t="s">
        <v>193</v>
      </c>
      <c r="BC6" s="31" t="s">
        <v>194</v>
      </c>
      <c r="BD6" s="31" t="s">
        <v>195</v>
      </c>
      <c r="BE6" s="31" t="s">
        <v>196</v>
      </c>
      <c r="BF6" s="31" t="s">
        <v>197</v>
      </c>
      <c r="BG6" s="31" t="s">
        <v>198</v>
      </c>
    </row>
    <row r="7" spans="1:61" s="36" customFormat="1" ht="57.75" customHeight="1">
      <c r="A7" s="34" t="s">
        <v>199</v>
      </c>
      <c r="B7" s="34" t="s">
        <v>34</v>
      </c>
      <c r="C7" s="90" t="s">
        <v>35</v>
      </c>
      <c r="D7" s="34" t="s">
        <v>86</v>
      </c>
      <c r="E7" s="34" t="s">
        <v>87</v>
      </c>
      <c r="F7" s="34" t="s">
        <v>86</v>
      </c>
      <c r="G7" s="34" t="s">
        <v>87</v>
      </c>
      <c r="H7" s="34" t="s">
        <v>86</v>
      </c>
      <c r="I7" s="34" t="s">
        <v>87</v>
      </c>
      <c r="J7" s="34" t="s">
        <v>86</v>
      </c>
      <c r="K7" s="34" t="s">
        <v>87</v>
      </c>
      <c r="L7" s="34" t="s">
        <v>86</v>
      </c>
      <c r="M7" s="34" t="s">
        <v>87</v>
      </c>
      <c r="N7" s="34" t="s">
        <v>86</v>
      </c>
      <c r="O7" s="34" t="s">
        <v>87</v>
      </c>
      <c r="P7" s="34" t="s">
        <v>86</v>
      </c>
      <c r="Q7" s="34" t="s">
        <v>87</v>
      </c>
      <c r="R7" s="34" t="s">
        <v>86</v>
      </c>
      <c r="S7" s="34" t="s">
        <v>87</v>
      </c>
      <c r="T7" s="34" t="s">
        <v>200</v>
      </c>
      <c r="U7" s="34" t="s">
        <v>201</v>
      </c>
      <c r="V7" s="34" t="s">
        <v>202</v>
      </c>
      <c r="W7" s="35" t="s">
        <v>203</v>
      </c>
      <c r="X7" s="35" t="s">
        <v>204</v>
      </c>
      <c r="Y7" s="35" t="s">
        <v>205</v>
      </c>
      <c r="Z7" s="35" t="s">
        <v>206</v>
      </c>
      <c r="AA7" s="35" t="s">
        <v>207</v>
      </c>
      <c r="AB7" s="35" t="s">
        <v>208</v>
      </c>
      <c r="AC7" s="35" t="s">
        <v>209</v>
      </c>
      <c r="AD7" s="35" t="s">
        <v>210</v>
      </c>
      <c r="AE7" s="35" t="s">
        <v>121</v>
      </c>
      <c r="AF7" s="35" t="s">
        <v>123</v>
      </c>
      <c r="AG7" s="35" t="s">
        <v>124</v>
      </c>
      <c r="AH7" s="35" t="s">
        <v>211</v>
      </c>
      <c r="AI7" s="35" t="s">
        <v>109</v>
      </c>
      <c r="AJ7" s="35" t="s">
        <v>212</v>
      </c>
      <c r="AK7" s="35" t="s">
        <v>111</v>
      </c>
      <c r="AL7" s="95" t="s">
        <v>31</v>
      </c>
      <c r="AM7" s="35" t="s">
        <v>213</v>
      </c>
      <c r="AN7" s="35" t="s">
        <v>214</v>
      </c>
      <c r="AO7" s="35" t="s">
        <v>215</v>
      </c>
      <c r="AP7" s="35" t="s">
        <v>216</v>
      </c>
      <c r="AQ7" s="35" t="s">
        <v>217</v>
      </c>
      <c r="AR7" s="35" t="s">
        <v>218</v>
      </c>
      <c r="AS7" s="35" t="s">
        <v>219</v>
      </c>
      <c r="AT7" s="35" t="s">
        <v>220</v>
      </c>
      <c r="AU7" s="35" t="s">
        <v>221</v>
      </c>
      <c r="AV7" s="35" t="s">
        <v>222</v>
      </c>
      <c r="AW7" s="35" t="s">
        <v>223</v>
      </c>
      <c r="AX7" s="35" t="s">
        <v>224</v>
      </c>
      <c r="AY7" s="35" t="s">
        <v>225</v>
      </c>
      <c r="AZ7" s="35" t="s">
        <v>226</v>
      </c>
      <c r="BA7" s="35" t="s">
        <v>227</v>
      </c>
      <c r="BB7" s="35" t="s">
        <v>228</v>
      </c>
      <c r="BC7" s="35" t="s">
        <v>229</v>
      </c>
      <c r="BD7" s="35" t="s">
        <v>230</v>
      </c>
      <c r="BE7" s="35" t="s">
        <v>231</v>
      </c>
      <c r="BF7" s="35" t="s">
        <v>232</v>
      </c>
      <c r="BG7" s="35" t="s">
        <v>233</v>
      </c>
    </row>
    <row r="8" spans="1:61" ht="14.45">
      <c r="A8" s="9">
        <v>2020</v>
      </c>
      <c r="B8" s="9" t="s">
        <v>39</v>
      </c>
      <c r="C8" s="9" t="s">
        <v>40</v>
      </c>
      <c r="D8" s="10">
        <v>2119.8290000000002</v>
      </c>
      <c r="E8" s="10">
        <v>11221.66</v>
      </c>
      <c r="F8" s="10">
        <v>486.2054</v>
      </c>
      <c r="G8" s="10">
        <v>1366.174</v>
      </c>
      <c r="H8" s="10">
        <v>486.2054</v>
      </c>
      <c r="I8" s="10">
        <v>1366.174</v>
      </c>
      <c r="J8" s="10">
        <v>5</v>
      </c>
      <c r="K8" s="10">
        <v>614.86270000000002</v>
      </c>
      <c r="L8" s="10">
        <v>1166.9780000000001</v>
      </c>
      <c r="M8" s="10">
        <v>1450.5229999999999</v>
      </c>
      <c r="N8" s="10">
        <v>1533.1590000000001</v>
      </c>
      <c r="O8" s="10">
        <v>3419.9360000000001</v>
      </c>
      <c r="P8" s="10">
        <v>568.67049999999995</v>
      </c>
      <c r="Q8" s="10">
        <v>2930.498</v>
      </c>
      <c r="R8" s="10">
        <v>18</v>
      </c>
      <c r="S8" s="10">
        <v>4871.2269999999999</v>
      </c>
      <c r="T8" s="11">
        <v>7.24</v>
      </c>
      <c r="U8" s="11">
        <v>23.69</v>
      </c>
      <c r="V8" s="11">
        <v>69.08</v>
      </c>
      <c r="W8" s="9">
        <v>300</v>
      </c>
      <c r="X8" s="12">
        <v>350</v>
      </c>
      <c r="Y8" s="11">
        <v>25</v>
      </c>
      <c r="Z8" s="9">
        <v>300</v>
      </c>
      <c r="AA8" s="12">
        <v>350</v>
      </c>
      <c r="AB8" s="13">
        <v>2.82</v>
      </c>
      <c r="AC8" s="9">
        <v>0.1</v>
      </c>
      <c r="AD8" s="9">
        <v>0.7</v>
      </c>
      <c r="AE8" s="9">
        <v>0.05</v>
      </c>
      <c r="AF8" s="9">
        <v>0.05</v>
      </c>
      <c r="AG8" s="14">
        <v>0.02</v>
      </c>
      <c r="AH8" s="14">
        <v>3.69516756251E-3</v>
      </c>
      <c r="AI8" s="15">
        <v>3.56E-2</v>
      </c>
      <c r="AJ8" s="9">
        <v>0.21129999999999999</v>
      </c>
      <c r="AK8" s="9">
        <v>3.2399999999999998E-2</v>
      </c>
      <c r="AL8" s="12">
        <v>2.4234680000000002</v>
      </c>
      <c r="AM8" s="9">
        <v>0.56999999999999995</v>
      </c>
      <c r="AN8" s="9">
        <v>0.56999999999999995</v>
      </c>
      <c r="AO8" s="9">
        <v>0.56999999999999995</v>
      </c>
      <c r="AP8" s="9">
        <v>0.56999999999999995</v>
      </c>
      <c r="AQ8" s="9">
        <v>0.56999999999999995</v>
      </c>
      <c r="AR8" s="9">
        <v>0.56999999999999995</v>
      </c>
      <c r="AS8" s="9">
        <v>0</v>
      </c>
      <c r="AT8" s="9">
        <v>0.26700000000000002</v>
      </c>
      <c r="AU8" s="9">
        <v>300</v>
      </c>
      <c r="AV8" s="9">
        <v>0.316</v>
      </c>
      <c r="AW8" s="12">
        <v>350</v>
      </c>
      <c r="AX8" s="9">
        <v>0.26700000000000002</v>
      </c>
      <c r="AY8" s="9">
        <v>163</v>
      </c>
      <c r="AZ8" s="9">
        <v>0.316</v>
      </c>
      <c r="BA8" s="12">
        <v>188</v>
      </c>
      <c r="BB8" s="9">
        <v>0.26700000000000002</v>
      </c>
      <c r="BC8" s="9">
        <v>163</v>
      </c>
      <c r="BD8" s="9">
        <v>0.316</v>
      </c>
      <c r="BE8" s="12">
        <v>188</v>
      </c>
      <c r="BF8" s="9">
        <v>0.95</v>
      </c>
      <c r="BG8" s="14">
        <v>0.58071022044680598</v>
      </c>
      <c r="BI8" s="141">
        <f>AL8*S8*365</f>
        <v>4308920.9056611406</v>
      </c>
    </row>
    <row r="9" spans="1:61" ht="14.45">
      <c r="A9" s="9">
        <v>2020</v>
      </c>
      <c r="B9" s="9" t="s">
        <v>41</v>
      </c>
      <c r="C9" s="9" t="s">
        <v>42</v>
      </c>
      <c r="D9" s="10">
        <v>4960.0060000000003</v>
      </c>
      <c r="E9" s="10">
        <v>11699.89</v>
      </c>
      <c r="F9" s="10">
        <v>249.15090000000001</v>
      </c>
      <c r="G9" s="10">
        <v>251.57470000000001</v>
      </c>
      <c r="H9" s="10">
        <v>249.15090000000001</v>
      </c>
      <c r="I9" s="10">
        <v>251.57470000000001</v>
      </c>
      <c r="J9" s="10">
        <v>0</v>
      </c>
      <c r="K9" s="10">
        <v>288.93459999999999</v>
      </c>
      <c r="L9" s="10">
        <v>2474.029</v>
      </c>
      <c r="M9" s="10">
        <v>1020.98</v>
      </c>
      <c r="N9" s="10">
        <v>3761.88</v>
      </c>
      <c r="O9" s="10">
        <v>2763.7979999999998</v>
      </c>
      <c r="P9" s="10">
        <v>909.19129999999996</v>
      </c>
      <c r="Q9" s="10">
        <v>3264.212</v>
      </c>
      <c r="R9" s="10">
        <v>288.93459999999999</v>
      </c>
      <c r="S9" s="10">
        <v>5671.884</v>
      </c>
      <c r="T9" s="11">
        <v>0</v>
      </c>
      <c r="U9" s="11">
        <v>0</v>
      </c>
      <c r="V9" s="11">
        <v>100</v>
      </c>
      <c r="W9" s="9">
        <v>300</v>
      </c>
      <c r="X9" s="9">
        <v>350</v>
      </c>
      <c r="Y9" s="11">
        <v>25</v>
      </c>
      <c r="Z9" s="9">
        <v>300</v>
      </c>
      <c r="AA9" s="9">
        <v>350</v>
      </c>
      <c r="AB9" s="13">
        <v>2.82</v>
      </c>
      <c r="AC9" s="9">
        <v>0.1</v>
      </c>
      <c r="AD9" s="9">
        <v>0.7</v>
      </c>
      <c r="AE9" s="9">
        <v>0.05</v>
      </c>
      <c r="AF9" s="9">
        <v>0.05</v>
      </c>
      <c r="AG9" s="14">
        <v>0.01</v>
      </c>
      <c r="AH9" s="14">
        <v>5.0941556632700002E-2</v>
      </c>
      <c r="AI9" s="15">
        <v>3.56E-2</v>
      </c>
      <c r="AJ9" s="9">
        <v>0.21129999999999999</v>
      </c>
      <c r="AK9" s="9">
        <v>3.2399999999999998E-2</v>
      </c>
      <c r="AL9" s="12">
        <v>2.8737720000000002</v>
      </c>
      <c r="AM9" s="9">
        <v>0.56999999999999995</v>
      </c>
      <c r="AN9" s="9">
        <v>0.56999999999999995</v>
      </c>
      <c r="AO9" s="9">
        <v>0.56999999999999995</v>
      </c>
      <c r="AP9" s="9">
        <v>0.56999999999999995</v>
      </c>
      <c r="AQ9" s="9">
        <v>0.56999999999999995</v>
      </c>
      <c r="AR9" s="9">
        <v>0.56999999999999995</v>
      </c>
      <c r="AS9" s="9">
        <v>0</v>
      </c>
      <c r="AT9" s="9">
        <v>0.26700000000000002</v>
      </c>
      <c r="AU9" s="9">
        <v>300</v>
      </c>
      <c r="AV9" s="9">
        <v>0.316</v>
      </c>
      <c r="AW9" s="12">
        <v>350</v>
      </c>
      <c r="AX9" s="9">
        <v>0.26700000000000002</v>
      </c>
      <c r="AY9" s="9">
        <v>163</v>
      </c>
      <c r="AZ9" s="9">
        <v>0.316</v>
      </c>
      <c r="BA9" s="12">
        <v>188</v>
      </c>
      <c r="BB9" s="9">
        <v>0.26700000000000002</v>
      </c>
      <c r="BC9" s="9">
        <v>163</v>
      </c>
      <c r="BD9" s="9">
        <v>0.316</v>
      </c>
      <c r="BE9" s="12">
        <v>188</v>
      </c>
      <c r="BF9" s="9">
        <v>0.95</v>
      </c>
      <c r="BG9" s="14">
        <v>0.55967631811969698</v>
      </c>
      <c r="BI9" s="141">
        <f t="shared" ref="BI9:BI37" si="0">AL9*S9*365</f>
        <v>5949391.0206535207</v>
      </c>
    </row>
    <row r="10" spans="1:61" ht="14.45">
      <c r="A10" s="9">
        <v>2020</v>
      </c>
      <c r="B10" s="9" t="s">
        <v>41</v>
      </c>
      <c r="C10" s="9" t="s">
        <v>43</v>
      </c>
      <c r="D10" s="10">
        <v>5058.7539999999999</v>
      </c>
      <c r="E10" s="10">
        <v>8731.1020000000008</v>
      </c>
      <c r="F10" s="10">
        <v>899.44380000000001</v>
      </c>
      <c r="G10" s="10">
        <v>485.17660000000001</v>
      </c>
      <c r="H10" s="10">
        <v>899.44380000000001</v>
      </c>
      <c r="I10" s="10">
        <v>485.17660000000001</v>
      </c>
      <c r="J10" s="10">
        <v>0</v>
      </c>
      <c r="K10" s="10">
        <v>0</v>
      </c>
      <c r="L10" s="10">
        <v>1248.6769999999999</v>
      </c>
      <c r="M10" s="10">
        <v>983.45960000000002</v>
      </c>
      <c r="N10" s="10">
        <v>3475.3380000000002</v>
      </c>
      <c r="O10" s="10">
        <v>1239.0050000000001</v>
      </c>
      <c r="P10" s="10">
        <v>1118.9490000000001</v>
      </c>
      <c r="Q10" s="10">
        <v>2422.0439999999999</v>
      </c>
      <c r="R10" s="10">
        <v>464.46600000000001</v>
      </c>
      <c r="S10" s="10">
        <v>5070.0519999999997</v>
      </c>
      <c r="T10" s="11">
        <v>0</v>
      </c>
      <c r="U10" s="11">
        <v>0</v>
      </c>
      <c r="V10" s="11">
        <v>100</v>
      </c>
      <c r="W10" s="9">
        <v>300</v>
      </c>
      <c r="X10" s="9">
        <v>350</v>
      </c>
      <c r="Y10" s="11">
        <v>25</v>
      </c>
      <c r="Z10" s="9">
        <v>300</v>
      </c>
      <c r="AA10" s="9">
        <v>350</v>
      </c>
      <c r="AB10" s="13">
        <v>2.82</v>
      </c>
      <c r="AC10" s="9">
        <v>0.1</v>
      </c>
      <c r="AD10" s="9">
        <v>0.7</v>
      </c>
      <c r="AE10" s="9">
        <v>0.05</v>
      </c>
      <c r="AF10" s="9">
        <v>0.05</v>
      </c>
      <c r="AG10" s="14">
        <v>0</v>
      </c>
      <c r="AH10" s="14">
        <v>9.1609711300800006E-2</v>
      </c>
      <c r="AI10" s="15">
        <v>3.56E-2</v>
      </c>
      <c r="AJ10" s="9">
        <v>0.21129999999999999</v>
      </c>
      <c r="AK10" s="9">
        <v>3.2399999999999998E-2</v>
      </c>
      <c r="AL10" s="12">
        <v>0.95299590000000001</v>
      </c>
      <c r="AM10" s="9">
        <v>0.56999999999999995</v>
      </c>
      <c r="AN10" s="9">
        <v>0.56999999999999995</v>
      </c>
      <c r="AO10" s="9">
        <v>0.56999999999999995</v>
      </c>
      <c r="AP10" s="9">
        <v>0.56999999999999995</v>
      </c>
      <c r="AQ10" s="9">
        <v>0.56999999999999995</v>
      </c>
      <c r="AR10" s="9">
        <v>0.56999999999999995</v>
      </c>
      <c r="AS10" s="9">
        <v>0</v>
      </c>
      <c r="AT10" s="9">
        <v>0.26700000000000002</v>
      </c>
      <c r="AU10" s="9">
        <v>300</v>
      </c>
      <c r="AV10" s="9">
        <v>0.316</v>
      </c>
      <c r="AW10" s="12">
        <v>350</v>
      </c>
      <c r="AX10" s="9">
        <v>0.26700000000000002</v>
      </c>
      <c r="AY10" s="9">
        <v>163</v>
      </c>
      <c r="AZ10" s="9">
        <v>0.316</v>
      </c>
      <c r="BA10" s="12">
        <v>188</v>
      </c>
      <c r="BB10" s="9">
        <v>0.26700000000000002</v>
      </c>
      <c r="BC10" s="9">
        <v>163</v>
      </c>
      <c r="BD10" s="9">
        <v>0.316</v>
      </c>
      <c r="BE10" s="12">
        <v>188</v>
      </c>
      <c r="BF10" s="9">
        <v>0.95</v>
      </c>
      <c r="BG10" s="14">
        <v>0.55865195910180698</v>
      </c>
      <c r="BI10" s="141">
        <f t="shared" si="0"/>
        <v>1763584.6506071817</v>
      </c>
    </row>
    <row r="11" spans="1:61" ht="14.45">
      <c r="A11" s="9">
        <v>2020</v>
      </c>
      <c r="B11" s="9" t="s">
        <v>44</v>
      </c>
      <c r="C11" s="9" t="s">
        <v>45</v>
      </c>
      <c r="D11" s="10">
        <v>1462.3869999999999</v>
      </c>
      <c r="E11" s="10">
        <v>4795.7560000000003</v>
      </c>
      <c r="F11" s="10">
        <v>404.54590000000002</v>
      </c>
      <c r="G11" s="10">
        <v>0</v>
      </c>
      <c r="H11" s="10">
        <v>404.54590000000002</v>
      </c>
      <c r="I11" s="10">
        <v>0</v>
      </c>
      <c r="J11" s="10">
        <v>146.56630000000001</v>
      </c>
      <c r="K11" s="10">
        <v>291.45839999999998</v>
      </c>
      <c r="L11" s="10">
        <v>876.33860000000004</v>
      </c>
      <c r="M11" s="10">
        <v>1135.48</v>
      </c>
      <c r="N11" s="10">
        <v>1354.6030000000001</v>
      </c>
      <c r="O11" s="10">
        <v>1138.18</v>
      </c>
      <c r="P11" s="10">
        <v>0</v>
      </c>
      <c r="Q11" s="10">
        <v>761.92629999999997</v>
      </c>
      <c r="R11" s="10">
        <v>107.78360000000001</v>
      </c>
      <c r="S11" s="10">
        <v>2895.65</v>
      </c>
      <c r="T11" s="11">
        <v>0.02</v>
      </c>
      <c r="U11" s="11">
        <v>0</v>
      </c>
      <c r="V11" s="11">
        <v>99.98</v>
      </c>
      <c r="W11" s="9">
        <v>300</v>
      </c>
      <c r="X11" s="9">
        <v>350</v>
      </c>
      <c r="Y11" s="11">
        <v>25</v>
      </c>
      <c r="Z11" s="9">
        <v>300</v>
      </c>
      <c r="AA11" s="9">
        <v>350</v>
      </c>
      <c r="AB11" s="13">
        <v>2.82</v>
      </c>
      <c r="AC11" s="9">
        <v>0.1</v>
      </c>
      <c r="AD11" s="9">
        <v>0.7</v>
      </c>
      <c r="AE11" s="9">
        <v>0.05</v>
      </c>
      <c r="AF11" s="9">
        <v>0.05</v>
      </c>
      <c r="AG11" s="14">
        <v>0.06</v>
      </c>
      <c r="AH11" s="14">
        <v>3.7222592509499997E-2</v>
      </c>
      <c r="AI11" s="15">
        <v>3.56E-2</v>
      </c>
      <c r="AJ11" s="9">
        <v>0.21129999999999999</v>
      </c>
      <c r="AK11" s="9">
        <v>3.2399999999999998E-2</v>
      </c>
      <c r="AL11" s="12">
        <v>4.8219130000000003</v>
      </c>
      <c r="AM11" s="9">
        <v>0.56999999999999995</v>
      </c>
      <c r="AN11" s="9">
        <v>0.56999999999999995</v>
      </c>
      <c r="AO11" s="9">
        <v>0.56999999999999995</v>
      </c>
      <c r="AP11" s="9">
        <v>0.56999999999999995</v>
      </c>
      <c r="AQ11" s="9">
        <v>0.56999999999999995</v>
      </c>
      <c r="AR11" s="9">
        <v>0.56999999999999995</v>
      </c>
      <c r="AS11" s="9">
        <v>0</v>
      </c>
      <c r="AT11" s="9">
        <v>0.26700000000000002</v>
      </c>
      <c r="AU11" s="9">
        <v>300</v>
      </c>
      <c r="AV11" s="9">
        <v>0.316</v>
      </c>
      <c r="AW11" s="12">
        <v>350</v>
      </c>
      <c r="AX11" s="9">
        <v>0.26700000000000002</v>
      </c>
      <c r="AY11" s="9">
        <v>163</v>
      </c>
      <c r="AZ11" s="9">
        <v>0.316</v>
      </c>
      <c r="BA11" s="12">
        <v>188</v>
      </c>
      <c r="BB11" s="9">
        <v>0.26700000000000002</v>
      </c>
      <c r="BC11" s="9">
        <v>163</v>
      </c>
      <c r="BD11" s="9">
        <v>0.316</v>
      </c>
      <c r="BE11" s="12">
        <v>188</v>
      </c>
      <c r="BF11" s="9">
        <v>0.95</v>
      </c>
      <c r="BG11" s="14">
        <v>0.76902343385555205</v>
      </c>
      <c r="BI11" s="141">
        <f t="shared" si="0"/>
        <v>5096338.9181342497</v>
      </c>
    </row>
    <row r="12" spans="1:61" ht="14.45">
      <c r="A12" s="9">
        <v>2020</v>
      </c>
      <c r="B12" s="9" t="s">
        <v>39</v>
      </c>
      <c r="C12" s="9" t="s">
        <v>46</v>
      </c>
      <c r="D12" s="10">
        <v>6377.19</v>
      </c>
      <c r="E12" s="10">
        <v>27668.959999999999</v>
      </c>
      <c r="F12" s="10">
        <v>854.69039999999995</v>
      </c>
      <c r="G12" s="10">
        <v>1798.787</v>
      </c>
      <c r="H12" s="10">
        <v>854.69039999999995</v>
      </c>
      <c r="I12" s="10">
        <v>1798.787</v>
      </c>
      <c r="J12" s="10">
        <v>433.76519999999999</v>
      </c>
      <c r="K12" s="10">
        <v>593.39880000000005</v>
      </c>
      <c r="L12" s="10">
        <v>3063.2919999999999</v>
      </c>
      <c r="M12" s="10">
        <v>4502.7280000000001</v>
      </c>
      <c r="N12" s="10">
        <v>5062.8230000000003</v>
      </c>
      <c r="O12" s="10">
        <v>8456.8610000000008</v>
      </c>
      <c r="P12" s="10">
        <v>963.79989999999998</v>
      </c>
      <c r="Q12" s="10">
        <v>5614.4939999999997</v>
      </c>
      <c r="R12" s="10">
        <v>350.56740000000002</v>
      </c>
      <c r="S12" s="10">
        <v>13597.61</v>
      </c>
      <c r="T12" s="11">
        <v>2.74</v>
      </c>
      <c r="U12" s="11">
        <v>2.42</v>
      </c>
      <c r="V12" s="11">
        <v>94.84</v>
      </c>
      <c r="W12" s="9">
        <v>300</v>
      </c>
      <c r="X12" s="9">
        <v>350</v>
      </c>
      <c r="Y12" s="11">
        <v>25</v>
      </c>
      <c r="Z12" s="9">
        <v>300</v>
      </c>
      <c r="AA12" s="9">
        <v>350</v>
      </c>
      <c r="AB12" s="13">
        <v>2.82</v>
      </c>
      <c r="AC12" s="9">
        <v>0.1</v>
      </c>
      <c r="AD12" s="9">
        <v>0.7</v>
      </c>
      <c r="AE12" s="9">
        <v>0.05</v>
      </c>
      <c r="AF12" s="9">
        <v>0.05</v>
      </c>
      <c r="AG12" s="14">
        <v>0.03</v>
      </c>
      <c r="AH12" s="14">
        <v>2.5781545433399999E-2</v>
      </c>
      <c r="AI12" s="15">
        <v>3.56E-2</v>
      </c>
      <c r="AJ12" s="9">
        <v>0.21129999999999999</v>
      </c>
      <c r="AK12" s="9">
        <v>3.2399999999999998E-2</v>
      </c>
      <c r="AL12" s="12">
        <v>2.0765729999999998</v>
      </c>
      <c r="AM12" s="9">
        <v>0.56999999999999995</v>
      </c>
      <c r="AN12" s="9">
        <v>0.56999999999999995</v>
      </c>
      <c r="AO12" s="9">
        <v>0.56999999999999995</v>
      </c>
      <c r="AP12" s="9">
        <v>0.56999999999999995</v>
      </c>
      <c r="AQ12" s="9">
        <v>0.56999999999999995</v>
      </c>
      <c r="AR12" s="9">
        <v>0.56999999999999995</v>
      </c>
      <c r="AS12" s="9">
        <v>0</v>
      </c>
      <c r="AT12" s="9">
        <v>0.26700000000000002</v>
      </c>
      <c r="AU12" s="9">
        <v>300</v>
      </c>
      <c r="AV12" s="9">
        <v>0.316</v>
      </c>
      <c r="AW12" s="12">
        <v>350</v>
      </c>
      <c r="AX12" s="9">
        <v>0.26700000000000002</v>
      </c>
      <c r="AY12" s="9">
        <v>163</v>
      </c>
      <c r="AZ12" s="9">
        <v>0.316</v>
      </c>
      <c r="BA12" s="12">
        <v>188</v>
      </c>
      <c r="BB12" s="9">
        <v>0.26700000000000002</v>
      </c>
      <c r="BC12" s="9">
        <v>163</v>
      </c>
      <c r="BD12" s="9">
        <v>0.316</v>
      </c>
      <c r="BE12" s="12">
        <v>188</v>
      </c>
      <c r="BF12" s="9">
        <v>0.95</v>
      </c>
      <c r="BG12" s="14">
        <v>0.662442647899252</v>
      </c>
      <c r="BI12" s="141">
        <f t="shared" si="0"/>
        <v>10306296.873543449</v>
      </c>
    </row>
    <row r="13" spans="1:61" ht="14.45">
      <c r="A13" s="9">
        <v>2020</v>
      </c>
      <c r="B13" s="9" t="s">
        <v>41</v>
      </c>
      <c r="C13" s="9" t="s">
        <v>47</v>
      </c>
      <c r="D13" s="10">
        <v>5125.1589999999997</v>
      </c>
      <c r="E13" s="10">
        <v>12455.25</v>
      </c>
      <c r="F13" s="10">
        <v>557.50260000000003</v>
      </c>
      <c r="G13" s="10">
        <v>0</v>
      </c>
      <c r="H13" s="10">
        <v>557.50260000000003</v>
      </c>
      <c r="I13" s="10">
        <v>0</v>
      </c>
      <c r="J13" s="10">
        <v>254.11179999999999</v>
      </c>
      <c r="K13" s="10">
        <v>507.2937</v>
      </c>
      <c r="L13" s="10">
        <v>2204.7930000000001</v>
      </c>
      <c r="M13" s="10">
        <v>4389.5209999999997</v>
      </c>
      <c r="N13" s="10">
        <v>3731.6370000000002</v>
      </c>
      <c r="O13" s="10">
        <v>3476.56</v>
      </c>
      <c r="P13" s="10">
        <v>1126.222</v>
      </c>
      <c r="Q13" s="10">
        <v>2063.547</v>
      </c>
      <c r="R13" s="10">
        <v>267.29919999999998</v>
      </c>
      <c r="S13" s="10">
        <v>6915.1390000000001</v>
      </c>
      <c r="T13" s="11">
        <v>0</v>
      </c>
      <c r="U13" s="11">
        <v>0</v>
      </c>
      <c r="V13" s="11">
        <v>100</v>
      </c>
      <c r="W13" s="9">
        <v>300</v>
      </c>
      <c r="X13" s="9">
        <v>350</v>
      </c>
      <c r="Y13" s="11">
        <v>25</v>
      </c>
      <c r="Z13" s="9">
        <v>300</v>
      </c>
      <c r="AA13" s="9">
        <v>350</v>
      </c>
      <c r="AB13" s="13">
        <v>2.82</v>
      </c>
      <c r="AC13" s="9">
        <v>0.1</v>
      </c>
      <c r="AD13" s="9">
        <v>0.7</v>
      </c>
      <c r="AE13" s="9">
        <v>0.05</v>
      </c>
      <c r="AF13" s="9">
        <v>0.05</v>
      </c>
      <c r="AG13" s="14">
        <v>0.04</v>
      </c>
      <c r="AH13" s="14">
        <v>3.86542049263E-2</v>
      </c>
      <c r="AI13" s="15">
        <v>3.56E-2</v>
      </c>
      <c r="AJ13" s="9">
        <v>0.21129999999999999</v>
      </c>
      <c r="AK13" s="9">
        <v>3.2399999999999998E-2</v>
      </c>
      <c r="AL13" s="12">
        <v>2.2934139999999998</v>
      </c>
      <c r="AM13" s="9">
        <v>0.56999999999999995</v>
      </c>
      <c r="AN13" s="9">
        <v>0.56999999999999995</v>
      </c>
      <c r="AO13" s="9">
        <v>0.56999999999999995</v>
      </c>
      <c r="AP13" s="9">
        <v>0.56999999999999995</v>
      </c>
      <c r="AQ13" s="9">
        <v>0.56999999999999995</v>
      </c>
      <c r="AR13" s="9">
        <v>0.56999999999999995</v>
      </c>
      <c r="AS13" s="9">
        <v>0</v>
      </c>
      <c r="AT13" s="9">
        <v>0.26700000000000002</v>
      </c>
      <c r="AU13" s="9">
        <v>300</v>
      </c>
      <c r="AV13" s="9">
        <v>0.316</v>
      </c>
      <c r="AW13" s="12">
        <v>350</v>
      </c>
      <c r="AX13" s="9">
        <v>0.26700000000000002</v>
      </c>
      <c r="AY13" s="9">
        <v>163</v>
      </c>
      <c r="AZ13" s="9">
        <v>0.316</v>
      </c>
      <c r="BA13" s="12">
        <v>188</v>
      </c>
      <c r="BB13" s="9">
        <v>0.26700000000000002</v>
      </c>
      <c r="BC13" s="9">
        <v>163</v>
      </c>
      <c r="BD13" s="9">
        <v>0.316</v>
      </c>
      <c r="BE13" s="12">
        <v>188</v>
      </c>
      <c r="BF13" s="9">
        <v>0.95</v>
      </c>
      <c r="BG13" s="14">
        <v>0.66669888738821104</v>
      </c>
      <c r="BI13" s="141">
        <f t="shared" si="0"/>
        <v>5788635.9570092894</v>
      </c>
    </row>
    <row r="14" spans="1:61" ht="14.45">
      <c r="A14" s="9">
        <v>2020</v>
      </c>
      <c r="B14" s="9" t="s">
        <v>48</v>
      </c>
      <c r="C14" s="9" t="s">
        <v>49</v>
      </c>
      <c r="D14" s="10">
        <v>3824.58</v>
      </c>
      <c r="E14" s="10">
        <v>17314.72</v>
      </c>
      <c r="F14" s="10">
        <v>528.23059999999998</v>
      </c>
      <c r="G14" s="10">
        <v>1497.261</v>
      </c>
      <c r="H14" s="10">
        <v>528.23059999999998</v>
      </c>
      <c r="I14" s="10">
        <v>1497.261</v>
      </c>
      <c r="J14" s="10">
        <v>1</v>
      </c>
      <c r="K14" s="10">
        <v>1</v>
      </c>
      <c r="L14" s="10">
        <v>2341.1120000000001</v>
      </c>
      <c r="M14" s="10">
        <v>2114.4470000000001</v>
      </c>
      <c r="N14" s="10">
        <v>3583.2330000000002</v>
      </c>
      <c r="O14" s="10">
        <v>4589.973</v>
      </c>
      <c r="P14" s="10">
        <v>0</v>
      </c>
      <c r="Q14" s="10">
        <v>5449.9769999999999</v>
      </c>
      <c r="R14" s="10">
        <v>241.3468</v>
      </c>
      <c r="S14" s="10">
        <v>7274.7669999999998</v>
      </c>
      <c r="T14" s="11">
        <v>3.14</v>
      </c>
      <c r="U14" s="11">
        <v>6.75</v>
      </c>
      <c r="V14" s="11">
        <v>90.11</v>
      </c>
      <c r="W14" s="9">
        <v>300</v>
      </c>
      <c r="X14" s="9">
        <v>350</v>
      </c>
      <c r="Y14" s="11">
        <v>25</v>
      </c>
      <c r="Z14" s="9">
        <v>300</v>
      </c>
      <c r="AA14" s="9">
        <v>350</v>
      </c>
      <c r="AB14" s="13">
        <v>2.82</v>
      </c>
      <c r="AC14" s="9">
        <v>0.1</v>
      </c>
      <c r="AD14" s="9">
        <v>0.7</v>
      </c>
      <c r="AE14" s="9">
        <v>0.05</v>
      </c>
      <c r="AF14" s="9">
        <v>0.05</v>
      </c>
      <c r="AG14" s="14">
        <v>0</v>
      </c>
      <c r="AH14" s="14">
        <v>3.3175880409599998E-2</v>
      </c>
      <c r="AI14" s="15">
        <v>3.56E-2</v>
      </c>
      <c r="AJ14" s="9">
        <v>0.21129999999999999</v>
      </c>
      <c r="AK14" s="9">
        <v>3.2399999999999998E-2</v>
      </c>
      <c r="AL14" s="12">
        <v>1.522391</v>
      </c>
      <c r="AM14" s="9">
        <v>0.56999999999999995</v>
      </c>
      <c r="AN14" s="9">
        <v>0.56999999999999995</v>
      </c>
      <c r="AO14" s="9">
        <v>0.56999999999999995</v>
      </c>
      <c r="AP14" s="9">
        <v>0.56999999999999995</v>
      </c>
      <c r="AQ14" s="9">
        <v>0.56999999999999995</v>
      </c>
      <c r="AR14" s="9">
        <v>0.56999999999999995</v>
      </c>
      <c r="AS14" s="9">
        <v>0</v>
      </c>
      <c r="AT14" s="9">
        <v>0.26700000000000002</v>
      </c>
      <c r="AU14" s="9">
        <v>300</v>
      </c>
      <c r="AV14" s="9">
        <v>0.316</v>
      </c>
      <c r="AW14" s="12">
        <v>350</v>
      </c>
      <c r="AX14" s="9">
        <v>0.26700000000000002</v>
      </c>
      <c r="AY14" s="9">
        <v>163</v>
      </c>
      <c r="AZ14" s="9">
        <v>0.316</v>
      </c>
      <c r="BA14" s="12">
        <v>188</v>
      </c>
      <c r="BB14" s="9">
        <v>0.26700000000000002</v>
      </c>
      <c r="BC14" s="9">
        <v>163</v>
      </c>
      <c r="BD14" s="9">
        <v>0.316</v>
      </c>
      <c r="BE14" s="12">
        <v>188</v>
      </c>
      <c r="BF14" s="9">
        <v>0.95</v>
      </c>
      <c r="BG14" s="14">
        <v>0.56106093287577397</v>
      </c>
      <c r="BI14" s="141">
        <f t="shared" si="0"/>
        <v>4042389.529882405</v>
      </c>
    </row>
    <row r="15" spans="1:61" ht="14.45">
      <c r="A15" s="9">
        <v>2020</v>
      </c>
      <c r="B15" s="9" t="s">
        <v>48</v>
      </c>
      <c r="C15" s="9" t="s">
        <v>50</v>
      </c>
      <c r="D15" s="10">
        <v>5684.335</v>
      </c>
      <c r="E15" s="10">
        <v>21017.26</v>
      </c>
      <c r="F15" s="10">
        <v>803.56479999999999</v>
      </c>
      <c r="G15" s="10">
        <v>1245.6559999999999</v>
      </c>
      <c r="H15" s="10">
        <v>803.56479999999999</v>
      </c>
      <c r="I15" s="10">
        <v>1245.6559999999999</v>
      </c>
      <c r="J15" s="10">
        <v>455.79969999999997</v>
      </c>
      <c r="K15" s="10">
        <v>0</v>
      </c>
      <c r="L15" s="10">
        <v>4391.0190000000002</v>
      </c>
      <c r="M15" s="10">
        <v>4152.973</v>
      </c>
      <c r="N15" s="10">
        <v>4052.489</v>
      </c>
      <c r="O15" s="10">
        <v>5408.915</v>
      </c>
      <c r="P15" s="10">
        <v>1413.433</v>
      </c>
      <c r="Q15" s="10">
        <v>5325.6480000000001</v>
      </c>
      <c r="R15" s="10">
        <v>218.41239999999999</v>
      </c>
      <c r="S15" s="10">
        <v>10282.700000000001</v>
      </c>
      <c r="T15" s="11">
        <v>3.06</v>
      </c>
      <c r="U15" s="11">
        <v>12.7</v>
      </c>
      <c r="V15" s="11">
        <v>84.25</v>
      </c>
      <c r="W15" s="9">
        <v>300</v>
      </c>
      <c r="X15" s="9">
        <v>350</v>
      </c>
      <c r="Y15" s="11">
        <v>25</v>
      </c>
      <c r="Z15" s="9">
        <v>300</v>
      </c>
      <c r="AA15" s="9">
        <v>350</v>
      </c>
      <c r="AB15" s="13">
        <v>2.82</v>
      </c>
      <c r="AC15" s="9">
        <v>0.1</v>
      </c>
      <c r="AD15" s="9">
        <v>0.7</v>
      </c>
      <c r="AE15" s="9">
        <v>0.05</v>
      </c>
      <c r="AF15" s="9">
        <v>0.05</v>
      </c>
      <c r="AG15" s="14">
        <v>0.03</v>
      </c>
      <c r="AH15" s="14">
        <v>2.1240763612700001E-2</v>
      </c>
      <c r="AI15" s="15">
        <v>3.56E-2</v>
      </c>
      <c r="AJ15" s="9">
        <v>0.21129999999999999</v>
      </c>
      <c r="AK15" s="9">
        <v>3.2399999999999998E-2</v>
      </c>
      <c r="AL15" s="12">
        <v>1.7181379999999999</v>
      </c>
      <c r="AM15" s="9">
        <v>0.56999999999999995</v>
      </c>
      <c r="AN15" s="9">
        <v>0.56999999999999995</v>
      </c>
      <c r="AO15" s="9">
        <v>0.56999999999999995</v>
      </c>
      <c r="AP15" s="9">
        <v>0.56999999999999995</v>
      </c>
      <c r="AQ15" s="9">
        <v>0.56999999999999995</v>
      </c>
      <c r="AR15" s="9">
        <v>0.56999999999999995</v>
      </c>
      <c r="AS15" s="9">
        <v>0</v>
      </c>
      <c r="AT15" s="9">
        <v>0.26700000000000002</v>
      </c>
      <c r="AU15" s="9">
        <v>300</v>
      </c>
      <c r="AV15" s="9">
        <v>0.316</v>
      </c>
      <c r="AW15" s="12">
        <v>350</v>
      </c>
      <c r="AX15" s="9">
        <v>0.26700000000000002</v>
      </c>
      <c r="AY15" s="9">
        <v>163</v>
      </c>
      <c r="AZ15" s="9">
        <v>0.316</v>
      </c>
      <c r="BA15" s="12">
        <v>188</v>
      </c>
      <c r="BB15" s="9">
        <v>0.26700000000000002</v>
      </c>
      <c r="BC15" s="9">
        <v>163</v>
      </c>
      <c r="BD15" s="9">
        <v>0.316</v>
      </c>
      <c r="BE15" s="12">
        <v>188</v>
      </c>
      <c r="BF15" s="9">
        <v>0.95</v>
      </c>
      <c r="BG15" s="14">
        <v>0.59643762464984795</v>
      </c>
      <c r="BI15" s="141">
        <f t="shared" si="0"/>
        <v>6448490.6285990011</v>
      </c>
    </row>
    <row r="16" spans="1:61" ht="14.45">
      <c r="A16" s="9">
        <v>2020</v>
      </c>
      <c r="B16" s="9" t="s">
        <v>48</v>
      </c>
      <c r="C16" s="9" t="s">
        <v>51</v>
      </c>
      <c r="D16" s="10">
        <v>3823.0010000000002</v>
      </c>
      <c r="E16" s="10">
        <v>6229.6959999999999</v>
      </c>
      <c r="F16" s="10">
        <v>758.42899999999997</v>
      </c>
      <c r="G16" s="10">
        <v>472.42419999999998</v>
      </c>
      <c r="H16" s="10">
        <v>758.42899999999997</v>
      </c>
      <c r="I16" s="10">
        <v>472.42419999999998</v>
      </c>
      <c r="J16" s="10">
        <v>0</v>
      </c>
      <c r="K16" s="10">
        <v>0</v>
      </c>
      <c r="L16" s="10">
        <v>673.23469999999998</v>
      </c>
      <c r="M16" s="10">
        <v>1881.9469999999999</v>
      </c>
      <c r="N16" s="10">
        <v>3259.6889999999999</v>
      </c>
      <c r="O16" s="10">
        <v>1904.0419999999999</v>
      </c>
      <c r="P16" s="10">
        <v>563.31200000000001</v>
      </c>
      <c r="Q16" s="10">
        <v>1178.3430000000001</v>
      </c>
      <c r="R16" s="10">
        <v>0</v>
      </c>
      <c r="S16" s="10">
        <v>3147.3110000000001</v>
      </c>
      <c r="T16" s="11">
        <v>2.88</v>
      </c>
      <c r="U16" s="11">
        <v>2.4700000000000002</v>
      </c>
      <c r="V16" s="11">
        <v>94.65</v>
      </c>
      <c r="W16" s="9">
        <v>300</v>
      </c>
      <c r="X16" s="9">
        <v>350</v>
      </c>
      <c r="Y16" s="11">
        <v>25</v>
      </c>
      <c r="Z16" s="9">
        <v>300</v>
      </c>
      <c r="AA16" s="9">
        <v>350</v>
      </c>
      <c r="AB16" s="13">
        <v>2.82</v>
      </c>
      <c r="AC16" s="9">
        <v>0.1</v>
      </c>
      <c r="AD16" s="9">
        <v>0.7</v>
      </c>
      <c r="AE16" s="9">
        <v>0.05</v>
      </c>
      <c r="AF16" s="9">
        <v>0.05</v>
      </c>
      <c r="AG16" s="14">
        <v>0</v>
      </c>
      <c r="AH16" s="14">
        <v>0</v>
      </c>
      <c r="AI16" s="15">
        <v>3.56E-2</v>
      </c>
      <c r="AJ16" s="9">
        <v>0.21129999999999999</v>
      </c>
      <c r="AK16" s="9">
        <v>3.2399999999999998E-2</v>
      </c>
      <c r="AL16" s="12">
        <v>1.9455290000000001</v>
      </c>
      <c r="AM16" s="9">
        <v>0.56999999999999995</v>
      </c>
      <c r="AN16" s="9">
        <v>0.56999999999999995</v>
      </c>
      <c r="AO16" s="9">
        <v>0.56999999999999995</v>
      </c>
      <c r="AP16" s="9">
        <v>0.56999999999999995</v>
      </c>
      <c r="AQ16" s="9">
        <v>0.56999999999999995</v>
      </c>
      <c r="AR16" s="9">
        <v>0.56999999999999995</v>
      </c>
      <c r="AS16" s="9">
        <v>0</v>
      </c>
      <c r="AT16" s="9">
        <v>0.26700000000000002</v>
      </c>
      <c r="AU16" s="9">
        <v>300</v>
      </c>
      <c r="AV16" s="9">
        <v>0.316</v>
      </c>
      <c r="AW16" s="12">
        <v>350</v>
      </c>
      <c r="AX16" s="9">
        <v>0.26700000000000002</v>
      </c>
      <c r="AY16" s="9">
        <v>163</v>
      </c>
      <c r="AZ16" s="9">
        <v>0.316</v>
      </c>
      <c r="BA16" s="12">
        <v>188</v>
      </c>
      <c r="BB16" s="9">
        <v>0.26700000000000002</v>
      </c>
      <c r="BC16" s="9">
        <v>163</v>
      </c>
      <c r="BD16" s="9">
        <v>0.316</v>
      </c>
      <c r="BE16" s="12">
        <v>188</v>
      </c>
      <c r="BF16" s="9">
        <v>0.95</v>
      </c>
      <c r="BG16" s="14">
        <v>0.64375800527146199</v>
      </c>
      <c r="BI16" s="141">
        <f t="shared" si="0"/>
        <v>2234962.4602194354</v>
      </c>
    </row>
    <row r="17" spans="1:61" ht="14.45">
      <c r="A17" s="9">
        <v>2020</v>
      </c>
      <c r="B17" s="89" t="s">
        <v>52</v>
      </c>
      <c r="C17" s="89" t="s">
        <v>53</v>
      </c>
      <c r="D17" s="10">
        <v>7553.6210000000001</v>
      </c>
      <c r="E17" s="10">
        <v>31804.44</v>
      </c>
      <c r="F17" s="10">
        <v>680.46559999999999</v>
      </c>
      <c r="G17" s="10">
        <v>1033.2909999999999</v>
      </c>
      <c r="H17" s="10">
        <v>680.46559999999999</v>
      </c>
      <c r="I17" s="10">
        <v>1033.2909999999999</v>
      </c>
      <c r="J17" s="10">
        <v>0</v>
      </c>
      <c r="K17" s="10">
        <v>0</v>
      </c>
      <c r="L17" s="10">
        <v>6132.9229999999998</v>
      </c>
      <c r="M17" s="10">
        <v>4179.8670000000002</v>
      </c>
      <c r="N17" s="10">
        <v>5461.4859999999999</v>
      </c>
      <c r="O17" s="10">
        <v>4594.9889999999996</v>
      </c>
      <c r="P17" s="10">
        <v>1509.5</v>
      </c>
      <c r="Q17" s="10">
        <v>6028.8940000000002</v>
      </c>
      <c r="R17" s="10">
        <v>582.63499999999999</v>
      </c>
      <c r="S17" s="10">
        <v>21180.55</v>
      </c>
      <c r="T17" s="11">
        <v>0.81</v>
      </c>
      <c r="U17" s="11">
        <v>2.68</v>
      </c>
      <c r="V17" s="11">
        <v>96.52</v>
      </c>
      <c r="W17" s="9">
        <v>300</v>
      </c>
      <c r="X17" s="9">
        <v>350</v>
      </c>
      <c r="Y17" s="11">
        <v>25</v>
      </c>
      <c r="Z17" s="9">
        <v>300</v>
      </c>
      <c r="AA17" s="9">
        <v>350</v>
      </c>
      <c r="AB17" s="13">
        <v>2.82</v>
      </c>
      <c r="AC17" s="9">
        <v>0.1</v>
      </c>
      <c r="AD17" s="9">
        <v>0.7</v>
      </c>
      <c r="AE17" s="9">
        <v>0.05</v>
      </c>
      <c r="AF17" s="9">
        <v>0.05</v>
      </c>
      <c r="AG17" s="14">
        <v>0</v>
      </c>
      <c r="AH17" s="14">
        <v>2.7508020330000001E-2</v>
      </c>
      <c r="AI17" s="15">
        <v>3.56E-2</v>
      </c>
      <c r="AJ17" s="9">
        <v>0.21129999999999999</v>
      </c>
      <c r="AK17" s="9">
        <v>3.2399999999999998E-2</v>
      </c>
      <c r="AL17" s="12">
        <v>1.446151</v>
      </c>
      <c r="AM17" s="9">
        <v>0.56999999999999995</v>
      </c>
      <c r="AN17" s="9">
        <v>0.56999999999999995</v>
      </c>
      <c r="AO17" s="9">
        <v>0.56999999999999995</v>
      </c>
      <c r="AP17" s="9">
        <v>0.56999999999999995</v>
      </c>
      <c r="AQ17" s="9">
        <v>0.56999999999999995</v>
      </c>
      <c r="AR17" s="9">
        <v>0.56999999999999995</v>
      </c>
      <c r="AS17" s="9">
        <v>0</v>
      </c>
      <c r="AT17" s="9">
        <v>0.26700000000000002</v>
      </c>
      <c r="AU17" s="9">
        <v>300</v>
      </c>
      <c r="AV17" s="9">
        <v>0.316</v>
      </c>
      <c r="AW17" s="12">
        <v>350</v>
      </c>
      <c r="AX17" s="9">
        <v>0.26700000000000002</v>
      </c>
      <c r="AY17" s="9">
        <v>163</v>
      </c>
      <c r="AZ17" s="9">
        <v>0.316</v>
      </c>
      <c r="BA17" s="12">
        <v>188</v>
      </c>
      <c r="BB17" s="9">
        <v>0.26700000000000002</v>
      </c>
      <c r="BC17" s="9">
        <v>163</v>
      </c>
      <c r="BD17" s="9">
        <v>0.316</v>
      </c>
      <c r="BE17" s="12">
        <v>188</v>
      </c>
      <c r="BF17" s="9">
        <v>0.95</v>
      </c>
      <c r="BG17" s="14">
        <v>0.72284671075234497</v>
      </c>
      <c r="BI17" s="141">
        <f t="shared" si="0"/>
        <v>11180049.85051325</v>
      </c>
    </row>
    <row r="18" spans="1:61" ht="14.45">
      <c r="A18" s="9">
        <v>2020</v>
      </c>
      <c r="B18" s="9" t="s">
        <v>39</v>
      </c>
      <c r="C18" s="9" t="s">
        <v>54</v>
      </c>
      <c r="D18" s="10">
        <v>3945.259</v>
      </c>
      <c r="E18" s="10">
        <v>12558.83</v>
      </c>
      <c r="F18" s="10">
        <v>578.00450000000001</v>
      </c>
      <c r="G18" s="10">
        <v>999.77210000000002</v>
      </c>
      <c r="H18" s="10">
        <v>578.00450000000001</v>
      </c>
      <c r="I18" s="10">
        <v>999.77210000000002</v>
      </c>
      <c r="J18" s="10">
        <v>550.77819999999997</v>
      </c>
      <c r="K18" s="10">
        <v>1554.7070000000001</v>
      </c>
      <c r="L18" s="10">
        <v>1600.788</v>
      </c>
      <c r="M18" s="10">
        <v>3799.125</v>
      </c>
      <c r="N18" s="10">
        <v>2020.9960000000001</v>
      </c>
      <c r="O18" s="10">
        <v>3365.3829999999998</v>
      </c>
      <c r="P18" s="10">
        <v>1808.2629999999999</v>
      </c>
      <c r="Q18" s="10">
        <v>2011.26</v>
      </c>
      <c r="R18" s="10">
        <v>116</v>
      </c>
      <c r="S18" s="10">
        <v>7182.1840000000002</v>
      </c>
      <c r="T18" s="11">
        <v>11.02</v>
      </c>
      <c r="U18" s="11">
        <v>18.399999999999999</v>
      </c>
      <c r="V18" s="11">
        <v>70.58</v>
      </c>
      <c r="W18" s="9">
        <v>300</v>
      </c>
      <c r="X18" s="9">
        <v>350</v>
      </c>
      <c r="Y18" s="11">
        <v>25</v>
      </c>
      <c r="Z18" s="9">
        <v>300</v>
      </c>
      <c r="AA18" s="9">
        <v>350</v>
      </c>
      <c r="AB18" s="13">
        <v>2.82</v>
      </c>
      <c r="AC18" s="9">
        <v>0.1</v>
      </c>
      <c r="AD18" s="9">
        <v>0.7</v>
      </c>
      <c r="AE18" s="9">
        <v>0.05</v>
      </c>
      <c r="AF18" s="9">
        <v>0.05</v>
      </c>
      <c r="AG18" s="14">
        <v>0.1</v>
      </c>
      <c r="AH18" s="14">
        <v>1.6151076051499999E-2</v>
      </c>
      <c r="AI18" s="15">
        <v>3.56E-2</v>
      </c>
      <c r="AJ18" s="9">
        <v>0.21129999999999999</v>
      </c>
      <c r="AK18" s="9">
        <v>3.2399999999999998E-2</v>
      </c>
      <c r="AL18" s="12">
        <v>2.1600220000000001</v>
      </c>
      <c r="AM18" s="9">
        <v>0.56999999999999995</v>
      </c>
      <c r="AN18" s="9">
        <v>0.56999999999999995</v>
      </c>
      <c r="AO18" s="9">
        <v>0.56999999999999995</v>
      </c>
      <c r="AP18" s="9">
        <v>0.56999999999999995</v>
      </c>
      <c r="AQ18" s="9">
        <v>0.56999999999999995</v>
      </c>
      <c r="AR18" s="9">
        <v>0.56999999999999995</v>
      </c>
      <c r="AS18" s="9">
        <v>0</v>
      </c>
      <c r="AT18" s="9">
        <v>0.26700000000000002</v>
      </c>
      <c r="AU18" s="9">
        <v>300</v>
      </c>
      <c r="AV18" s="9">
        <v>0.316</v>
      </c>
      <c r="AW18" s="12">
        <v>350</v>
      </c>
      <c r="AX18" s="9">
        <v>0.26700000000000002</v>
      </c>
      <c r="AY18" s="9">
        <v>163</v>
      </c>
      <c r="AZ18" s="9">
        <v>0.316</v>
      </c>
      <c r="BA18" s="12">
        <v>188</v>
      </c>
      <c r="BB18" s="9">
        <v>0.26700000000000002</v>
      </c>
      <c r="BC18" s="9">
        <v>163</v>
      </c>
      <c r="BD18" s="9">
        <v>0.316</v>
      </c>
      <c r="BE18" s="12">
        <v>188</v>
      </c>
      <c r="BF18" s="9">
        <v>0.95</v>
      </c>
      <c r="BG18" s="14">
        <v>0.64601306726287999</v>
      </c>
      <c r="BI18" s="141">
        <f t="shared" si="0"/>
        <v>5662491.5385375209</v>
      </c>
    </row>
    <row r="19" spans="1:61" ht="14.45">
      <c r="A19" s="9">
        <v>2020</v>
      </c>
      <c r="B19" s="9" t="s">
        <v>44</v>
      </c>
      <c r="C19" s="9" t="s">
        <v>55</v>
      </c>
      <c r="D19" s="10">
        <v>97.111519999999999</v>
      </c>
      <c r="E19" s="10">
        <v>729.49239999999998</v>
      </c>
      <c r="F19" s="10">
        <v>0</v>
      </c>
      <c r="G19" s="10">
        <v>45.99492</v>
      </c>
      <c r="H19" s="10">
        <v>0</v>
      </c>
      <c r="I19" s="10">
        <v>45.99492</v>
      </c>
      <c r="J19" s="10">
        <v>224.47739999999999</v>
      </c>
      <c r="K19" s="10">
        <v>189.20089999999999</v>
      </c>
      <c r="L19" s="10">
        <v>247.0514</v>
      </c>
      <c r="M19" s="10">
        <v>169.7226</v>
      </c>
      <c r="N19" s="10">
        <v>56.47578</v>
      </c>
      <c r="O19" s="10">
        <v>169.7226</v>
      </c>
      <c r="P19" s="10">
        <v>40.635739999999998</v>
      </c>
      <c r="Q19" s="10">
        <v>121.71680000000001</v>
      </c>
      <c r="R19" s="10">
        <v>0</v>
      </c>
      <c r="S19" s="10">
        <v>438.053</v>
      </c>
      <c r="T19" s="11">
        <v>7.01</v>
      </c>
      <c r="U19" s="11">
        <v>4.09</v>
      </c>
      <c r="V19" s="11">
        <v>88.9</v>
      </c>
      <c r="W19" s="9">
        <v>300</v>
      </c>
      <c r="X19" s="9">
        <v>350</v>
      </c>
      <c r="Y19" s="11">
        <v>25</v>
      </c>
      <c r="Z19" s="9">
        <v>300</v>
      </c>
      <c r="AA19" s="9">
        <v>350</v>
      </c>
      <c r="AB19" s="13">
        <v>2.82</v>
      </c>
      <c r="AC19" s="9">
        <v>0.1</v>
      </c>
      <c r="AD19" s="9">
        <v>0.7</v>
      </c>
      <c r="AE19" s="9">
        <v>0.05</v>
      </c>
      <c r="AF19" s="9">
        <v>0.05</v>
      </c>
      <c r="AG19" s="14">
        <v>0.44</v>
      </c>
      <c r="AH19" s="14">
        <v>0</v>
      </c>
      <c r="AI19" s="15">
        <v>3.56E-2</v>
      </c>
      <c r="AJ19" s="9">
        <v>0.21129999999999999</v>
      </c>
      <c r="AK19" s="9">
        <v>3.2399999999999998E-2</v>
      </c>
      <c r="AL19" s="12">
        <v>3.1457190000000002</v>
      </c>
      <c r="AM19" s="9">
        <v>0.56999999999999995</v>
      </c>
      <c r="AN19" s="9">
        <v>0.56999999999999995</v>
      </c>
      <c r="AO19" s="9">
        <v>0.56999999999999995</v>
      </c>
      <c r="AP19" s="9">
        <v>0.56999999999999995</v>
      </c>
      <c r="AQ19" s="9">
        <v>0.56999999999999995</v>
      </c>
      <c r="AR19" s="9">
        <v>0.56999999999999995</v>
      </c>
      <c r="AS19" s="9">
        <v>0</v>
      </c>
      <c r="AT19" s="9">
        <v>0.26700000000000002</v>
      </c>
      <c r="AU19" s="9">
        <v>300</v>
      </c>
      <c r="AV19" s="9">
        <v>0.316</v>
      </c>
      <c r="AW19" s="12">
        <v>350</v>
      </c>
      <c r="AX19" s="9">
        <v>0.26700000000000002</v>
      </c>
      <c r="AY19" s="9">
        <v>163</v>
      </c>
      <c r="AZ19" s="9">
        <v>0.316</v>
      </c>
      <c r="BA19" s="12">
        <v>188</v>
      </c>
      <c r="BB19" s="9">
        <v>0.26700000000000002</v>
      </c>
      <c r="BC19" s="9">
        <v>163</v>
      </c>
      <c r="BD19" s="9">
        <v>0.316</v>
      </c>
      <c r="BE19" s="12">
        <v>188</v>
      </c>
      <c r="BF19" s="9">
        <v>0.95</v>
      </c>
      <c r="BG19" s="14">
        <v>0.72959519993769495</v>
      </c>
      <c r="BI19" s="141">
        <f t="shared" si="0"/>
        <v>502966.950464055</v>
      </c>
    </row>
    <row r="20" spans="1:61" ht="14.45">
      <c r="A20" s="9">
        <v>2020</v>
      </c>
      <c r="B20" s="9" t="s">
        <v>39</v>
      </c>
      <c r="C20" s="9" t="s">
        <v>56</v>
      </c>
      <c r="D20" s="10">
        <v>2340.1999999999998</v>
      </c>
      <c r="E20" s="10">
        <v>11299.66</v>
      </c>
      <c r="F20" s="10">
        <v>5</v>
      </c>
      <c r="G20" s="10">
        <v>8</v>
      </c>
      <c r="H20" s="10">
        <v>5</v>
      </c>
      <c r="I20" s="10">
        <v>8</v>
      </c>
      <c r="J20" s="10">
        <v>4</v>
      </c>
      <c r="K20" s="10">
        <v>299.8723</v>
      </c>
      <c r="L20" s="10">
        <v>1103.5309999999999</v>
      </c>
      <c r="M20" s="10">
        <v>1777.982</v>
      </c>
      <c r="N20" s="10">
        <v>1784.5239999999999</v>
      </c>
      <c r="O20" s="10">
        <v>1993.192</v>
      </c>
      <c r="P20" s="10">
        <v>548.67600000000004</v>
      </c>
      <c r="Q20" s="10">
        <v>2940.18</v>
      </c>
      <c r="R20" s="10">
        <v>7</v>
      </c>
      <c r="S20" s="10">
        <v>6366.2879999999996</v>
      </c>
      <c r="T20" s="11">
        <v>8.5</v>
      </c>
      <c r="U20" s="11">
        <v>0</v>
      </c>
      <c r="V20" s="11">
        <v>91.5</v>
      </c>
      <c r="W20" s="9">
        <v>300</v>
      </c>
      <c r="X20" s="9">
        <v>350</v>
      </c>
      <c r="Y20" s="11">
        <v>25</v>
      </c>
      <c r="Z20" s="9">
        <v>300</v>
      </c>
      <c r="AA20" s="9">
        <v>350</v>
      </c>
      <c r="AB20" s="13">
        <v>2.82</v>
      </c>
      <c r="AC20" s="9">
        <v>0.1</v>
      </c>
      <c r="AD20" s="9">
        <v>0.7</v>
      </c>
      <c r="AE20" s="9">
        <v>0.05</v>
      </c>
      <c r="AF20" s="9">
        <v>0.05</v>
      </c>
      <c r="AG20" s="14">
        <v>0.01</v>
      </c>
      <c r="AH20" s="14">
        <v>1.0995418366199999E-3</v>
      </c>
      <c r="AI20" s="15">
        <v>3.56E-2</v>
      </c>
      <c r="AJ20" s="9">
        <v>0.21129999999999999</v>
      </c>
      <c r="AK20" s="9">
        <v>3.2399999999999998E-2</v>
      </c>
      <c r="AL20" s="12">
        <v>2.0643210000000001</v>
      </c>
      <c r="AM20" s="9">
        <v>0.56999999999999995</v>
      </c>
      <c r="AN20" s="9">
        <v>0.56999999999999995</v>
      </c>
      <c r="AO20" s="9">
        <v>0.56999999999999995</v>
      </c>
      <c r="AP20" s="9">
        <v>0.56999999999999995</v>
      </c>
      <c r="AQ20" s="9">
        <v>0.56999999999999995</v>
      </c>
      <c r="AR20" s="9">
        <v>0.56999999999999995</v>
      </c>
      <c r="AS20" s="9">
        <v>0</v>
      </c>
      <c r="AT20" s="9">
        <v>0.26700000000000002</v>
      </c>
      <c r="AU20" s="9">
        <v>300</v>
      </c>
      <c r="AV20" s="9">
        <v>0.316</v>
      </c>
      <c r="AW20" s="12">
        <v>350</v>
      </c>
      <c r="AX20" s="9">
        <v>0.26700000000000002</v>
      </c>
      <c r="AY20" s="9">
        <v>163</v>
      </c>
      <c r="AZ20" s="9">
        <v>0.316</v>
      </c>
      <c r="BA20" s="12">
        <v>188</v>
      </c>
      <c r="BB20" s="9">
        <v>0.26700000000000002</v>
      </c>
      <c r="BC20" s="9">
        <v>163</v>
      </c>
      <c r="BD20" s="9">
        <v>0.316</v>
      </c>
      <c r="BE20" s="12">
        <v>188</v>
      </c>
      <c r="BF20" s="9">
        <v>0.95</v>
      </c>
      <c r="BG20" s="14">
        <v>0.64552778787249498</v>
      </c>
      <c r="BI20" s="141">
        <f t="shared" si="0"/>
        <v>4796852.63381352</v>
      </c>
    </row>
    <row r="21" spans="1:61" ht="14.45">
      <c r="A21" s="9">
        <v>2020</v>
      </c>
      <c r="B21" s="9" t="s">
        <v>48</v>
      </c>
      <c r="C21" s="9" t="s">
        <v>57</v>
      </c>
      <c r="D21" s="10">
        <v>5326.7650000000003</v>
      </c>
      <c r="E21" s="10">
        <v>14169.28</v>
      </c>
      <c r="F21" s="10">
        <v>472.94830000000002</v>
      </c>
      <c r="G21" s="10">
        <v>244.8279</v>
      </c>
      <c r="H21" s="10">
        <v>472.94830000000002</v>
      </c>
      <c r="I21" s="10">
        <v>244.8279</v>
      </c>
      <c r="J21" s="10">
        <v>0</v>
      </c>
      <c r="K21" s="10">
        <v>1627.002</v>
      </c>
      <c r="L21" s="10">
        <v>1889.7560000000001</v>
      </c>
      <c r="M21" s="10">
        <v>1789.077</v>
      </c>
      <c r="N21" s="10">
        <v>3256.31</v>
      </c>
      <c r="O21" s="10">
        <v>4914.68</v>
      </c>
      <c r="P21" s="10">
        <v>1880.1780000000001</v>
      </c>
      <c r="Q21" s="10">
        <v>3510.6379999999999</v>
      </c>
      <c r="R21" s="10">
        <v>190.27699999999999</v>
      </c>
      <c r="S21" s="10">
        <v>5743.96</v>
      </c>
      <c r="T21" s="11">
        <v>0</v>
      </c>
      <c r="U21" s="11">
        <v>0.01</v>
      </c>
      <c r="V21" s="11">
        <v>99.99</v>
      </c>
      <c r="W21" s="9">
        <v>300</v>
      </c>
      <c r="X21" s="9">
        <v>350</v>
      </c>
      <c r="Y21" s="11">
        <v>25</v>
      </c>
      <c r="Z21" s="9">
        <v>300</v>
      </c>
      <c r="AA21" s="9">
        <v>350</v>
      </c>
      <c r="AB21" s="13">
        <v>2.82</v>
      </c>
      <c r="AC21" s="9">
        <v>0.1</v>
      </c>
      <c r="AD21" s="9">
        <v>0.7</v>
      </c>
      <c r="AE21" s="9">
        <v>0.05</v>
      </c>
      <c r="AF21" s="9">
        <v>0.05</v>
      </c>
      <c r="AG21" s="14">
        <v>0.05</v>
      </c>
      <c r="AH21" s="14">
        <v>3.3126449348500002E-2</v>
      </c>
      <c r="AI21" s="15">
        <v>3.56E-2</v>
      </c>
      <c r="AJ21" s="9">
        <v>0.21129999999999999</v>
      </c>
      <c r="AK21" s="9">
        <v>3.2399999999999998E-2</v>
      </c>
      <c r="AL21" s="12">
        <v>1.3450420000000001</v>
      </c>
      <c r="AM21" s="9">
        <v>0.56999999999999995</v>
      </c>
      <c r="AN21" s="9">
        <v>0.56999999999999995</v>
      </c>
      <c r="AO21" s="9">
        <v>0.56999999999999995</v>
      </c>
      <c r="AP21" s="9">
        <v>0.56999999999999995</v>
      </c>
      <c r="AQ21" s="9">
        <v>0.56999999999999995</v>
      </c>
      <c r="AR21" s="9">
        <v>0.56999999999999995</v>
      </c>
      <c r="AS21" s="9">
        <v>0</v>
      </c>
      <c r="AT21" s="9">
        <v>0.26700000000000002</v>
      </c>
      <c r="AU21" s="9">
        <v>300</v>
      </c>
      <c r="AV21" s="9">
        <v>0.316</v>
      </c>
      <c r="AW21" s="12">
        <v>350</v>
      </c>
      <c r="AX21" s="9">
        <v>0.26700000000000002</v>
      </c>
      <c r="AY21" s="9">
        <v>163</v>
      </c>
      <c r="AZ21" s="9">
        <v>0.316</v>
      </c>
      <c r="BA21" s="12">
        <v>188</v>
      </c>
      <c r="BB21" s="9">
        <v>0.26700000000000002</v>
      </c>
      <c r="BC21" s="9">
        <v>163</v>
      </c>
      <c r="BD21" s="9">
        <v>0.316</v>
      </c>
      <c r="BE21" s="12">
        <v>188</v>
      </c>
      <c r="BF21" s="9">
        <v>0.95</v>
      </c>
      <c r="BG21" s="14">
        <v>0.50719056237529303</v>
      </c>
      <c r="BI21" s="141">
        <f t="shared" si="0"/>
        <v>2819941.6179068</v>
      </c>
    </row>
    <row r="22" spans="1:61" ht="14.45">
      <c r="A22" s="9">
        <v>2020</v>
      </c>
      <c r="B22" s="9" t="s">
        <v>41</v>
      </c>
      <c r="C22" s="9" t="s">
        <v>58</v>
      </c>
      <c r="D22" s="10">
        <v>3491.5279999999998</v>
      </c>
      <c r="E22" s="10">
        <v>7259.7389999999996</v>
      </c>
      <c r="F22" s="10">
        <v>0</v>
      </c>
      <c r="G22" s="10">
        <v>822.72260000000006</v>
      </c>
      <c r="H22" s="10">
        <v>0</v>
      </c>
      <c r="I22" s="10">
        <v>822.72260000000006</v>
      </c>
      <c r="J22" s="10">
        <v>0</v>
      </c>
      <c r="K22" s="10">
        <v>521.73400000000004</v>
      </c>
      <c r="L22" s="10">
        <v>1038.4590000000001</v>
      </c>
      <c r="M22" s="10">
        <v>1758.6559999999999</v>
      </c>
      <c r="N22" s="10">
        <v>2126.098</v>
      </c>
      <c r="O22" s="10">
        <v>2295.8049999999998</v>
      </c>
      <c r="P22" s="10">
        <v>1085.066</v>
      </c>
      <c r="Q22" s="10">
        <v>763.90740000000005</v>
      </c>
      <c r="R22" s="10">
        <v>280.36380000000003</v>
      </c>
      <c r="S22" s="10">
        <v>4200.0259999999998</v>
      </c>
      <c r="T22" s="11">
        <v>0.01</v>
      </c>
      <c r="U22" s="11">
        <v>0</v>
      </c>
      <c r="V22" s="11">
        <v>99.99</v>
      </c>
      <c r="W22" s="9">
        <v>300</v>
      </c>
      <c r="X22" s="9">
        <v>350</v>
      </c>
      <c r="Y22" s="11">
        <v>25</v>
      </c>
      <c r="Z22" s="9">
        <v>300</v>
      </c>
      <c r="AA22" s="9">
        <v>350</v>
      </c>
      <c r="AB22" s="13">
        <v>2.82</v>
      </c>
      <c r="AC22" s="9">
        <v>0.1</v>
      </c>
      <c r="AD22" s="9">
        <v>0.7</v>
      </c>
      <c r="AE22" s="9">
        <v>0.05</v>
      </c>
      <c r="AF22" s="9">
        <v>0.05</v>
      </c>
      <c r="AG22" s="14">
        <v>0.03</v>
      </c>
      <c r="AH22" s="14">
        <v>6.6752872482200007E-2</v>
      </c>
      <c r="AI22" s="15">
        <v>3.56E-2</v>
      </c>
      <c r="AJ22" s="9">
        <v>0.21129999999999999</v>
      </c>
      <c r="AK22" s="9">
        <v>3.2399999999999998E-2</v>
      </c>
      <c r="AL22" s="12">
        <v>3.0601289999999999</v>
      </c>
      <c r="AM22" s="9">
        <v>0.56999999999999995</v>
      </c>
      <c r="AN22" s="9">
        <v>0.56999999999999995</v>
      </c>
      <c r="AO22" s="9">
        <v>0.56999999999999995</v>
      </c>
      <c r="AP22" s="9">
        <v>0.56999999999999995</v>
      </c>
      <c r="AQ22" s="9">
        <v>0.56999999999999995</v>
      </c>
      <c r="AR22" s="9">
        <v>0.56999999999999995</v>
      </c>
      <c r="AS22" s="9">
        <v>0</v>
      </c>
      <c r="AT22" s="9">
        <v>0.26700000000000002</v>
      </c>
      <c r="AU22" s="9">
        <v>300</v>
      </c>
      <c r="AV22" s="9">
        <v>0.316</v>
      </c>
      <c r="AW22" s="12">
        <v>350</v>
      </c>
      <c r="AX22" s="9">
        <v>0.26700000000000002</v>
      </c>
      <c r="AY22" s="9">
        <v>163</v>
      </c>
      <c r="AZ22" s="9">
        <v>0.316</v>
      </c>
      <c r="BA22" s="12">
        <v>188</v>
      </c>
      <c r="BB22" s="9">
        <v>0.26700000000000002</v>
      </c>
      <c r="BC22" s="9">
        <v>163</v>
      </c>
      <c r="BD22" s="9">
        <v>0.316</v>
      </c>
      <c r="BE22" s="12">
        <v>188</v>
      </c>
      <c r="BF22" s="9">
        <v>0.95</v>
      </c>
      <c r="BG22" s="14">
        <v>0.66357797258340301</v>
      </c>
      <c r="BI22" s="141">
        <f t="shared" si="0"/>
        <v>4691206.7976242099</v>
      </c>
    </row>
    <row r="23" spans="1:61" ht="14.45">
      <c r="A23" s="9">
        <v>2020</v>
      </c>
      <c r="B23" s="9" t="s">
        <v>39</v>
      </c>
      <c r="C23" s="9" t="s">
        <v>59</v>
      </c>
      <c r="D23" s="10">
        <v>1846.596</v>
      </c>
      <c r="E23" s="10">
        <v>7331.826</v>
      </c>
      <c r="F23" s="10">
        <v>246.06020000000001</v>
      </c>
      <c r="G23" s="10">
        <v>298.4796</v>
      </c>
      <c r="H23" s="10">
        <v>246.06020000000001</v>
      </c>
      <c r="I23" s="10">
        <v>298.4796</v>
      </c>
      <c r="J23" s="10">
        <v>234.1645</v>
      </c>
      <c r="K23" s="10">
        <v>214.90299999999999</v>
      </c>
      <c r="L23" s="10">
        <v>1089.5540000000001</v>
      </c>
      <c r="M23" s="10">
        <v>1693.4079999999999</v>
      </c>
      <c r="N23" s="10">
        <v>1526.356</v>
      </c>
      <c r="O23" s="10">
        <v>917.54420000000005</v>
      </c>
      <c r="P23" s="10">
        <v>319.23989999999998</v>
      </c>
      <c r="Q23" s="10">
        <v>1889.393</v>
      </c>
      <c r="R23" s="10">
        <v>1</v>
      </c>
      <c r="S23" s="10">
        <v>4524.8890000000001</v>
      </c>
      <c r="T23" s="11">
        <v>0.1</v>
      </c>
      <c r="U23" s="11">
        <v>0</v>
      </c>
      <c r="V23" s="11">
        <v>99.9</v>
      </c>
      <c r="W23" s="9">
        <v>300</v>
      </c>
      <c r="X23" s="9">
        <v>350</v>
      </c>
      <c r="Y23" s="11">
        <v>25</v>
      </c>
      <c r="Z23" s="9">
        <v>300</v>
      </c>
      <c r="AA23" s="9">
        <v>350</v>
      </c>
      <c r="AB23" s="13">
        <v>2.82</v>
      </c>
      <c r="AC23" s="9">
        <v>0.1</v>
      </c>
      <c r="AD23" s="9">
        <v>0.7</v>
      </c>
      <c r="AE23" s="9">
        <v>0.05</v>
      </c>
      <c r="AF23" s="9">
        <v>0.05</v>
      </c>
      <c r="AG23" s="14">
        <v>0.06</v>
      </c>
      <c r="AH23" s="14">
        <v>2.20999896351E-4</v>
      </c>
      <c r="AI23" s="15">
        <v>3.56E-2</v>
      </c>
      <c r="AJ23" s="9">
        <v>0.21129999999999999</v>
      </c>
      <c r="AK23" s="9">
        <v>3.2399999999999998E-2</v>
      </c>
      <c r="AL23" s="12">
        <v>1.0730869999999999</v>
      </c>
      <c r="AM23" s="9">
        <v>0.56999999999999995</v>
      </c>
      <c r="AN23" s="9">
        <v>0.56999999999999995</v>
      </c>
      <c r="AO23" s="9">
        <v>0.56999999999999995</v>
      </c>
      <c r="AP23" s="9">
        <v>0.56999999999999995</v>
      </c>
      <c r="AQ23" s="9">
        <v>0.56999999999999995</v>
      </c>
      <c r="AR23" s="9">
        <v>0.56999999999999995</v>
      </c>
      <c r="AS23" s="9">
        <v>0</v>
      </c>
      <c r="AT23" s="9">
        <v>0.26700000000000002</v>
      </c>
      <c r="AU23" s="9">
        <v>300</v>
      </c>
      <c r="AV23" s="9">
        <v>0.316</v>
      </c>
      <c r="AW23" s="12">
        <v>350</v>
      </c>
      <c r="AX23" s="9">
        <v>0.26700000000000002</v>
      </c>
      <c r="AY23" s="9">
        <v>163</v>
      </c>
      <c r="AZ23" s="9">
        <v>0.316</v>
      </c>
      <c r="BA23" s="12">
        <v>188</v>
      </c>
      <c r="BB23" s="9">
        <v>0.26700000000000002</v>
      </c>
      <c r="BC23" s="9">
        <v>163</v>
      </c>
      <c r="BD23" s="9">
        <v>0.316</v>
      </c>
      <c r="BE23" s="12">
        <v>188</v>
      </c>
      <c r="BF23" s="9">
        <v>0.95</v>
      </c>
      <c r="BG23" s="14">
        <v>0.67189461511737003</v>
      </c>
      <c r="BI23" s="141">
        <f t="shared" si="0"/>
        <v>1772293.840255195</v>
      </c>
    </row>
    <row r="24" spans="1:61" ht="14.45">
      <c r="A24" s="9">
        <v>2020</v>
      </c>
      <c r="B24" s="9" t="s">
        <v>52</v>
      </c>
      <c r="C24" s="9" t="s">
        <v>60</v>
      </c>
      <c r="D24" s="10">
        <v>7184.03</v>
      </c>
      <c r="E24" s="10">
        <v>13433.26</v>
      </c>
      <c r="F24" s="10">
        <v>1404.0350000000001</v>
      </c>
      <c r="G24" s="10">
        <v>1056.5519999999999</v>
      </c>
      <c r="H24" s="10">
        <v>1404.0350000000001</v>
      </c>
      <c r="I24" s="10">
        <v>1056.5519999999999</v>
      </c>
      <c r="J24" s="10">
        <v>191.06139999999999</v>
      </c>
      <c r="K24" s="10">
        <v>0</v>
      </c>
      <c r="L24" s="10">
        <v>3564.7739999999999</v>
      </c>
      <c r="M24" s="10">
        <v>1264.2049999999999</v>
      </c>
      <c r="N24" s="10">
        <v>6251.2349999999997</v>
      </c>
      <c r="O24" s="10">
        <v>2709.357</v>
      </c>
      <c r="P24" s="10">
        <v>932.79560000000004</v>
      </c>
      <c r="Q24" s="10">
        <v>3789.7069999999999</v>
      </c>
      <c r="R24" s="10">
        <v>0</v>
      </c>
      <c r="S24" s="10">
        <v>6934.1949999999997</v>
      </c>
      <c r="T24" s="11">
        <v>0.01</v>
      </c>
      <c r="U24" s="11">
        <v>1.1200000000000001</v>
      </c>
      <c r="V24" s="11">
        <v>98.88</v>
      </c>
      <c r="W24" s="9">
        <v>300</v>
      </c>
      <c r="X24" s="9">
        <v>350</v>
      </c>
      <c r="Y24" s="11">
        <v>25</v>
      </c>
      <c r="Z24" s="9">
        <v>300</v>
      </c>
      <c r="AA24" s="9">
        <v>350</v>
      </c>
      <c r="AB24" s="13">
        <v>2.82</v>
      </c>
      <c r="AC24" s="9">
        <v>0.1</v>
      </c>
      <c r="AD24" s="9">
        <v>0.7</v>
      </c>
      <c r="AE24" s="9">
        <v>0.05</v>
      </c>
      <c r="AF24" s="9">
        <v>0.05</v>
      </c>
      <c r="AG24" s="14">
        <v>0.01</v>
      </c>
      <c r="AH24" s="14">
        <v>0</v>
      </c>
      <c r="AI24" s="15">
        <v>3.56E-2</v>
      </c>
      <c r="AJ24" s="9">
        <v>0.21129999999999999</v>
      </c>
      <c r="AK24" s="9">
        <v>3.2399999999999998E-2</v>
      </c>
      <c r="AL24" s="12">
        <v>1.3729640000000001</v>
      </c>
      <c r="AM24" s="9">
        <v>0.56999999999999995</v>
      </c>
      <c r="AN24" s="9">
        <v>0.56999999999999995</v>
      </c>
      <c r="AO24" s="9">
        <v>0.56999999999999995</v>
      </c>
      <c r="AP24" s="9">
        <v>0.56999999999999995</v>
      </c>
      <c r="AQ24" s="9">
        <v>0.56999999999999995</v>
      </c>
      <c r="AR24" s="9">
        <v>0.56999999999999995</v>
      </c>
      <c r="AS24" s="9">
        <v>0</v>
      </c>
      <c r="AT24" s="9">
        <v>0.26700000000000002</v>
      </c>
      <c r="AU24" s="9">
        <v>300</v>
      </c>
      <c r="AV24" s="9">
        <v>0.316</v>
      </c>
      <c r="AW24" s="12">
        <v>350</v>
      </c>
      <c r="AX24" s="9">
        <v>0.26700000000000002</v>
      </c>
      <c r="AY24" s="9">
        <v>163</v>
      </c>
      <c r="AZ24" s="9">
        <v>0.316</v>
      </c>
      <c r="BA24" s="12">
        <v>188</v>
      </c>
      <c r="BB24" s="9">
        <v>0.26700000000000002</v>
      </c>
      <c r="BC24" s="9">
        <v>163</v>
      </c>
      <c r="BD24" s="9">
        <v>0.316</v>
      </c>
      <c r="BE24" s="12">
        <v>188</v>
      </c>
      <c r="BF24" s="9">
        <v>0.95</v>
      </c>
      <c r="BG24" s="14">
        <v>0.59486788093396104</v>
      </c>
      <c r="BI24" s="141">
        <f t="shared" si="0"/>
        <v>3474946.0379527002</v>
      </c>
    </row>
    <row r="25" spans="1:61" ht="14.45">
      <c r="A25" s="9">
        <v>2020</v>
      </c>
      <c r="B25" s="9" t="s">
        <v>52</v>
      </c>
      <c r="C25" s="9" t="s">
        <v>61</v>
      </c>
      <c r="D25" s="10">
        <v>2142.0369999999998</v>
      </c>
      <c r="E25" s="10">
        <v>4627.4340000000002</v>
      </c>
      <c r="F25" s="10">
        <v>507.90129999999999</v>
      </c>
      <c r="G25" s="10">
        <v>1009.479</v>
      </c>
      <c r="H25" s="10">
        <v>507.90129999999999</v>
      </c>
      <c r="I25" s="10">
        <v>1009.479</v>
      </c>
      <c r="J25" s="10">
        <v>509.55020000000002</v>
      </c>
      <c r="K25" s="10">
        <v>391.42129999999997</v>
      </c>
      <c r="L25" s="10">
        <v>1817.1990000000001</v>
      </c>
      <c r="M25" s="10">
        <v>179.08279999999999</v>
      </c>
      <c r="N25" s="10">
        <v>1724.8789999999999</v>
      </c>
      <c r="O25" s="10">
        <v>512.7115</v>
      </c>
      <c r="P25" s="10">
        <v>417.1576</v>
      </c>
      <c r="Q25" s="10">
        <v>1563.9690000000001</v>
      </c>
      <c r="R25" s="10">
        <v>0</v>
      </c>
      <c r="S25" s="10">
        <v>2550.7539999999999</v>
      </c>
      <c r="T25" s="11">
        <v>0</v>
      </c>
      <c r="U25" s="11">
        <v>6.25</v>
      </c>
      <c r="V25" s="11">
        <v>93.75</v>
      </c>
      <c r="W25" s="9">
        <v>300</v>
      </c>
      <c r="X25" s="9">
        <v>350</v>
      </c>
      <c r="Y25" s="11">
        <v>25</v>
      </c>
      <c r="Z25" s="9">
        <v>300</v>
      </c>
      <c r="AA25" s="9">
        <v>350</v>
      </c>
      <c r="AB25" s="13">
        <v>2.82</v>
      </c>
      <c r="AC25" s="9">
        <v>0.1</v>
      </c>
      <c r="AD25" s="9">
        <v>0.7</v>
      </c>
      <c r="AE25" s="9">
        <v>0.05</v>
      </c>
      <c r="AF25" s="9">
        <v>0.05</v>
      </c>
      <c r="AG25" s="14">
        <v>0.1</v>
      </c>
      <c r="AH25" s="14">
        <v>0</v>
      </c>
      <c r="AI25" s="15">
        <v>3.56E-2</v>
      </c>
      <c r="AJ25" s="9">
        <v>0.21129999999999999</v>
      </c>
      <c r="AK25" s="9">
        <v>3.2399999999999998E-2</v>
      </c>
      <c r="AL25" s="12">
        <v>3.5284900000000001</v>
      </c>
      <c r="AM25" s="9">
        <v>0.56999999999999995</v>
      </c>
      <c r="AN25" s="9">
        <v>0.56999999999999995</v>
      </c>
      <c r="AO25" s="9">
        <v>0.56999999999999995</v>
      </c>
      <c r="AP25" s="9">
        <v>0.56999999999999995</v>
      </c>
      <c r="AQ25" s="9">
        <v>0.56999999999999995</v>
      </c>
      <c r="AR25" s="9">
        <v>0.56999999999999995</v>
      </c>
      <c r="AS25" s="9">
        <v>0</v>
      </c>
      <c r="AT25" s="9">
        <v>0.26700000000000002</v>
      </c>
      <c r="AU25" s="9">
        <v>300</v>
      </c>
      <c r="AV25" s="9">
        <v>0.316</v>
      </c>
      <c r="AW25" s="12">
        <v>350</v>
      </c>
      <c r="AX25" s="9">
        <v>0.26700000000000002</v>
      </c>
      <c r="AY25" s="9">
        <v>163</v>
      </c>
      <c r="AZ25" s="9">
        <v>0.316</v>
      </c>
      <c r="BA25" s="12">
        <v>188</v>
      </c>
      <c r="BB25" s="9">
        <v>0.26700000000000002</v>
      </c>
      <c r="BC25" s="9">
        <v>163</v>
      </c>
      <c r="BD25" s="9">
        <v>0.316</v>
      </c>
      <c r="BE25" s="12">
        <v>188</v>
      </c>
      <c r="BF25" s="9">
        <v>0.95</v>
      </c>
      <c r="BG25" s="14">
        <v>0.56284669106242502</v>
      </c>
      <c r="BI25" s="141">
        <f t="shared" si="0"/>
        <v>3285113.1432328997</v>
      </c>
    </row>
    <row r="26" spans="1:61" ht="14.45">
      <c r="A26" s="9">
        <v>2020</v>
      </c>
      <c r="B26" s="9" t="s">
        <v>39</v>
      </c>
      <c r="C26" s="9" t="s">
        <v>62</v>
      </c>
      <c r="D26" s="10">
        <v>7598.8959999999997</v>
      </c>
      <c r="E26" s="10">
        <v>41398.660000000003</v>
      </c>
      <c r="F26" s="10">
        <v>571.18820000000005</v>
      </c>
      <c r="G26" s="10">
        <v>254.1951</v>
      </c>
      <c r="H26" s="10">
        <v>571.18820000000005</v>
      </c>
      <c r="I26" s="10">
        <v>254.1951</v>
      </c>
      <c r="J26" s="10">
        <v>558.21550000000002</v>
      </c>
      <c r="K26" s="10">
        <v>278.6078</v>
      </c>
      <c r="L26" s="10">
        <v>1989.933</v>
      </c>
      <c r="M26" s="10">
        <v>4524.9639999999999</v>
      </c>
      <c r="N26" s="10">
        <v>4291.9290000000001</v>
      </c>
      <c r="O26" s="10">
        <v>3882.4839999999999</v>
      </c>
      <c r="P26" s="10">
        <v>2291.7649999999999</v>
      </c>
      <c r="Q26" s="10">
        <v>8940.3119999999999</v>
      </c>
      <c r="R26" s="10">
        <v>1015.202</v>
      </c>
      <c r="S26" s="10">
        <v>28575.86</v>
      </c>
      <c r="T26" s="11">
        <v>9.86</v>
      </c>
      <c r="U26" s="11">
        <v>10.199999999999999</v>
      </c>
      <c r="V26" s="11">
        <v>79.94</v>
      </c>
      <c r="W26" s="9">
        <v>300</v>
      </c>
      <c r="X26" s="9">
        <v>350</v>
      </c>
      <c r="Y26" s="11">
        <v>25</v>
      </c>
      <c r="Z26" s="9">
        <v>300</v>
      </c>
      <c r="AA26" s="9">
        <v>350</v>
      </c>
      <c r="AB26" s="13">
        <v>2.82</v>
      </c>
      <c r="AC26" s="9">
        <v>0.1</v>
      </c>
      <c r="AD26" s="9">
        <v>0.7</v>
      </c>
      <c r="AE26" s="9">
        <v>0.05</v>
      </c>
      <c r="AF26" s="9">
        <v>0.05</v>
      </c>
      <c r="AG26" s="14">
        <v>0.03</v>
      </c>
      <c r="AH26" s="14">
        <v>3.5526559830599998E-2</v>
      </c>
      <c r="AI26" s="15">
        <v>3.56E-2</v>
      </c>
      <c r="AJ26" s="9">
        <v>0.21129999999999999</v>
      </c>
      <c r="AK26" s="9">
        <v>3.2399999999999998E-2</v>
      </c>
      <c r="AL26" s="12">
        <v>2.2237770000000001</v>
      </c>
      <c r="AM26" s="9">
        <v>0.56999999999999995</v>
      </c>
      <c r="AN26" s="9">
        <v>0.56999999999999995</v>
      </c>
      <c r="AO26" s="9">
        <v>0.56999999999999995</v>
      </c>
      <c r="AP26" s="9">
        <v>0.56999999999999995</v>
      </c>
      <c r="AQ26" s="9">
        <v>0.56999999999999995</v>
      </c>
      <c r="AR26" s="9">
        <v>0.56999999999999995</v>
      </c>
      <c r="AS26" s="9">
        <v>0</v>
      </c>
      <c r="AT26" s="9">
        <v>0.26700000000000002</v>
      </c>
      <c r="AU26" s="9">
        <v>300</v>
      </c>
      <c r="AV26" s="9">
        <v>0.316</v>
      </c>
      <c r="AW26" s="12">
        <v>350</v>
      </c>
      <c r="AX26" s="9">
        <v>0.26700000000000002</v>
      </c>
      <c r="AY26" s="9">
        <v>163</v>
      </c>
      <c r="AZ26" s="9">
        <v>0.316</v>
      </c>
      <c r="BA26" s="12">
        <v>188</v>
      </c>
      <c r="BB26" s="9">
        <v>0.26700000000000002</v>
      </c>
      <c r="BC26" s="9">
        <v>163</v>
      </c>
      <c r="BD26" s="9">
        <v>0.316</v>
      </c>
      <c r="BE26" s="12">
        <v>188</v>
      </c>
      <c r="BF26" s="9">
        <v>0.95</v>
      </c>
      <c r="BG26" s="14">
        <v>0.69999173752905097</v>
      </c>
      <c r="BI26" s="141">
        <f t="shared" si="0"/>
        <v>23194414.1814753</v>
      </c>
    </row>
    <row r="27" spans="1:61" ht="14.45">
      <c r="A27" s="9">
        <v>2020</v>
      </c>
      <c r="B27" s="89" t="s">
        <v>48</v>
      </c>
      <c r="C27" s="89" t="s">
        <v>63</v>
      </c>
      <c r="D27" s="10">
        <v>8105.277</v>
      </c>
      <c r="E27" s="10">
        <v>28416.27</v>
      </c>
      <c r="F27" s="10">
        <v>1561.09</v>
      </c>
      <c r="G27" s="10">
        <v>2763.71</v>
      </c>
      <c r="H27" s="10">
        <v>1561.09</v>
      </c>
      <c r="I27" s="10">
        <v>2763.71</v>
      </c>
      <c r="J27" s="10">
        <v>1171.796</v>
      </c>
      <c r="K27" s="10">
        <v>993.74469999999997</v>
      </c>
      <c r="L27" s="10">
        <v>4302.9750000000004</v>
      </c>
      <c r="M27" s="10">
        <v>4609.7280000000001</v>
      </c>
      <c r="N27" s="10">
        <v>6225.5879999999997</v>
      </c>
      <c r="O27" s="10">
        <v>6493.7349999999997</v>
      </c>
      <c r="P27" s="10">
        <v>1879.6890000000001</v>
      </c>
      <c r="Q27" s="10">
        <v>7281.5590000000002</v>
      </c>
      <c r="R27" s="10">
        <v>0</v>
      </c>
      <c r="S27" s="10">
        <v>14640.98</v>
      </c>
      <c r="T27" s="11">
        <v>0.86</v>
      </c>
      <c r="U27" s="11">
        <v>10.6</v>
      </c>
      <c r="V27" s="11">
        <v>88.53</v>
      </c>
      <c r="W27" s="9">
        <v>300</v>
      </c>
      <c r="X27" s="9">
        <v>350</v>
      </c>
      <c r="Y27" s="11">
        <v>25</v>
      </c>
      <c r="Z27" s="9">
        <v>300</v>
      </c>
      <c r="AA27" s="9">
        <v>350</v>
      </c>
      <c r="AB27" s="13">
        <v>2.82</v>
      </c>
      <c r="AC27" s="9">
        <v>0.1</v>
      </c>
      <c r="AD27" s="9">
        <v>0.7</v>
      </c>
      <c r="AE27" s="9">
        <v>0.05</v>
      </c>
      <c r="AF27" s="9">
        <v>0.05</v>
      </c>
      <c r="AG27" s="14">
        <v>0.06</v>
      </c>
      <c r="AH27" s="14">
        <v>0</v>
      </c>
      <c r="AI27" s="15">
        <v>3.56E-2</v>
      </c>
      <c r="AJ27" s="9">
        <v>0.21129999999999999</v>
      </c>
      <c r="AK27" s="9">
        <v>3.2399999999999998E-2</v>
      </c>
      <c r="AL27" s="12">
        <v>1.3911629999999999</v>
      </c>
      <c r="AM27" s="9">
        <v>0.56999999999999995</v>
      </c>
      <c r="AN27" s="9">
        <v>0.56999999999999995</v>
      </c>
      <c r="AO27" s="9">
        <v>0.56999999999999995</v>
      </c>
      <c r="AP27" s="9">
        <v>0.56999999999999995</v>
      </c>
      <c r="AQ27" s="9">
        <v>0.56999999999999995</v>
      </c>
      <c r="AR27" s="9">
        <v>0.56999999999999995</v>
      </c>
      <c r="AS27" s="9">
        <v>0</v>
      </c>
      <c r="AT27" s="9">
        <v>0.26700000000000002</v>
      </c>
      <c r="AU27" s="9">
        <v>300</v>
      </c>
      <c r="AV27" s="9">
        <v>0.316</v>
      </c>
      <c r="AW27" s="12">
        <v>350</v>
      </c>
      <c r="AX27" s="9">
        <v>0.26700000000000002</v>
      </c>
      <c r="AY27" s="9">
        <v>163</v>
      </c>
      <c r="AZ27" s="9">
        <v>0.316</v>
      </c>
      <c r="BA27" s="12">
        <v>188</v>
      </c>
      <c r="BB27" s="9">
        <v>0.26700000000000002</v>
      </c>
      <c r="BC27" s="9">
        <v>163</v>
      </c>
      <c r="BD27" s="9">
        <v>0.316</v>
      </c>
      <c r="BE27" s="12">
        <v>188</v>
      </c>
      <c r="BF27" s="9">
        <v>0.95</v>
      </c>
      <c r="BG27" s="14">
        <v>0.61510964435766202</v>
      </c>
      <c r="BI27" s="141">
        <f t="shared" si="0"/>
        <v>7434316.2258050991</v>
      </c>
    </row>
    <row r="28" spans="1:61" ht="14.45">
      <c r="A28" s="9">
        <v>2020</v>
      </c>
      <c r="B28" s="9" t="s">
        <v>52</v>
      </c>
      <c r="C28" s="9" t="s">
        <v>64</v>
      </c>
      <c r="D28" s="10">
        <v>7756.8720000000003</v>
      </c>
      <c r="E28" s="10">
        <v>10313.83</v>
      </c>
      <c r="F28" s="10">
        <v>942.11770000000001</v>
      </c>
      <c r="G28" s="10">
        <v>470.46980000000002</v>
      </c>
      <c r="H28" s="10">
        <v>942.11770000000001</v>
      </c>
      <c r="I28" s="10">
        <v>470.46980000000002</v>
      </c>
      <c r="J28" s="10">
        <v>372.5727</v>
      </c>
      <c r="K28" s="10">
        <v>2</v>
      </c>
      <c r="L28" s="10">
        <v>1225.1379999999999</v>
      </c>
      <c r="M28" s="10">
        <v>1692.8130000000001</v>
      </c>
      <c r="N28" s="10">
        <v>3936.51</v>
      </c>
      <c r="O28" s="10">
        <v>3959.9789999999998</v>
      </c>
      <c r="P28" s="10">
        <v>3581.6559999999999</v>
      </c>
      <c r="Q28" s="10">
        <v>3000.4189999999999</v>
      </c>
      <c r="R28" s="10">
        <v>238.7056</v>
      </c>
      <c r="S28" s="10">
        <v>3353.4349999999999</v>
      </c>
      <c r="T28" s="11">
        <v>0</v>
      </c>
      <c r="U28" s="11">
        <v>0</v>
      </c>
      <c r="V28" s="11">
        <v>100</v>
      </c>
      <c r="W28" s="9">
        <v>300</v>
      </c>
      <c r="X28" s="9">
        <v>350</v>
      </c>
      <c r="Y28" s="11">
        <v>25</v>
      </c>
      <c r="Z28" s="9">
        <v>300</v>
      </c>
      <c r="AA28" s="9">
        <v>350</v>
      </c>
      <c r="AB28" s="13">
        <v>2.82</v>
      </c>
      <c r="AC28" s="9">
        <v>0.1</v>
      </c>
      <c r="AD28" s="9">
        <v>0.7</v>
      </c>
      <c r="AE28" s="9">
        <v>0.05</v>
      </c>
      <c r="AF28" s="9">
        <v>0.05</v>
      </c>
      <c r="AG28" s="14">
        <v>0.02</v>
      </c>
      <c r="AH28" s="14">
        <v>7.1182414449699999E-2</v>
      </c>
      <c r="AI28" s="15">
        <v>3.56E-2</v>
      </c>
      <c r="AJ28" s="9">
        <v>0.21129999999999999</v>
      </c>
      <c r="AK28" s="9">
        <v>3.2399999999999998E-2</v>
      </c>
      <c r="AL28" s="12">
        <v>1.7610250000000001</v>
      </c>
      <c r="AM28" s="9">
        <v>0.56999999999999995</v>
      </c>
      <c r="AN28" s="9">
        <v>0.56999999999999995</v>
      </c>
      <c r="AO28" s="9">
        <v>0.56999999999999995</v>
      </c>
      <c r="AP28" s="9">
        <v>0.56999999999999995</v>
      </c>
      <c r="AQ28" s="9">
        <v>0.56999999999999995</v>
      </c>
      <c r="AR28" s="9">
        <v>0.56999999999999995</v>
      </c>
      <c r="AS28" s="9">
        <v>0</v>
      </c>
      <c r="AT28" s="9">
        <v>0.26700000000000002</v>
      </c>
      <c r="AU28" s="9">
        <v>300</v>
      </c>
      <c r="AV28" s="9">
        <v>0.316</v>
      </c>
      <c r="AW28" s="12">
        <v>350</v>
      </c>
      <c r="AX28" s="9">
        <v>0.26700000000000002</v>
      </c>
      <c r="AY28" s="9">
        <v>163</v>
      </c>
      <c r="AZ28" s="9">
        <v>0.316</v>
      </c>
      <c r="BA28" s="12">
        <v>188</v>
      </c>
      <c r="BB28" s="9">
        <v>0.26700000000000002</v>
      </c>
      <c r="BC28" s="9">
        <v>163</v>
      </c>
      <c r="BD28" s="9">
        <v>0.316</v>
      </c>
      <c r="BE28" s="12">
        <v>188</v>
      </c>
      <c r="BF28" s="9">
        <v>0.95</v>
      </c>
      <c r="BG28" s="14">
        <v>0.32960133064213798</v>
      </c>
      <c r="BI28" s="141">
        <f t="shared" si="0"/>
        <v>2155501.2478693752</v>
      </c>
    </row>
    <row r="29" spans="1:61" ht="14.45">
      <c r="A29" s="9">
        <v>2020</v>
      </c>
      <c r="B29" s="9" t="s">
        <v>48</v>
      </c>
      <c r="C29" s="9" t="s">
        <v>65</v>
      </c>
      <c r="D29" s="10">
        <v>1762.7049999999999</v>
      </c>
      <c r="E29" s="10">
        <v>14492.85</v>
      </c>
      <c r="F29" s="10">
        <v>998.8904</v>
      </c>
      <c r="G29" s="10">
        <v>1462.26</v>
      </c>
      <c r="H29" s="10">
        <v>998.8904</v>
      </c>
      <c r="I29" s="10">
        <v>1462.26</v>
      </c>
      <c r="J29" s="10">
        <v>0</v>
      </c>
      <c r="K29" s="10">
        <v>270.10270000000003</v>
      </c>
      <c r="L29" s="10">
        <v>3143.8789999999999</v>
      </c>
      <c r="M29" s="10">
        <v>2901.7339999999999</v>
      </c>
      <c r="N29" s="10">
        <v>1511.354</v>
      </c>
      <c r="O29" s="10">
        <v>3154.3069999999998</v>
      </c>
      <c r="P29" s="10">
        <v>251.35120000000001</v>
      </c>
      <c r="Q29" s="10">
        <v>2576.7730000000001</v>
      </c>
      <c r="R29" s="10">
        <v>0</v>
      </c>
      <c r="S29" s="10">
        <v>8761.7659999999996</v>
      </c>
      <c r="T29" s="11">
        <v>2.08</v>
      </c>
      <c r="U29" s="11">
        <v>5.86</v>
      </c>
      <c r="V29" s="11">
        <v>92.06</v>
      </c>
      <c r="W29" s="9">
        <v>300</v>
      </c>
      <c r="X29" s="9">
        <v>350</v>
      </c>
      <c r="Y29" s="11">
        <v>25</v>
      </c>
      <c r="Z29" s="9">
        <v>300</v>
      </c>
      <c r="AA29" s="9">
        <v>350</v>
      </c>
      <c r="AB29" s="13">
        <v>2.82</v>
      </c>
      <c r="AC29" s="9">
        <v>0.1</v>
      </c>
      <c r="AD29" s="9">
        <v>0.7</v>
      </c>
      <c r="AE29" s="9">
        <v>0.05</v>
      </c>
      <c r="AF29" s="9">
        <v>0.05</v>
      </c>
      <c r="AG29" s="14">
        <v>0.01</v>
      </c>
      <c r="AH29" s="14">
        <v>0</v>
      </c>
      <c r="AI29" s="15">
        <v>3.56E-2</v>
      </c>
      <c r="AJ29" s="9">
        <v>0.21129999999999999</v>
      </c>
      <c r="AK29" s="9">
        <v>3.2399999999999998E-2</v>
      </c>
      <c r="AL29" s="12">
        <v>2.6000200000000002</v>
      </c>
      <c r="AM29" s="9">
        <v>0.56999999999999995</v>
      </c>
      <c r="AN29" s="9">
        <v>0.56999999999999995</v>
      </c>
      <c r="AO29" s="9">
        <v>0.56999999999999995</v>
      </c>
      <c r="AP29" s="9">
        <v>0.56999999999999995</v>
      </c>
      <c r="AQ29" s="9">
        <v>0.56999999999999995</v>
      </c>
      <c r="AR29" s="9">
        <v>0.56999999999999995</v>
      </c>
      <c r="AS29" s="9">
        <v>0</v>
      </c>
      <c r="AT29" s="9">
        <v>0.26700000000000002</v>
      </c>
      <c r="AU29" s="9">
        <v>300</v>
      </c>
      <c r="AV29" s="9">
        <v>0.316</v>
      </c>
      <c r="AW29" s="12">
        <v>350</v>
      </c>
      <c r="AX29" s="9">
        <v>0.26700000000000002</v>
      </c>
      <c r="AY29" s="9">
        <v>163</v>
      </c>
      <c r="AZ29" s="9">
        <v>0.316</v>
      </c>
      <c r="BA29" s="12">
        <v>188</v>
      </c>
      <c r="BB29" s="9">
        <v>0.26700000000000002</v>
      </c>
      <c r="BC29" s="9">
        <v>163</v>
      </c>
      <c r="BD29" s="9">
        <v>0.316</v>
      </c>
      <c r="BE29" s="12">
        <v>188</v>
      </c>
      <c r="BF29" s="9">
        <v>0.95</v>
      </c>
      <c r="BG29" s="14">
        <v>0.75598352087925702</v>
      </c>
      <c r="BI29" s="141">
        <f t="shared" si="0"/>
        <v>8314979.8948918013</v>
      </c>
    </row>
    <row r="30" spans="1:61" ht="14.45">
      <c r="A30" s="9">
        <v>2020</v>
      </c>
      <c r="B30" s="9" t="s">
        <v>44</v>
      </c>
      <c r="C30" s="9" t="s">
        <v>66</v>
      </c>
      <c r="D30" s="10">
        <v>522.63030000000003</v>
      </c>
      <c r="E30" s="10">
        <v>1633.97</v>
      </c>
      <c r="F30" s="10">
        <v>0</v>
      </c>
      <c r="G30" s="10">
        <v>154.2373</v>
      </c>
      <c r="H30" s="10">
        <v>0</v>
      </c>
      <c r="I30" s="10">
        <v>154.2373</v>
      </c>
      <c r="J30" s="10">
        <v>0</v>
      </c>
      <c r="K30" s="10">
        <v>105.9645</v>
      </c>
      <c r="L30" s="10">
        <v>210.62870000000001</v>
      </c>
      <c r="M30" s="10">
        <v>132.08090000000001</v>
      </c>
      <c r="N30" s="10">
        <v>299.0976</v>
      </c>
      <c r="O30" s="10">
        <v>408.7602</v>
      </c>
      <c r="P30" s="10">
        <v>223.53280000000001</v>
      </c>
      <c r="Q30" s="10">
        <v>251.10310000000001</v>
      </c>
      <c r="R30" s="10">
        <v>0</v>
      </c>
      <c r="S30" s="10">
        <v>974.10709999999995</v>
      </c>
      <c r="T30" s="11">
        <v>0</v>
      </c>
      <c r="U30" s="11">
        <v>9.6199999999999992</v>
      </c>
      <c r="V30" s="11">
        <v>90.38</v>
      </c>
      <c r="W30" s="9">
        <v>300</v>
      </c>
      <c r="X30" s="9">
        <v>350</v>
      </c>
      <c r="Y30" s="11">
        <v>25</v>
      </c>
      <c r="Z30" s="9">
        <v>300</v>
      </c>
      <c r="AA30" s="9">
        <v>350</v>
      </c>
      <c r="AB30" s="13">
        <v>2.82</v>
      </c>
      <c r="AC30" s="9">
        <v>0.1</v>
      </c>
      <c r="AD30" s="9">
        <v>0.7</v>
      </c>
      <c r="AE30" s="9">
        <v>0.05</v>
      </c>
      <c r="AF30" s="9">
        <v>0.05</v>
      </c>
      <c r="AG30" s="14">
        <v>0.03</v>
      </c>
      <c r="AH30" s="14">
        <v>0</v>
      </c>
      <c r="AI30" s="15">
        <v>3.56E-2</v>
      </c>
      <c r="AJ30" s="9">
        <v>0.21129999999999999</v>
      </c>
      <c r="AK30" s="9">
        <v>3.2399999999999998E-2</v>
      </c>
      <c r="AL30" s="12">
        <v>2.2500079999999998</v>
      </c>
      <c r="AM30" s="9">
        <v>0.56999999999999995</v>
      </c>
      <c r="AN30" s="9">
        <v>0.56999999999999995</v>
      </c>
      <c r="AO30" s="9">
        <v>0.56999999999999995</v>
      </c>
      <c r="AP30" s="9">
        <v>0.56999999999999995</v>
      </c>
      <c r="AQ30" s="9">
        <v>0.56999999999999995</v>
      </c>
      <c r="AR30" s="9">
        <v>0.56999999999999995</v>
      </c>
      <c r="AS30" s="9">
        <v>0</v>
      </c>
      <c r="AT30" s="9">
        <v>0.26700000000000002</v>
      </c>
      <c r="AU30" s="9">
        <v>300</v>
      </c>
      <c r="AV30" s="9">
        <v>0.316</v>
      </c>
      <c r="AW30" s="12">
        <v>350</v>
      </c>
      <c r="AX30" s="9">
        <v>0.26700000000000002</v>
      </c>
      <c r="AY30" s="9">
        <v>163</v>
      </c>
      <c r="AZ30" s="9">
        <v>0.316</v>
      </c>
      <c r="BA30" s="12">
        <v>188</v>
      </c>
      <c r="BB30" s="9">
        <v>0.26700000000000002</v>
      </c>
      <c r="BC30" s="9">
        <v>163</v>
      </c>
      <c r="BD30" s="9">
        <v>0.316</v>
      </c>
      <c r="BE30" s="12">
        <v>188</v>
      </c>
      <c r="BF30" s="9">
        <v>0.95</v>
      </c>
      <c r="BG30" s="14">
        <v>0.67238088467036505</v>
      </c>
      <c r="BI30" s="141">
        <f t="shared" si="0"/>
        <v>799988.30026773177</v>
      </c>
    </row>
    <row r="31" spans="1:61" ht="14.45">
      <c r="A31" s="9">
        <v>2020</v>
      </c>
      <c r="B31" s="9" t="s">
        <v>48</v>
      </c>
      <c r="C31" s="9" t="s">
        <v>67</v>
      </c>
      <c r="D31" s="10">
        <v>7144.5039999999999</v>
      </c>
      <c r="E31" s="10">
        <v>32424.29</v>
      </c>
      <c r="F31" s="10">
        <v>753.83420000000001</v>
      </c>
      <c r="G31" s="10">
        <v>358.34679999999997</v>
      </c>
      <c r="H31" s="10">
        <v>753.83420000000001</v>
      </c>
      <c r="I31" s="10">
        <v>358.34679999999997</v>
      </c>
      <c r="J31" s="10">
        <v>183.44710000000001</v>
      </c>
      <c r="K31" s="10">
        <v>574.87019999999995</v>
      </c>
      <c r="L31" s="10">
        <v>4947.9939999999997</v>
      </c>
      <c r="M31" s="10">
        <v>4881.393</v>
      </c>
      <c r="N31" s="10">
        <v>6762.91</v>
      </c>
      <c r="O31" s="10">
        <v>9237.9429999999993</v>
      </c>
      <c r="P31" s="10">
        <v>381.59480000000002</v>
      </c>
      <c r="Q31" s="10">
        <v>5203.8059999999996</v>
      </c>
      <c r="R31" s="10">
        <v>0</v>
      </c>
      <c r="S31" s="10">
        <v>17982.54</v>
      </c>
      <c r="T31" s="11">
        <v>0.64</v>
      </c>
      <c r="U31" s="11">
        <v>15.75</v>
      </c>
      <c r="V31" s="11">
        <v>83.61</v>
      </c>
      <c r="W31" s="9">
        <v>300</v>
      </c>
      <c r="X31" s="9">
        <v>350</v>
      </c>
      <c r="Y31" s="11">
        <v>25</v>
      </c>
      <c r="Z31" s="9">
        <v>300</v>
      </c>
      <c r="AA31" s="9">
        <v>350</v>
      </c>
      <c r="AB31" s="13">
        <v>2.82</v>
      </c>
      <c r="AC31" s="9">
        <v>0.1</v>
      </c>
      <c r="AD31" s="9">
        <v>0.7</v>
      </c>
      <c r="AE31" s="9">
        <v>0.05</v>
      </c>
      <c r="AF31" s="9">
        <v>0.05</v>
      </c>
      <c r="AG31" s="14">
        <v>0.02</v>
      </c>
      <c r="AH31" s="14">
        <v>0</v>
      </c>
      <c r="AI31" s="15">
        <v>3.56E-2</v>
      </c>
      <c r="AJ31" s="9">
        <v>0.21129999999999999</v>
      </c>
      <c r="AK31" s="9">
        <v>3.2399999999999998E-2</v>
      </c>
      <c r="AL31" s="12">
        <v>1.9377390000000001</v>
      </c>
      <c r="AM31" s="9">
        <v>0.56999999999999995</v>
      </c>
      <c r="AN31" s="9">
        <v>0.56999999999999995</v>
      </c>
      <c r="AO31" s="9">
        <v>0.56999999999999995</v>
      </c>
      <c r="AP31" s="9">
        <v>0.56999999999999995</v>
      </c>
      <c r="AQ31" s="9">
        <v>0.56999999999999995</v>
      </c>
      <c r="AR31" s="9">
        <v>0.56999999999999995</v>
      </c>
      <c r="AS31" s="9">
        <v>0</v>
      </c>
      <c r="AT31" s="9">
        <v>0.26700000000000002</v>
      </c>
      <c r="AU31" s="9">
        <v>300</v>
      </c>
      <c r="AV31" s="9">
        <v>0.316</v>
      </c>
      <c r="AW31" s="12">
        <v>350</v>
      </c>
      <c r="AX31" s="9">
        <v>0.26700000000000002</v>
      </c>
      <c r="AY31" s="9">
        <v>163</v>
      </c>
      <c r="AZ31" s="9">
        <v>0.316</v>
      </c>
      <c r="BA31" s="12">
        <v>188</v>
      </c>
      <c r="BB31" s="9">
        <v>0.26700000000000002</v>
      </c>
      <c r="BC31" s="9">
        <v>163</v>
      </c>
      <c r="BD31" s="9">
        <v>0.316</v>
      </c>
      <c r="BE31" s="12">
        <v>188</v>
      </c>
      <c r="BF31" s="9">
        <v>0.95</v>
      </c>
      <c r="BG31" s="14">
        <v>0.76300853573087701</v>
      </c>
      <c r="BI31" s="141">
        <f t="shared" si="0"/>
        <v>12718596.213126902</v>
      </c>
    </row>
    <row r="32" spans="1:61" ht="14.45">
      <c r="A32" s="9">
        <v>2020</v>
      </c>
      <c r="B32" s="9" t="s">
        <v>52</v>
      </c>
      <c r="C32" s="9" t="s">
        <v>68</v>
      </c>
      <c r="D32" s="10">
        <v>2352.2339999999999</v>
      </c>
      <c r="E32" s="10">
        <v>7044.0190000000002</v>
      </c>
      <c r="F32" s="10">
        <v>142.21780000000001</v>
      </c>
      <c r="G32" s="10">
        <v>0</v>
      </c>
      <c r="H32" s="10">
        <v>142.21780000000001</v>
      </c>
      <c r="I32" s="10">
        <v>0</v>
      </c>
      <c r="J32" s="10">
        <v>141.21780000000001</v>
      </c>
      <c r="K32" s="10">
        <v>0</v>
      </c>
      <c r="L32" s="10">
        <v>990.30449999999996</v>
      </c>
      <c r="M32" s="10">
        <v>1510.9639999999999</v>
      </c>
      <c r="N32" s="10">
        <v>2173.7359999999999</v>
      </c>
      <c r="O32" s="10">
        <v>2939.0520000000001</v>
      </c>
      <c r="P32" s="10">
        <v>177.49809999999999</v>
      </c>
      <c r="Q32" s="10">
        <v>1037.3130000000001</v>
      </c>
      <c r="R32" s="10">
        <v>1</v>
      </c>
      <c r="S32" s="10">
        <v>3067.6550000000002</v>
      </c>
      <c r="T32" s="11">
        <v>8.44</v>
      </c>
      <c r="U32" s="11">
        <v>34.28</v>
      </c>
      <c r="V32" s="11">
        <v>57.28</v>
      </c>
      <c r="W32" s="9">
        <v>300</v>
      </c>
      <c r="X32" s="9">
        <v>350</v>
      </c>
      <c r="Y32" s="11">
        <v>25</v>
      </c>
      <c r="Z32" s="9">
        <v>300</v>
      </c>
      <c r="AA32" s="9">
        <v>350</v>
      </c>
      <c r="AB32" s="13">
        <v>2.82</v>
      </c>
      <c r="AC32" s="9">
        <v>0.1</v>
      </c>
      <c r="AD32" s="9">
        <v>0.7</v>
      </c>
      <c r="AE32" s="9">
        <v>0.05</v>
      </c>
      <c r="AF32" s="9">
        <v>0.05</v>
      </c>
      <c r="AG32" s="14">
        <v>0.03</v>
      </c>
      <c r="AH32" s="14">
        <v>3.25981898225E-4</v>
      </c>
      <c r="AI32" s="15">
        <v>3.56E-2</v>
      </c>
      <c r="AJ32" s="9">
        <v>0.21129999999999999</v>
      </c>
      <c r="AK32" s="9">
        <v>3.2399999999999998E-2</v>
      </c>
      <c r="AL32" s="12">
        <v>2.6082000000000001</v>
      </c>
      <c r="AM32" s="9">
        <v>0.56999999999999995</v>
      </c>
      <c r="AN32" s="9">
        <v>0.56999999999999995</v>
      </c>
      <c r="AO32" s="9">
        <v>0.56999999999999995</v>
      </c>
      <c r="AP32" s="9">
        <v>0.56999999999999995</v>
      </c>
      <c r="AQ32" s="9">
        <v>0.56999999999999995</v>
      </c>
      <c r="AR32" s="9">
        <v>0.56999999999999995</v>
      </c>
      <c r="AS32" s="9">
        <v>0</v>
      </c>
      <c r="AT32" s="9">
        <v>0.26700000000000002</v>
      </c>
      <c r="AU32" s="9">
        <v>300</v>
      </c>
      <c r="AV32" s="9">
        <v>0.316</v>
      </c>
      <c r="AW32" s="12">
        <v>350</v>
      </c>
      <c r="AX32" s="9">
        <v>0.26700000000000002</v>
      </c>
      <c r="AY32" s="9">
        <v>163</v>
      </c>
      <c r="AZ32" s="9">
        <v>0.316</v>
      </c>
      <c r="BA32" s="12">
        <v>188</v>
      </c>
      <c r="BB32" s="9">
        <v>0.26700000000000002</v>
      </c>
      <c r="BC32" s="9">
        <v>163</v>
      </c>
      <c r="BD32" s="9">
        <v>0.316</v>
      </c>
      <c r="BE32" s="12">
        <v>188</v>
      </c>
      <c r="BF32" s="9">
        <v>0.95</v>
      </c>
      <c r="BG32" s="14">
        <v>0.71616184846192599</v>
      </c>
      <c r="BI32" s="141">
        <f t="shared" si="0"/>
        <v>2920386.0864150003</v>
      </c>
    </row>
    <row r="33" spans="1:61" ht="14.45">
      <c r="A33" s="9">
        <v>2020</v>
      </c>
      <c r="B33" s="9" t="s">
        <v>48</v>
      </c>
      <c r="C33" s="12" t="s">
        <v>69</v>
      </c>
      <c r="D33" s="10">
        <v>2590.33</v>
      </c>
      <c r="E33" s="10">
        <v>10356.34</v>
      </c>
      <c r="F33" s="10">
        <v>96.078019999999995</v>
      </c>
      <c r="G33" s="10">
        <v>811.05110000000002</v>
      </c>
      <c r="H33" s="10">
        <v>96.078019999999995</v>
      </c>
      <c r="I33" s="10">
        <v>811.05110000000002</v>
      </c>
      <c r="J33" s="10">
        <v>491.02969999999999</v>
      </c>
      <c r="K33" s="10">
        <v>491.32190000000003</v>
      </c>
      <c r="L33" s="10">
        <v>2244.5740000000001</v>
      </c>
      <c r="M33" s="10">
        <v>2292.33</v>
      </c>
      <c r="N33" s="10">
        <v>2100.1999999999998</v>
      </c>
      <c r="O33" s="10">
        <v>2007.346</v>
      </c>
      <c r="P33" s="10">
        <v>490.12979999999999</v>
      </c>
      <c r="Q33" s="10">
        <v>3612.9929999999999</v>
      </c>
      <c r="R33" s="10">
        <v>0</v>
      </c>
      <c r="S33" s="10">
        <v>4736.0039999999999</v>
      </c>
      <c r="T33" s="11">
        <v>0</v>
      </c>
      <c r="U33" s="11">
        <v>4.1900000000000004</v>
      </c>
      <c r="V33" s="11">
        <v>95.81</v>
      </c>
      <c r="W33" s="9">
        <v>300</v>
      </c>
      <c r="X33" s="9">
        <v>350</v>
      </c>
      <c r="Y33" s="11">
        <v>25</v>
      </c>
      <c r="Z33" s="9">
        <v>300</v>
      </c>
      <c r="AA33" s="9">
        <v>350</v>
      </c>
      <c r="AB33" s="13">
        <v>2.82</v>
      </c>
      <c r="AC33" s="9">
        <v>0.1</v>
      </c>
      <c r="AD33" s="9">
        <v>0.7</v>
      </c>
      <c r="AE33" s="9">
        <v>0.05</v>
      </c>
      <c r="AF33" s="9">
        <v>0.05</v>
      </c>
      <c r="AG33" s="14">
        <v>0.09</v>
      </c>
      <c r="AH33" s="14">
        <v>0</v>
      </c>
      <c r="AI33" s="15">
        <v>3.56E-2</v>
      </c>
      <c r="AJ33" s="9">
        <v>0.21129999999999999</v>
      </c>
      <c r="AK33" s="9">
        <v>3.2399999999999998E-2</v>
      </c>
      <c r="AL33" s="12">
        <v>1.739385</v>
      </c>
      <c r="AM33" s="9">
        <v>0.56999999999999995</v>
      </c>
      <c r="AN33" s="9">
        <v>0.56999999999999995</v>
      </c>
      <c r="AO33" s="9">
        <v>0.56999999999999995</v>
      </c>
      <c r="AP33" s="9">
        <v>0.56999999999999995</v>
      </c>
      <c r="AQ33" s="9">
        <v>0.56999999999999995</v>
      </c>
      <c r="AR33" s="9">
        <v>0.56999999999999995</v>
      </c>
      <c r="AS33" s="9">
        <v>0</v>
      </c>
      <c r="AT33" s="9">
        <v>0.26700000000000002</v>
      </c>
      <c r="AU33" s="9">
        <v>300</v>
      </c>
      <c r="AV33" s="9">
        <v>0.316</v>
      </c>
      <c r="AW33" s="12">
        <v>350</v>
      </c>
      <c r="AX33" s="9">
        <v>0.26700000000000002</v>
      </c>
      <c r="AY33" s="9">
        <v>163</v>
      </c>
      <c r="AZ33" s="9">
        <v>0.316</v>
      </c>
      <c r="BA33" s="12">
        <v>188</v>
      </c>
      <c r="BB33" s="9">
        <v>0.26700000000000002</v>
      </c>
      <c r="BC33" s="9">
        <v>163</v>
      </c>
      <c r="BD33" s="9">
        <v>0.316</v>
      </c>
      <c r="BE33" s="12">
        <v>188</v>
      </c>
      <c r="BF33" s="9">
        <v>0.95</v>
      </c>
      <c r="BG33" s="14">
        <v>0.535799984224686</v>
      </c>
      <c r="BI33" s="141">
        <f t="shared" si="0"/>
        <v>3006773.0259020999</v>
      </c>
    </row>
    <row r="34" spans="1:61" ht="14.45">
      <c r="A34" s="9">
        <v>2020</v>
      </c>
      <c r="B34" s="89" t="s">
        <v>41</v>
      </c>
      <c r="C34" s="89" t="s">
        <v>70</v>
      </c>
      <c r="D34" s="10">
        <v>5261.5469999999996</v>
      </c>
      <c r="E34" s="10">
        <v>13804.88</v>
      </c>
      <c r="F34" s="10">
        <v>1200.125</v>
      </c>
      <c r="G34" s="10">
        <v>1128.0709999999999</v>
      </c>
      <c r="H34" s="10">
        <v>1200.125</v>
      </c>
      <c r="I34" s="10">
        <v>1128.0709999999999</v>
      </c>
      <c r="J34" s="10">
        <v>0</v>
      </c>
      <c r="K34" s="10">
        <v>421.01389999999998</v>
      </c>
      <c r="L34" s="10">
        <v>1612.373</v>
      </c>
      <c r="M34" s="10">
        <v>2676.2689999999998</v>
      </c>
      <c r="N34" s="10">
        <v>3133.4290000000001</v>
      </c>
      <c r="O34" s="10">
        <v>2991.8449999999998</v>
      </c>
      <c r="P34" s="10">
        <v>1876.681</v>
      </c>
      <c r="Q34" s="10">
        <v>2212.0549999999998</v>
      </c>
      <c r="R34" s="10">
        <v>251.43690000000001</v>
      </c>
      <c r="S34" s="10">
        <v>8600.9809999999998</v>
      </c>
      <c r="T34" s="11">
        <v>0</v>
      </c>
      <c r="U34" s="11">
        <v>0</v>
      </c>
      <c r="V34" s="11">
        <v>100</v>
      </c>
      <c r="W34" s="9">
        <v>300</v>
      </c>
      <c r="X34" s="9">
        <v>350</v>
      </c>
      <c r="Y34" s="11">
        <v>25</v>
      </c>
      <c r="Z34" s="9">
        <v>300</v>
      </c>
      <c r="AA34" s="9">
        <v>350</v>
      </c>
      <c r="AB34" s="13">
        <v>2.82</v>
      </c>
      <c r="AC34" s="9">
        <v>0.1</v>
      </c>
      <c r="AD34" s="9">
        <v>0.7</v>
      </c>
      <c r="AE34" s="9">
        <v>0.05</v>
      </c>
      <c r="AF34" s="9">
        <v>0.05</v>
      </c>
      <c r="AG34" s="14">
        <v>0.01</v>
      </c>
      <c r="AH34" s="14">
        <v>2.9233514177E-2</v>
      </c>
      <c r="AI34" s="15">
        <v>3.56E-2</v>
      </c>
      <c r="AJ34" s="9">
        <v>0.21129999999999999</v>
      </c>
      <c r="AK34" s="9">
        <v>3.2399999999999998E-2</v>
      </c>
      <c r="AL34" s="12">
        <v>1.9985820000000001</v>
      </c>
      <c r="AM34" s="9">
        <v>0.56999999999999995</v>
      </c>
      <c r="AN34" s="9">
        <v>0.56999999999999995</v>
      </c>
      <c r="AO34" s="9">
        <v>0.56999999999999995</v>
      </c>
      <c r="AP34" s="9">
        <v>0.56999999999999995</v>
      </c>
      <c r="AQ34" s="9">
        <v>0.56999999999999995</v>
      </c>
      <c r="AR34" s="9">
        <v>0.56999999999999995</v>
      </c>
      <c r="AS34" s="9">
        <v>0</v>
      </c>
      <c r="AT34" s="9">
        <v>0.26700000000000002</v>
      </c>
      <c r="AU34" s="9">
        <v>300</v>
      </c>
      <c r="AV34" s="9">
        <v>0.316</v>
      </c>
      <c r="AW34" s="12">
        <v>350</v>
      </c>
      <c r="AX34" s="9">
        <v>0.26700000000000002</v>
      </c>
      <c r="AY34" s="9">
        <v>163</v>
      </c>
      <c r="AZ34" s="9">
        <v>0.316</v>
      </c>
      <c r="BA34" s="12">
        <v>188</v>
      </c>
      <c r="BB34" s="9">
        <v>0.26700000000000002</v>
      </c>
      <c r="BC34" s="9">
        <v>163</v>
      </c>
      <c r="BD34" s="9">
        <v>0.316</v>
      </c>
      <c r="BE34" s="12">
        <v>188</v>
      </c>
      <c r="BF34" s="9">
        <v>0.95</v>
      </c>
      <c r="BG34" s="14">
        <v>0.66462241825282597</v>
      </c>
      <c r="BI34" s="141">
        <f t="shared" si="0"/>
        <v>6274264.5202638302</v>
      </c>
    </row>
    <row r="35" spans="1:61" ht="14.45">
      <c r="A35" s="9">
        <v>2020</v>
      </c>
      <c r="B35" s="9" t="s">
        <v>52</v>
      </c>
      <c r="C35" s="9" t="s">
        <v>71</v>
      </c>
      <c r="D35" s="10">
        <v>5860.0029999999997</v>
      </c>
      <c r="E35" s="10">
        <v>6707.6660000000002</v>
      </c>
      <c r="F35" s="10">
        <v>552.18709999999999</v>
      </c>
      <c r="G35" s="10">
        <v>732.14819999999997</v>
      </c>
      <c r="H35" s="10">
        <v>552.18709999999999</v>
      </c>
      <c r="I35" s="10">
        <v>732.14819999999997</v>
      </c>
      <c r="J35" s="10">
        <v>0</v>
      </c>
      <c r="K35" s="10">
        <v>721.68780000000004</v>
      </c>
      <c r="L35" s="10">
        <v>678.69169999999997</v>
      </c>
      <c r="M35" s="10">
        <v>812.32</v>
      </c>
      <c r="N35" s="10">
        <v>3429.069</v>
      </c>
      <c r="O35" s="10">
        <v>1384.0630000000001</v>
      </c>
      <c r="P35" s="10">
        <v>1677.0360000000001</v>
      </c>
      <c r="Q35" s="10">
        <v>1559.4359999999999</v>
      </c>
      <c r="R35" s="10">
        <v>752.89760000000001</v>
      </c>
      <c r="S35" s="10">
        <v>3765.1660000000002</v>
      </c>
      <c r="T35" s="11">
        <v>0</v>
      </c>
      <c r="U35" s="11">
        <v>0</v>
      </c>
      <c r="V35" s="11">
        <v>100</v>
      </c>
      <c r="W35" s="9">
        <v>300</v>
      </c>
      <c r="X35" s="9">
        <v>350</v>
      </c>
      <c r="Y35" s="11">
        <v>25</v>
      </c>
      <c r="Z35" s="9">
        <v>300</v>
      </c>
      <c r="AA35" s="9">
        <v>350</v>
      </c>
      <c r="AB35" s="13">
        <v>2.82</v>
      </c>
      <c r="AC35" s="9">
        <v>0.1</v>
      </c>
      <c r="AD35" s="9">
        <v>0.7</v>
      </c>
      <c r="AE35" s="9">
        <v>0.05</v>
      </c>
      <c r="AF35" s="9">
        <v>0.05</v>
      </c>
      <c r="AG35" s="14">
        <v>0.04</v>
      </c>
      <c r="AH35" s="14">
        <v>0.19996398565199999</v>
      </c>
      <c r="AI35" s="15">
        <v>3.56E-2</v>
      </c>
      <c r="AJ35" s="9">
        <v>0.21129999999999999</v>
      </c>
      <c r="AK35" s="9">
        <v>3.2399999999999998E-2</v>
      </c>
      <c r="AL35" s="12">
        <v>1.833467</v>
      </c>
      <c r="AM35" s="9">
        <v>0.56999999999999995</v>
      </c>
      <c r="AN35" s="9">
        <v>0.56999999999999995</v>
      </c>
      <c r="AO35" s="9">
        <v>0.56999999999999995</v>
      </c>
      <c r="AP35" s="9">
        <v>0.56999999999999995</v>
      </c>
      <c r="AQ35" s="9">
        <v>0.56999999999999995</v>
      </c>
      <c r="AR35" s="9">
        <v>0.56999999999999995</v>
      </c>
      <c r="AS35" s="9">
        <v>0</v>
      </c>
      <c r="AT35" s="9">
        <v>0.26700000000000002</v>
      </c>
      <c r="AU35" s="9">
        <v>300</v>
      </c>
      <c r="AV35" s="9">
        <v>0.316</v>
      </c>
      <c r="AW35" s="12">
        <v>350</v>
      </c>
      <c r="AX35" s="9">
        <v>0.26700000000000002</v>
      </c>
      <c r="AY35" s="9">
        <v>163</v>
      </c>
      <c r="AZ35" s="9">
        <v>0.316</v>
      </c>
      <c r="BA35" s="12">
        <v>188</v>
      </c>
      <c r="BB35" s="9">
        <v>0.26700000000000002</v>
      </c>
      <c r="BC35" s="9">
        <v>163</v>
      </c>
      <c r="BD35" s="9">
        <v>0.316</v>
      </c>
      <c r="BE35" s="12">
        <v>188</v>
      </c>
      <c r="BF35" s="9">
        <v>0.95</v>
      </c>
      <c r="BG35" s="14">
        <v>0.485543711992243</v>
      </c>
      <c r="BI35" s="141">
        <f t="shared" si="0"/>
        <v>2519707.27784053</v>
      </c>
    </row>
    <row r="36" spans="1:61" ht="14.45">
      <c r="A36" s="9">
        <v>2020</v>
      </c>
      <c r="B36" s="89" t="s">
        <v>52</v>
      </c>
      <c r="C36" s="89" t="s">
        <v>72</v>
      </c>
      <c r="D36" s="10">
        <v>3091.1350000000002</v>
      </c>
      <c r="E36" s="10">
        <v>12844.51</v>
      </c>
      <c r="F36" s="10">
        <v>232.91460000000001</v>
      </c>
      <c r="G36" s="10">
        <v>263.46420000000001</v>
      </c>
      <c r="H36" s="10">
        <v>232.91460000000001</v>
      </c>
      <c r="I36" s="10">
        <v>263.46420000000001</v>
      </c>
      <c r="J36" s="10">
        <v>0</v>
      </c>
      <c r="K36" s="10">
        <v>0</v>
      </c>
      <c r="L36" s="10">
        <v>1591.6089999999999</v>
      </c>
      <c r="M36" s="10">
        <v>1709.3320000000001</v>
      </c>
      <c r="N36" s="10">
        <v>2637.3539999999998</v>
      </c>
      <c r="O36" s="10">
        <v>3738.0659999999998</v>
      </c>
      <c r="P36" s="10">
        <v>257.4973</v>
      </c>
      <c r="Q36" s="10">
        <v>1576.5219999999999</v>
      </c>
      <c r="R36" s="10">
        <v>196.28370000000001</v>
      </c>
      <c r="S36" s="10">
        <v>7529.9189999999999</v>
      </c>
      <c r="T36" s="11">
        <v>0.01</v>
      </c>
      <c r="U36" s="11">
        <v>19.38</v>
      </c>
      <c r="V36" s="11">
        <v>80.61</v>
      </c>
      <c r="W36" s="9">
        <v>300</v>
      </c>
      <c r="X36" s="9">
        <v>350</v>
      </c>
      <c r="Y36" s="11">
        <v>25</v>
      </c>
      <c r="Z36" s="9">
        <v>300</v>
      </c>
      <c r="AA36" s="9">
        <v>350</v>
      </c>
      <c r="AB36" s="13">
        <v>2.82</v>
      </c>
      <c r="AC36" s="9">
        <v>0.1</v>
      </c>
      <c r="AD36" s="9">
        <v>0.7</v>
      </c>
      <c r="AE36" s="9">
        <v>0.05</v>
      </c>
      <c r="AF36" s="9">
        <v>0.05</v>
      </c>
      <c r="AG36" s="14">
        <v>0</v>
      </c>
      <c r="AH36" s="14">
        <v>2.60671728341E-2</v>
      </c>
      <c r="AI36" s="15">
        <v>3.56E-2</v>
      </c>
      <c r="AJ36" s="9">
        <v>0.21129999999999999</v>
      </c>
      <c r="AK36" s="9">
        <v>3.2399999999999998E-2</v>
      </c>
      <c r="AL36" s="12">
        <v>1.841656</v>
      </c>
      <c r="AM36" s="9">
        <v>0.56999999999999995</v>
      </c>
      <c r="AN36" s="9">
        <v>0.56999999999999995</v>
      </c>
      <c r="AO36" s="9">
        <v>0.56999999999999995</v>
      </c>
      <c r="AP36" s="9">
        <v>0.56999999999999995</v>
      </c>
      <c r="AQ36" s="9">
        <v>0.56999999999999995</v>
      </c>
      <c r="AR36" s="9">
        <v>0.56999999999999995</v>
      </c>
      <c r="AS36" s="9">
        <v>0</v>
      </c>
      <c r="AT36" s="9">
        <v>0.26700000000000002</v>
      </c>
      <c r="AU36" s="9">
        <v>300</v>
      </c>
      <c r="AV36" s="9">
        <v>0.316</v>
      </c>
      <c r="AW36" s="12">
        <v>350</v>
      </c>
      <c r="AX36" s="9">
        <v>0.26700000000000002</v>
      </c>
      <c r="AY36" s="9">
        <v>163</v>
      </c>
      <c r="AZ36" s="9">
        <v>0.316</v>
      </c>
      <c r="BA36" s="12">
        <v>188</v>
      </c>
      <c r="BB36" s="9">
        <v>0.26700000000000002</v>
      </c>
      <c r="BC36" s="9">
        <v>163</v>
      </c>
      <c r="BD36" s="9">
        <v>0.316</v>
      </c>
      <c r="BE36" s="12">
        <v>188</v>
      </c>
      <c r="BF36" s="9">
        <v>0.95</v>
      </c>
      <c r="BG36" s="14">
        <v>0.78763014080635296</v>
      </c>
      <c r="BI36" s="141">
        <f t="shared" si="0"/>
        <v>5061644.9846403599</v>
      </c>
    </row>
    <row r="37" spans="1:61" ht="14.45">
      <c r="A37" s="9">
        <v>2020</v>
      </c>
      <c r="B37" s="9" t="s">
        <v>39</v>
      </c>
      <c r="C37" s="9" t="s">
        <v>73</v>
      </c>
      <c r="D37" s="10">
        <v>1165.3810000000001</v>
      </c>
      <c r="E37" s="10">
        <v>5962.8450000000003</v>
      </c>
      <c r="F37" s="10">
        <v>0</v>
      </c>
      <c r="G37" s="10">
        <v>1</v>
      </c>
      <c r="H37" s="10">
        <v>0</v>
      </c>
      <c r="I37" s="10">
        <v>1</v>
      </c>
      <c r="J37" s="10">
        <v>235.7456</v>
      </c>
      <c r="K37" s="10">
        <v>188.9521</v>
      </c>
      <c r="L37" s="10">
        <v>1122.711</v>
      </c>
      <c r="M37" s="10">
        <v>523.62559999999996</v>
      </c>
      <c r="N37" s="10">
        <v>708.41750000000002</v>
      </c>
      <c r="O37" s="10">
        <v>1962.5170000000001</v>
      </c>
      <c r="P37" s="10">
        <v>456.96359999999999</v>
      </c>
      <c r="Q37" s="10">
        <v>451.66399999999999</v>
      </c>
      <c r="R37" s="10">
        <v>0</v>
      </c>
      <c r="S37" s="10">
        <v>3548.6640000000002</v>
      </c>
      <c r="T37" s="11">
        <v>0.11</v>
      </c>
      <c r="U37" s="11">
        <v>0</v>
      </c>
      <c r="V37" s="11">
        <v>99.89</v>
      </c>
      <c r="W37" s="9">
        <v>300</v>
      </c>
      <c r="X37" s="9">
        <v>350</v>
      </c>
      <c r="Y37" s="11">
        <v>25</v>
      </c>
      <c r="Z37" s="9">
        <v>300</v>
      </c>
      <c r="AA37" s="9">
        <v>350</v>
      </c>
      <c r="AB37" s="13">
        <v>2.82</v>
      </c>
      <c r="AC37" s="9">
        <v>0.1</v>
      </c>
      <c r="AD37" s="9">
        <v>0.7</v>
      </c>
      <c r="AE37" s="9">
        <v>0.05</v>
      </c>
      <c r="AF37" s="9">
        <v>0.05</v>
      </c>
      <c r="AG37" s="14">
        <v>0.1</v>
      </c>
      <c r="AH37" s="14">
        <v>0</v>
      </c>
      <c r="AI37" s="15">
        <v>3.56E-2</v>
      </c>
      <c r="AJ37" s="9">
        <v>0.21129999999999999</v>
      </c>
      <c r="AK37" s="9">
        <v>3.2399999999999998E-2</v>
      </c>
      <c r="AL37" s="12">
        <v>2.323188</v>
      </c>
      <c r="AM37" s="9">
        <v>0.56999999999999995</v>
      </c>
      <c r="AN37" s="9">
        <v>0.56999999999999995</v>
      </c>
      <c r="AO37" s="9">
        <v>0.56999999999999995</v>
      </c>
      <c r="AP37" s="9">
        <v>0.56999999999999995</v>
      </c>
      <c r="AQ37" s="9">
        <v>0.56999999999999995</v>
      </c>
      <c r="AR37" s="9">
        <v>0.56999999999999995</v>
      </c>
      <c r="AS37" s="9">
        <v>0</v>
      </c>
      <c r="AT37" s="9">
        <v>0.26700000000000002</v>
      </c>
      <c r="AU37" s="9">
        <v>300</v>
      </c>
      <c r="AV37" s="9">
        <v>0.316</v>
      </c>
      <c r="AW37" s="12">
        <v>350</v>
      </c>
      <c r="AX37" s="9">
        <v>0.26700000000000002</v>
      </c>
      <c r="AY37" s="9">
        <v>163</v>
      </c>
      <c r="AZ37" s="9">
        <v>0.316</v>
      </c>
      <c r="BA37" s="12">
        <v>188</v>
      </c>
      <c r="BB37" s="9">
        <v>0.26700000000000002</v>
      </c>
      <c r="BC37" s="9">
        <v>163</v>
      </c>
      <c r="BD37" s="9">
        <v>0.316</v>
      </c>
      <c r="BE37" s="12">
        <v>188</v>
      </c>
      <c r="BF37" s="9">
        <v>0.95</v>
      </c>
      <c r="BG37" s="14">
        <v>0.79614804649532001</v>
      </c>
      <c r="BI37" s="141">
        <f t="shared" si="0"/>
        <v>3009137.9716036804</v>
      </c>
    </row>
    <row r="38" spans="1:61" ht="14.45">
      <c r="D38" s="143">
        <f>SUM(D8:D37)</f>
        <v>125573.90281999997</v>
      </c>
      <c r="E38" s="143">
        <f>SUM(E8:E37)</f>
        <v>409748.38540000003</v>
      </c>
      <c r="S38" s="39"/>
      <c r="T38" s="148"/>
      <c r="U38" s="148"/>
      <c r="V38" s="148"/>
      <c r="AE38">
        <f>AVERAGE(AE8:AE37)</f>
        <v>5.0000000000000024E-2</v>
      </c>
      <c r="AF38">
        <f t="shared" ref="AF38:AG38" si="1">AVERAGE(AF8:AF37)</f>
        <v>5.0000000000000024E-2</v>
      </c>
      <c r="AG38" s="150">
        <f t="shared" si="1"/>
        <v>4.7666666666666677E-2</v>
      </c>
      <c r="AL38" s="148">
        <f>AVERAGE(AL8:AL37)</f>
        <v>2.1444109633333333</v>
      </c>
      <c r="BI38" s="140">
        <f>SUM(BI8:BI37)</f>
        <v>161534583.28471151</v>
      </c>
    </row>
    <row r="39" spans="1:61" ht="15" customHeight="1">
      <c r="D39" s="143">
        <v>234634.3058</v>
      </c>
      <c r="E39" s="143">
        <v>731603.02500000002</v>
      </c>
    </row>
    <row r="40" spans="1:61" ht="15" customHeight="1">
      <c r="D40" s="143">
        <v>20443.013660000004</v>
      </c>
      <c r="E40" s="143">
        <v>86496.427600000025</v>
      </c>
    </row>
    <row r="41" spans="1:61" ht="15" customHeight="1">
      <c r="D41" s="140">
        <f>SUM(D38:D40)</f>
        <v>380651.22227999999</v>
      </c>
      <c r="E41" s="140">
        <f>SUM(E38:E40)</f>
        <v>1227847.838</v>
      </c>
    </row>
    <row r="43" spans="1:61" ht="15" customHeight="1">
      <c r="E43" s="152">
        <f>E41+D41</f>
        <v>1608499.0602799999</v>
      </c>
    </row>
  </sheetData>
  <mergeCells count="9">
    <mergeCell ref="P6:Q6"/>
    <mergeCell ref="R6:S6"/>
    <mergeCell ref="T6:V6"/>
    <mergeCell ref="L6:M6"/>
    <mergeCell ref="D6:E6"/>
    <mergeCell ref="F6:G6"/>
    <mergeCell ref="H6:I6"/>
    <mergeCell ref="J6:K6"/>
    <mergeCell ref="N6:O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"/>
  <sheetViews>
    <sheetView workbookViewId="0">
      <selection activeCell="D21" sqref="D21"/>
    </sheetView>
  </sheetViews>
  <sheetFormatPr defaultColWidth="8.85546875" defaultRowHeight="14.45"/>
  <cols>
    <col min="1" max="1" width="46.140625" customWidth="1"/>
    <col min="2" max="2" width="42.85546875" bestFit="1" customWidth="1"/>
    <col min="3" max="3" width="20.28515625" bestFit="1" customWidth="1"/>
    <col min="4" max="4" width="24" customWidth="1"/>
  </cols>
  <sheetData>
    <row r="1" spans="1:5">
      <c r="A1" s="17" t="s">
        <v>119</v>
      </c>
      <c r="B1" s="9">
        <v>0.56999999999999995</v>
      </c>
      <c r="C1" t="s">
        <v>128</v>
      </c>
    </row>
    <row r="2" spans="1:5">
      <c r="A2" s="17" t="s">
        <v>234</v>
      </c>
      <c r="B2" s="10" t="s">
        <v>235</v>
      </c>
      <c r="C2" t="s">
        <v>236</v>
      </c>
      <c r="D2" t="s">
        <v>115</v>
      </c>
      <c r="E2" s="20" t="s">
        <v>116</v>
      </c>
    </row>
    <row r="3" spans="1:5">
      <c r="A3" s="17" t="s">
        <v>237</v>
      </c>
      <c r="B3" s="23" t="s">
        <v>238</v>
      </c>
    </row>
    <row r="4" spans="1:5">
      <c r="A4" s="17" t="s">
        <v>239</v>
      </c>
      <c r="C4" t="s">
        <v>126</v>
      </c>
      <c r="D4" s="20" t="s">
        <v>127</v>
      </c>
    </row>
    <row r="5" spans="1:5">
      <c r="A5" s="17" t="s">
        <v>113</v>
      </c>
      <c r="B5" s="21">
        <v>350</v>
      </c>
      <c r="C5" t="s">
        <v>114</v>
      </c>
      <c r="D5" t="s">
        <v>115</v>
      </c>
      <c r="E5" s="20" t="s">
        <v>116</v>
      </c>
    </row>
    <row r="6" spans="1:5">
      <c r="A6" s="17" t="s">
        <v>117</v>
      </c>
      <c r="B6" s="21">
        <v>400</v>
      </c>
      <c r="C6" t="s">
        <v>114</v>
      </c>
      <c r="D6" t="s">
        <v>115</v>
      </c>
      <c r="E6" s="20" t="s">
        <v>116</v>
      </c>
    </row>
    <row r="7" spans="1:5">
      <c r="A7" s="17" t="s">
        <v>240</v>
      </c>
      <c r="B7" s="21">
        <v>30</v>
      </c>
      <c r="C7" t="s">
        <v>114</v>
      </c>
      <c r="D7" t="s">
        <v>115</v>
      </c>
      <c r="E7" s="20" t="s">
        <v>116</v>
      </c>
    </row>
    <row r="8" spans="1:5">
      <c r="A8" s="17" t="s">
        <v>107</v>
      </c>
      <c r="B8" s="21">
        <v>0.83</v>
      </c>
      <c r="C8" t="s">
        <v>128</v>
      </c>
    </row>
    <row r="9" spans="1:5">
      <c r="A9" s="17" t="s">
        <v>109</v>
      </c>
      <c r="B9" s="21">
        <v>3.5</v>
      </c>
      <c r="C9" t="s">
        <v>128</v>
      </c>
    </row>
    <row r="10" spans="1:5">
      <c r="A10" s="18" t="s">
        <v>111</v>
      </c>
      <c r="B10" s="21">
        <v>3.8</v>
      </c>
      <c r="C10" t="s">
        <v>128</v>
      </c>
    </row>
    <row r="11" spans="1:5">
      <c r="A11" s="18" t="s">
        <v>129</v>
      </c>
      <c r="B11" s="37" t="s">
        <v>130</v>
      </c>
      <c r="C11" t="s">
        <v>131</v>
      </c>
    </row>
    <row r="12" spans="1:5">
      <c r="A12" s="18" t="s">
        <v>132</v>
      </c>
      <c r="B12" s="37" t="s">
        <v>133</v>
      </c>
      <c r="C12" t="s">
        <v>131</v>
      </c>
    </row>
    <row r="13" spans="1:5">
      <c r="A13" s="17" t="s">
        <v>121</v>
      </c>
      <c r="B13" s="40">
        <v>0.05</v>
      </c>
      <c r="C13" t="s">
        <v>241</v>
      </c>
    </row>
    <row r="14" spans="1:5">
      <c r="A14" s="17" t="s">
        <v>123</v>
      </c>
      <c r="B14" s="40">
        <v>0.05</v>
      </c>
      <c r="C14" t="s">
        <v>241</v>
      </c>
    </row>
  </sheetData>
  <hyperlinks>
    <hyperlink ref="E2" r:id="rId1" xr:uid="{00000000-0004-0000-0500-000000000000}"/>
    <hyperlink ref="D4" r:id="rId2" xr:uid="{00000000-0004-0000-0500-000001000000}"/>
    <hyperlink ref="E5" r:id="rId3" xr:uid="{00000000-0004-0000-0500-000002000000}"/>
    <hyperlink ref="E6" r:id="rId4" xr:uid="{00000000-0004-0000-0500-000003000000}"/>
    <hyperlink ref="E7" r:id="rId5" xr:uid="{00000000-0004-0000-0500-000004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44"/>
  <sheetViews>
    <sheetView workbookViewId="0">
      <pane xSplit="3" ySplit="5" topLeftCell="V6" activePane="bottomRight" state="frozen"/>
      <selection pane="bottomRight" activeCell="Y6" sqref="Y6"/>
      <selection pane="bottomLeft" activeCell="A6" sqref="A6"/>
      <selection pane="topRight" activeCell="D1" sqref="D1"/>
    </sheetView>
  </sheetViews>
  <sheetFormatPr defaultColWidth="8.85546875" defaultRowHeight="15" customHeight="1"/>
  <cols>
    <col min="1" max="1" width="9.140625" style="16"/>
    <col min="3" max="3" width="12.42578125" bestFit="1" customWidth="1"/>
    <col min="4" max="5" width="8.7109375" style="8" bestFit="1" customWidth="1"/>
    <col min="6" max="7" width="7.5703125" style="8" bestFit="1" customWidth="1"/>
    <col min="8" max="10" width="7.5703125" bestFit="1" customWidth="1"/>
    <col min="11" max="11" width="7.85546875" bestFit="1" customWidth="1"/>
    <col min="12" max="12" width="8.7109375" bestFit="1" customWidth="1"/>
    <col min="13" max="13" width="7.85546875" bestFit="1" customWidth="1"/>
    <col min="14" max="15" width="8.7109375" bestFit="1" customWidth="1"/>
    <col min="16" max="16" width="7.5703125" bestFit="1" customWidth="1"/>
    <col min="17" max="17" width="8.7109375" bestFit="1" customWidth="1"/>
    <col min="18" max="18" width="7.5703125" bestFit="1" customWidth="1"/>
    <col min="19" max="19" width="9" customWidth="1"/>
    <col min="20" max="20" width="18" customWidth="1"/>
    <col min="21" max="21" width="10.85546875" bestFit="1" customWidth="1"/>
    <col min="22" max="22" width="11.7109375" bestFit="1" customWidth="1"/>
    <col min="23" max="25" width="14.42578125" customWidth="1"/>
    <col min="26" max="26" width="27.28515625" customWidth="1"/>
    <col min="27" max="27" width="20" customWidth="1"/>
    <col min="28" max="33" width="14.42578125" customWidth="1"/>
    <col min="34" max="34" width="22.5703125" style="8" customWidth="1"/>
    <col min="35" max="35" width="14.42578125" style="8" customWidth="1"/>
    <col min="36" max="43" width="14.42578125" customWidth="1"/>
    <col min="44" max="44" width="14.42578125" style="8" customWidth="1"/>
    <col min="45" max="45" width="20.5703125" customWidth="1"/>
    <col min="46" max="58" width="14.42578125" customWidth="1"/>
    <col min="59" max="59" width="14.5703125" customWidth="1"/>
    <col min="61" max="61" width="15.85546875" bestFit="1" customWidth="1"/>
  </cols>
  <sheetData>
    <row r="1" spans="1:61" ht="40.5" customHeight="1">
      <c r="A1" s="30" t="s">
        <v>242</v>
      </c>
      <c r="C1" s="8"/>
      <c r="G1"/>
      <c r="AG1" s="8"/>
      <c r="AI1"/>
      <c r="AO1" s="30"/>
      <c r="AQ1" s="8"/>
      <c r="AR1"/>
    </row>
    <row r="2" spans="1:61" ht="14.45">
      <c r="A2" s="29" t="s">
        <v>154</v>
      </c>
      <c r="C2" s="8"/>
      <c r="G2"/>
      <c r="AG2" s="8"/>
      <c r="AI2"/>
      <c r="AO2" s="29"/>
      <c r="AQ2" s="8"/>
      <c r="AR2"/>
    </row>
    <row r="3" spans="1:61" ht="14.45">
      <c r="A3" s="29"/>
      <c r="C3" s="8"/>
      <c r="G3"/>
      <c r="AG3" s="8"/>
      <c r="AI3"/>
      <c r="AO3" s="29"/>
      <c r="AQ3" s="8"/>
      <c r="AR3"/>
    </row>
    <row r="4" spans="1:61" s="33" customFormat="1" ht="47.25" customHeight="1">
      <c r="D4" s="319" t="s">
        <v>155</v>
      </c>
      <c r="E4" s="319"/>
      <c r="F4" s="319" t="s">
        <v>156</v>
      </c>
      <c r="G4" s="319"/>
      <c r="H4" s="319" t="s">
        <v>77</v>
      </c>
      <c r="I4" s="319"/>
      <c r="J4" s="319" t="s">
        <v>157</v>
      </c>
      <c r="K4" s="319"/>
      <c r="L4" s="319" t="s">
        <v>158</v>
      </c>
      <c r="M4" s="319"/>
      <c r="N4" s="319" t="s">
        <v>159</v>
      </c>
      <c r="O4" s="319"/>
      <c r="P4" s="319" t="s">
        <v>160</v>
      </c>
      <c r="Q4" s="319"/>
      <c r="R4" s="319" t="s">
        <v>161</v>
      </c>
      <c r="S4" s="319"/>
      <c r="T4" s="319" t="s">
        <v>162</v>
      </c>
      <c r="U4" s="319"/>
      <c r="V4" s="319"/>
      <c r="W4" s="31" t="s">
        <v>163</v>
      </c>
      <c r="X4" s="31" t="s">
        <v>164</v>
      </c>
      <c r="Y4" s="32" t="s">
        <v>165</v>
      </c>
      <c r="Z4" s="31" t="s">
        <v>166</v>
      </c>
      <c r="AA4" s="31" t="s">
        <v>167</v>
      </c>
      <c r="AB4" s="31" t="s">
        <v>168</v>
      </c>
      <c r="AC4" s="31" t="s">
        <v>134</v>
      </c>
      <c r="AD4" s="31" t="s">
        <v>169</v>
      </c>
      <c r="AE4" s="31" t="s">
        <v>170</v>
      </c>
      <c r="AF4" s="31" t="s">
        <v>171</v>
      </c>
      <c r="AG4" s="31" t="s">
        <v>172</v>
      </c>
      <c r="AH4" s="31" t="s">
        <v>173</v>
      </c>
      <c r="AI4" s="31" t="s">
        <v>174</v>
      </c>
      <c r="AJ4" s="31" t="s">
        <v>175</v>
      </c>
      <c r="AK4" s="31" t="s">
        <v>176</v>
      </c>
      <c r="AL4" s="35" t="s">
        <v>243</v>
      </c>
      <c r="AM4" s="31" t="s">
        <v>178</v>
      </c>
      <c r="AN4" s="31" t="s">
        <v>179</v>
      </c>
      <c r="AO4" s="31" t="s">
        <v>180</v>
      </c>
      <c r="AP4" s="31" t="s">
        <v>181</v>
      </c>
      <c r="AQ4" s="31" t="s">
        <v>182</v>
      </c>
      <c r="AR4" s="31" t="s">
        <v>183</v>
      </c>
      <c r="AS4" s="31" t="s">
        <v>184</v>
      </c>
      <c r="AT4" s="31" t="s">
        <v>185</v>
      </c>
      <c r="AU4" s="31" t="s">
        <v>186</v>
      </c>
      <c r="AV4" s="31" t="s">
        <v>187</v>
      </c>
      <c r="AW4" s="31" t="s">
        <v>188</v>
      </c>
      <c r="AX4" s="31" t="s">
        <v>189</v>
      </c>
      <c r="AY4" s="31" t="s">
        <v>190</v>
      </c>
      <c r="AZ4" s="31" t="s">
        <v>191</v>
      </c>
      <c r="BA4" s="31" t="s">
        <v>192</v>
      </c>
      <c r="BB4" s="31" t="s">
        <v>193</v>
      </c>
      <c r="BC4" s="31" t="s">
        <v>194</v>
      </c>
      <c r="BD4" s="31" t="s">
        <v>195</v>
      </c>
      <c r="BE4" s="31" t="s">
        <v>196</v>
      </c>
      <c r="BF4" s="31" t="s">
        <v>197</v>
      </c>
      <c r="BG4" s="31" t="s">
        <v>198</v>
      </c>
    </row>
    <row r="5" spans="1:61" s="36" customFormat="1" ht="56.25" customHeight="1">
      <c r="A5" s="90" t="s">
        <v>199</v>
      </c>
      <c r="B5" s="34" t="s">
        <v>34</v>
      </c>
      <c r="C5" s="34" t="s">
        <v>35</v>
      </c>
      <c r="D5" s="34" t="s">
        <v>86</v>
      </c>
      <c r="E5" s="34" t="s">
        <v>87</v>
      </c>
      <c r="F5" s="34" t="s">
        <v>244</v>
      </c>
      <c r="G5" s="34" t="s">
        <v>87</v>
      </c>
      <c r="H5" s="34" t="s">
        <v>244</v>
      </c>
      <c r="I5" s="34" t="s">
        <v>87</v>
      </c>
      <c r="J5" s="34" t="s">
        <v>244</v>
      </c>
      <c r="K5" s="34" t="s">
        <v>87</v>
      </c>
      <c r="L5" s="34" t="s">
        <v>244</v>
      </c>
      <c r="M5" s="34" t="s">
        <v>87</v>
      </c>
      <c r="N5" s="34" t="s">
        <v>244</v>
      </c>
      <c r="O5" s="34" t="s">
        <v>87</v>
      </c>
      <c r="P5" s="34" t="s">
        <v>244</v>
      </c>
      <c r="Q5" s="34" t="s">
        <v>87</v>
      </c>
      <c r="R5" s="34" t="s">
        <v>244</v>
      </c>
      <c r="S5" s="34" t="s">
        <v>87</v>
      </c>
      <c r="T5" s="34" t="s">
        <v>200</v>
      </c>
      <c r="U5" s="34" t="s">
        <v>201</v>
      </c>
      <c r="V5" s="34" t="s">
        <v>202</v>
      </c>
      <c r="W5" s="35" t="s">
        <v>203</v>
      </c>
      <c r="X5" s="35" t="s">
        <v>204</v>
      </c>
      <c r="Y5" s="35" t="s">
        <v>245</v>
      </c>
      <c r="Z5" s="35" t="s">
        <v>206</v>
      </c>
      <c r="AA5" s="35" t="s">
        <v>207</v>
      </c>
      <c r="AB5" s="35" t="s">
        <v>246</v>
      </c>
      <c r="AC5" s="35" t="s">
        <v>209</v>
      </c>
      <c r="AD5" s="35" t="s">
        <v>210</v>
      </c>
      <c r="AE5" s="35" t="s">
        <v>247</v>
      </c>
      <c r="AF5" s="35" t="s">
        <v>248</v>
      </c>
      <c r="AG5" s="35" t="s">
        <v>237</v>
      </c>
      <c r="AH5" s="35" t="s">
        <v>249</v>
      </c>
      <c r="AI5" s="35" t="s">
        <v>109</v>
      </c>
      <c r="AJ5" s="35" t="s">
        <v>212</v>
      </c>
      <c r="AK5" s="35" t="s">
        <v>111</v>
      </c>
      <c r="AL5" s="35" t="s">
        <v>31</v>
      </c>
      <c r="AM5" s="35" t="s">
        <v>213</v>
      </c>
      <c r="AN5" s="35" t="s">
        <v>214</v>
      </c>
      <c r="AO5" s="35" t="s">
        <v>215</v>
      </c>
      <c r="AP5" s="35" t="s">
        <v>216</v>
      </c>
      <c r="AQ5" s="35" t="s">
        <v>217</v>
      </c>
      <c r="AR5" s="35" t="s">
        <v>218</v>
      </c>
      <c r="AS5" s="35" t="s">
        <v>219</v>
      </c>
      <c r="AT5" s="35" t="s">
        <v>220</v>
      </c>
      <c r="AU5" s="35" t="s">
        <v>221</v>
      </c>
      <c r="AV5" s="35" t="s">
        <v>222</v>
      </c>
      <c r="AW5" s="35" t="s">
        <v>223</v>
      </c>
      <c r="AX5" s="35" t="s">
        <v>224</v>
      </c>
      <c r="AY5" s="35" t="s">
        <v>225</v>
      </c>
      <c r="AZ5" s="35" t="s">
        <v>226</v>
      </c>
      <c r="BA5" s="35" t="s">
        <v>227</v>
      </c>
      <c r="BB5" s="35" t="s">
        <v>228</v>
      </c>
      <c r="BC5" s="35" t="s">
        <v>229</v>
      </c>
      <c r="BD5" s="35" t="s">
        <v>230</v>
      </c>
      <c r="BE5" s="35" t="s">
        <v>231</v>
      </c>
      <c r="BF5" s="35" t="s">
        <v>232</v>
      </c>
      <c r="BG5" s="35" t="s">
        <v>233</v>
      </c>
    </row>
    <row r="6" spans="1:61" ht="14.45">
      <c r="A6" s="37">
        <v>2020</v>
      </c>
      <c r="B6" s="9" t="s">
        <v>39</v>
      </c>
      <c r="C6" s="9" t="s">
        <v>40</v>
      </c>
      <c r="D6" s="22">
        <v>6969.4880000000003</v>
      </c>
      <c r="E6" s="22">
        <v>19997.669999999998</v>
      </c>
      <c r="F6" s="22">
        <v>946.26829999999995</v>
      </c>
      <c r="G6" s="10">
        <v>2831.7579999999998</v>
      </c>
      <c r="H6" s="10">
        <v>946.26829999999995</v>
      </c>
      <c r="I6" s="10">
        <v>2831.7579999999998</v>
      </c>
      <c r="J6" s="10">
        <v>555.47460000000001</v>
      </c>
      <c r="K6" s="10">
        <v>551.26689999999996</v>
      </c>
      <c r="L6" s="10">
        <v>4915.28</v>
      </c>
      <c r="M6" s="10">
        <v>4637.1030000000001</v>
      </c>
      <c r="N6" s="22">
        <v>4934.0290000000005</v>
      </c>
      <c r="O6" s="22">
        <v>5987.8760000000002</v>
      </c>
      <c r="P6" s="22">
        <v>1527.559</v>
      </c>
      <c r="Q6" s="22">
        <v>4521.259</v>
      </c>
      <c r="R6" s="10">
        <v>86</v>
      </c>
      <c r="S6" s="10">
        <v>9910.43</v>
      </c>
      <c r="T6" s="10">
        <v>5.43</v>
      </c>
      <c r="U6" s="10">
        <v>18.73</v>
      </c>
      <c r="V6" s="10">
        <v>75.84</v>
      </c>
      <c r="W6" s="21">
        <v>350</v>
      </c>
      <c r="X6" s="21">
        <v>400</v>
      </c>
      <c r="Y6" s="21">
        <v>30</v>
      </c>
      <c r="Z6" s="21">
        <v>350</v>
      </c>
      <c r="AA6" s="21">
        <v>400</v>
      </c>
      <c r="AB6" s="21">
        <v>2.6</v>
      </c>
      <c r="AC6" s="21">
        <v>0.1</v>
      </c>
      <c r="AD6" s="21">
        <v>0.83</v>
      </c>
      <c r="AE6" s="9">
        <v>0.05</v>
      </c>
      <c r="AF6" s="9">
        <v>0.05</v>
      </c>
      <c r="AG6" s="21">
        <v>0.04</v>
      </c>
      <c r="AH6" s="21">
        <v>8.6777263953199991E-3</v>
      </c>
      <c r="AI6" s="21">
        <v>3.5000000000000003E-2</v>
      </c>
      <c r="AJ6" s="21">
        <v>0.21129999999999999</v>
      </c>
      <c r="AK6" s="21">
        <v>3.7999999999999999E-2</v>
      </c>
      <c r="AL6" s="96">
        <v>2.7871570000000001</v>
      </c>
      <c r="AM6" s="21">
        <v>0.56999999999999995</v>
      </c>
      <c r="AN6" s="21">
        <v>0.56999999999999995</v>
      </c>
      <c r="AO6" s="21">
        <v>0.56999999999999995</v>
      </c>
      <c r="AP6" s="21">
        <v>0.56999999999999995</v>
      </c>
      <c r="AQ6" s="21">
        <v>0.56999999999999995</v>
      </c>
      <c r="AR6" s="21">
        <v>0.56999999999999995</v>
      </c>
      <c r="AS6" s="21">
        <v>0</v>
      </c>
      <c r="AT6" s="21">
        <v>0.33719704952581664</v>
      </c>
      <c r="AU6" s="21">
        <v>350</v>
      </c>
      <c r="AV6" s="21">
        <v>0.38988408851422551</v>
      </c>
      <c r="AW6" s="21">
        <v>400</v>
      </c>
      <c r="AX6" s="21">
        <v>0.33719704952581664</v>
      </c>
      <c r="AY6" s="21">
        <v>190</v>
      </c>
      <c r="AZ6" s="21">
        <v>0.38988408851422551</v>
      </c>
      <c r="BA6" s="21">
        <v>215</v>
      </c>
      <c r="BB6" s="21">
        <v>0.33719704952581664</v>
      </c>
      <c r="BC6" s="21">
        <v>190</v>
      </c>
      <c r="BD6" s="21">
        <v>0.38988408851422551</v>
      </c>
      <c r="BE6" s="21">
        <v>215</v>
      </c>
      <c r="BF6" s="21">
        <v>0.95</v>
      </c>
      <c r="BG6" s="21">
        <v>0.61765999999999999</v>
      </c>
      <c r="BI6">
        <f>AL6*S6*300</f>
        <v>8286577.3042530008</v>
      </c>
    </row>
    <row r="7" spans="1:61" ht="14.45">
      <c r="A7" s="37">
        <v>2020</v>
      </c>
      <c r="B7" s="9" t="s">
        <v>41</v>
      </c>
      <c r="C7" s="9" t="s">
        <v>42</v>
      </c>
      <c r="D7" s="22">
        <v>12893.69</v>
      </c>
      <c r="E7" s="22">
        <v>29756.58</v>
      </c>
      <c r="F7" s="22">
        <v>1017.753</v>
      </c>
      <c r="G7" s="10">
        <v>1243.732</v>
      </c>
      <c r="H7" s="10">
        <v>1017.753</v>
      </c>
      <c r="I7" s="10">
        <v>1243.732</v>
      </c>
      <c r="J7" s="10">
        <v>485.69959999999998</v>
      </c>
      <c r="K7" s="10">
        <v>0</v>
      </c>
      <c r="L7" s="10">
        <v>5380.09</v>
      </c>
      <c r="M7" s="10">
        <v>3921.7539999999999</v>
      </c>
      <c r="N7" s="22">
        <v>9211.7559999999994</v>
      </c>
      <c r="O7" s="22">
        <v>5726.74</v>
      </c>
      <c r="P7" s="22">
        <v>3204.4180000000001</v>
      </c>
      <c r="Q7" s="22">
        <v>4923.3360000000002</v>
      </c>
      <c r="R7" s="10">
        <v>477.51909999999998</v>
      </c>
      <c r="S7" s="10">
        <v>19106.5</v>
      </c>
      <c r="T7" s="10">
        <v>0</v>
      </c>
      <c r="U7" s="10">
        <v>0</v>
      </c>
      <c r="V7" s="10">
        <v>100</v>
      </c>
      <c r="W7" s="21">
        <v>350</v>
      </c>
      <c r="X7" s="21">
        <v>400</v>
      </c>
      <c r="Y7" s="21">
        <v>30</v>
      </c>
      <c r="Z7" s="21">
        <v>350</v>
      </c>
      <c r="AA7" s="21">
        <v>400</v>
      </c>
      <c r="AB7" s="21">
        <v>2.6</v>
      </c>
      <c r="AC7" s="21">
        <v>0.1</v>
      </c>
      <c r="AD7" s="21">
        <v>0.83</v>
      </c>
      <c r="AE7" s="9">
        <v>0.05</v>
      </c>
      <c r="AF7" s="9">
        <v>0.05</v>
      </c>
      <c r="AG7" s="21">
        <v>0.02</v>
      </c>
      <c r="AH7" s="21">
        <v>2.4992494700799998E-2</v>
      </c>
      <c r="AI7" s="21">
        <v>3.5000000000000003E-2</v>
      </c>
      <c r="AJ7" s="21">
        <v>0.21129999999999999</v>
      </c>
      <c r="AK7" s="21">
        <v>3.7999999999999999E-2</v>
      </c>
      <c r="AL7" s="96">
        <v>3.1468940000000001</v>
      </c>
      <c r="AM7" s="21">
        <v>0.56999999999999995</v>
      </c>
      <c r="AN7" s="21">
        <v>0.56999999999999995</v>
      </c>
      <c r="AO7" s="21">
        <v>0.56999999999999995</v>
      </c>
      <c r="AP7" s="21">
        <v>0.56999999999999995</v>
      </c>
      <c r="AQ7" s="21">
        <v>0.56999999999999995</v>
      </c>
      <c r="AR7" s="21">
        <v>0.56999999999999995</v>
      </c>
      <c r="AS7" s="21">
        <v>0</v>
      </c>
      <c r="AT7" s="21">
        <v>0.33719704952581664</v>
      </c>
      <c r="AU7" s="21">
        <v>350</v>
      </c>
      <c r="AV7" s="21">
        <v>0.38988408851422551</v>
      </c>
      <c r="AW7" s="21">
        <v>400</v>
      </c>
      <c r="AX7" s="21">
        <v>0.33719704952581664</v>
      </c>
      <c r="AY7" s="21">
        <v>190</v>
      </c>
      <c r="AZ7" s="21">
        <v>0.38988408851422551</v>
      </c>
      <c r="BA7" s="21">
        <v>215</v>
      </c>
      <c r="BB7" s="21">
        <v>0.33719704952581664</v>
      </c>
      <c r="BC7" s="21">
        <v>190</v>
      </c>
      <c r="BD7" s="21">
        <v>0.38988408851422551</v>
      </c>
      <c r="BE7" s="21">
        <v>215</v>
      </c>
      <c r="BF7" s="21">
        <v>0.95</v>
      </c>
      <c r="BG7" s="21">
        <v>0.68947000000000003</v>
      </c>
      <c r="BI7">
        <f t="shared" ref="BI7:BI35" si="0">AL7*S7*300</f>
        <v>18037839.063300002</v>
      </c>
    </row>
    <row r="8" spans="1:61" ht="14.45">
      <c r="A8" s="37">
        <v>2020</v>
      </c>
      <c r="B8" s="9" t="s">
        <v>41</v>
      </c>
      <c r="C8" s="9" t="s">
        <v>43</v>
      </c>
      <c r="D8" s="22">
        <v>20243.2</v>
      </c>
      <c r="E8" s="22">
        <v>44409.32</v>
      </c>
      <c r="F8" s="22">
        <v>4802.5420000000004</v>
      </c>
      <c r="G8" s="10">
        <v>1323.54</v>
      </c>
      <c r="H8" s="10">
        <v>4802.5420000000004</v>
      </c>
      <c r="I8" s="10">
        <v>1323.54</v>
      </c>
      <c r="J8" s="10">
        <v>1267.779</v>
      </c>
      <c r="K8" s="10">
        <v>975.30269999999996</v>
      </c>
      <c r="L8" s="10">
        <v>6691.3050000000003</v>
      </c>
      <c r="M8" s="10">
        <v>6783.6229999999996</v>
      </c>
      <c r="N8" s="22">
        <v>14104.64</v>
      </c>
      <c r="O8" s="22">
        <v>15247.99</v>
      </c>
      <c r="P8" s="22">
        <v>5391.2039999999997</v>
      </c>
      <c r="Q8" s="22">
        <v>11014.9</v>
      </c>
      <c r="R8" s="10">
        <v>747.34839999999997</v>
      </c>
      <c r="S8" s="10">
        <v>18146.43</v>
      </c>
      <c r="T8" s="10">
        <v>0</v>
      </c>
      <c r="U8" s="10">
        <v>0</v>
      </c>
      <c r="V8" s="10">
        <v>100</v>
      </c>
      <c r="W8" s="21">
        <v>350</v>
      </c>
      <c r="X8" s="21">
        <v>400</v>
      </c>
      <c r="Y8" s="21">
        <v>30</v>
      </c>
      <c r="Z8" s="21">
        <v>350</v>
      </c>
      <c r="AA8" s="21">
        <v>400</v>
      </c>
      <c r="AB8" s="21">
        <v>2.6</v>
      </c>
      <c r="AC8" s="21">
        <v>0.1</v>
      </c>
      <c r="AD8" s="21">
        <v>0.83</v>
      </c>
      <c r="AE8" s="9">
        <v>0.05</v>
      </c>
      <c r="AF8" s="9">
        <v>0.05</v>
      </c>
      <c r="AG8" s="21">
        <v>0.03</v>
      </c>
      <c r="AH8" s="21">
        <v>4.11843211034E-2</v>
      </c>
      <c r="AI8" s="21">
        <v>3.5000000000000003E-2</v>
      </c>
      <c r="AJ8" s="21">
        <v>0.21129999999999999</v>
      </c>
      <c r="AK8" s="21">
        <v>3.7999999999999999E-2</v>
      </c>
      <c r="AL8" s="96">
        <v>2.3357830000000002</v>
      </c>
      <c r="AM8" s="21">
        <v>0.56999999999999995</v>
      </c>
      <c r="AN8" s="21">
        <v>0.56999999999999995</v>
      </c>
      <c r="AO8" s="21">
        <v>0.56999999999999995</v>
      </c>
      <c r="AP8" s="21">
        <v>0.56999999999999995</v>
      </c>
      <c r="AQ8" s="21">
        <v>0.56999999999999995</v>
      </c>
      <c r="AR8" s="21">
        <v>0.56999999999999995</v>
      </c>
      <c r="AS8" s="21">
        <v>0</v>
      </c>
      <c r="AT8" s="21">
        <v>0.33719704952581664</v>
      </c>
      <c r="AU8" s="21">
        <v>350</v>
      </c>
      <c r="AV8" s="21">
        <v>0.38988408851422551</v>
      </c>
      <c r="AW8" s="21">
        <v>400</v>
      </c>
      <c r="AX8" s="21">
        <v>0.33719704952581664</v>
      </c>
      <c r="AY8" s="21">
        <v>190</v>
      </c>
      <c r="AZ8" s="21">
        <v>0.38988408851422551</v>
      </c>
      <c r="BA8" s="21">
        <v>215</v>
      </c>
      <c r="BB8" s="21">
        <v>0.33719704952581664</v>
      </c>
      <c r="BC8" s="21">
        <v>190</v>
      </c>
      <c r="BD8" s="21">
        <v>0.38988408851422551</v>
      </c>
      <c r="BE8" s="21">
        <v>215</v>
      </c>
      <c r="BF8" s="21">
        <v>0.95</v>
      </c>
      <c r="BG8" s="21">
        <v>0.51405999999999996</v>
      </c>
      <c r="BI8">
        <f t="shared" si="0"/>
        <v>12715836.811407</v>
      </c>
    </row>
    <row r="9" spans="1:61" ht="14.45">
      <c r="A9" s="37">
        <v>2020</v>
      </c>
      <c r="B9" s="9" t="s">
        <v>44</v>
      </c>
      <c r="C9" s="9" t="s">
        <v>45</v>
      </c>
      <c r="D9" s="22">
        <v>2817.7559999999999</v>
      </c>
      <c r="E9" s="22">
        <v>12610.99</v>
      </c>
      <c r="F9" s="22">
        <v>811.9348</v>
      </c>
      <c r="G9" s="10">
        <v>632.70510000000002</v>
      </c>
      <c r="H9" s="10">
        <v>811.9348</v>
      </c>
      <c r="I9" s="10">
        <v>632.70510000000002</v>
      </c>
      <c r="J9" s="10">
        <v>134.86009999999999</v>
      </c>
      <c r="K9" s="10">
        <v>506.90800000000002</v>
      </c>
      <c r="L9" s="10">
        <v>2423.7449999999999</v>
      </c>
      <c r="M9" s="10">
        <v>1901.297</v>
      </c>
      <c r="N9" s="22">
        <v>2512.3719999999998</v>
      </c>
      <c r="O9" s="22">
        <v>1844.1179999999999</v>
      </c>
      <c r="P9" s="22">
        <v>305.38400000000001</v>
      </c>
      <c r="Q9" s="22">
        <v>4073.6460000000002</v>
      </c>
      <c r="R9" s="10">
        <v>0</v>
      </c>
      <c r="S9" s="10">
        <v>6693.23</v>
      </c>
      <c r="T9" s="10">
        <v>0.14000000000000001</v>
      </c>
      <c r="U9" s="10">
        <v>0</v>
      </c>
      <c r="V9" s="10">
        <v>99.86</v>
      </c>
      <c r="W9" s="21">
        <v>350</v>
      </c>
      <c r="X9" s="21">
        <v>400</v>
      </c>
      <c r="Y9" s="21">
        <v>30</v>
      </c>
      <c r="Z9" s="21">
        <v>350</v>
      </c>
      <c r="AA9" s="21">
        <v>400</v>
      </c>
      <c r="AB9" s="21">
        <v>2.6</v>
      </c>
      <c r="AC9" s="21">
        <v>0.1</v>
      </c>
      <c r="AD9" s="21">
        <v>0.83</v>
      </c>
      <c r="AE9" s="9">
        <v>0.05</v>
      </c>
      <c r="AF9" s="9">
        <v>0.05</v>
      </c>
      <c r="AG9" s="21">
        <v>0.03</v>
      </c>
      <c r="AH9" s="21">
        <v>0</v>
      </c>
      <c r="AI9" s="21">
        <v>3.5000000000000003E-2</v>
      </c>
      <c r="AJ9" s="21">
        <v>0.21129999999999999</v>
      </c>
      <c r="AK9" s="21">
        <v>3.7999999999999999E-2</v>
      </c>
      <c r="AL9" s="96">
        <v>4.8011489999999997</v>
      </c>
      <c r="AM9" s="21">
        <v>0.56999999999999995</v>
      </c>
      <c r="AN9" s="21">
        <v>0.56999999999999995</v>
      </c>
      <c r="AO9" s="21">
        <v>0.56999999999999995</v>
      </c>
      <c r="AP9" s="21">
        <v>0.56999999999999995</v>
      </c>
      <c r="AQ9" s="21">
        <v>0.56999999999999995</v>
      </c>
      <c r="AR9" s="21">
        <v>0.56999999999999995</v>
      </c>
      <c r="AS9" s="21">
        <v>0</v>
      </c>
      <c r="AT9" s="21">
        <v>0.33719704952581703</v>
      </c>
      <c r="AU9" s="21">
        <v>350</v>
      </c>
      <c r="AV9" s="21">
        <v>0.38988408851422601</v>
      </c>
      <c r="AW9" s="21">
        <v>400</v>
      </c>
      <c r="AX9" s="21">
        <v>0.33719704952581664</v>
      </c>
      <c r="AY9" s="21">
        <v>190</v>
      </c>
      <c r="AZ9" s="21">
        <v>0.38988408851422551</v>
      </c>
      <c r="BA9" s="21">
        <v>215</v>
      </c>
      <c r="BB9" s="21">
        <v>0.33719704952581664</v>
      </c>
      <c r="BC9" s="21">
        <v>190</v>
      </c>
      <c r="BD9" s="21">
        <v>0.38988408851422551</v>
      </c>
      <c r="BE9" s="21">
        <v>215</v>
      </c>
      <c r="BF9" s="21">
        <v>0.95</v>
      </c>
      <c r="BG9" s="21">
        <v>0.60450000000000004</v>
      </c>
      <c r="BI9">
        <f t="shared" si="0"/>
        <v>9640558.3563809991</v>
      </c>
    </row>
    <row r="10" spans="1:61" ht="14.45">
      <c r="A10" s="37">
        <v>2020</v>
      </c>
      <c r="B10" s="9" t="s">
        <v>39</v>
      </c>
      <c r="C10" s="9" t="s">
        <v>46</v>
      </c>
      <c r="D10" s="22">
        <v>7609.9520000000002</v>
      </c>
      <c r="E10" s="22">
        <v>25909.79</v>
      </c>
      <c r="F10" s="22">
        <v>338</v>
      </c>
      <c r="G10" s="10">
        <v>1323.259</v>
      </c>
      <c r="H10" s="10">
        <v>338</v>
      </c>
      <c r="I10" s="10">
        <v>1323.259</v>
      </c>
      <c r="J10" s="10">
        <v>1401.8219999999999</v>
      </c>
      <c r="K10" s="10">
        <v>552.2654</v>
      </c>
      <c r="L10" s="10">
        <v>6190.7290000000003</v>
      </c>
      <c r="M10" s="10">
        <v>4299.982</v>
      </c>
      <c r="N10" s="22">
        <v>4999.8770000000004</v>
      </c>
      <c r="O10" s="22">
        <v>5478.1490000000003</v>
      </c>
      <c r="P10" s="22">
        <v>2140.261</v>
      </c>
      <c r="Q10" s="22">
        <v>4367.8320000000003</v>
      </c>
      <c r="R10" s="10">
        <v>469.8141</v>
      </c>
      <c r="S10" s="10">
        <v>16063.81</v>
      </c>
      <c r="T10" s="10">
        <v>2.75</v>
      </c>
      <c r="U10" s="10">
        <v>5.26</v>
      </c>
      <c r="V10" s="10">
        <v>91.99</v>
      </c>
      <c r="W10" s="21">
        <v>350</v>
      </c>
      <c r="X10" s="21">
        <v>400</v>
      </c>
      <c r="Y10" s="21">
        <v>30</v>
      </c>
      <c r="Z10" s="21">
        <v>350</v>
      </c>
      <c r="AA10" s="21">
        <v>400</v>
      </c>
      <c r="AB10" s="21">
        <v>2.6</v>
      </c>
      <c r="AC10" s="21">
        <v>0.1</v>
      </c>
      <c r="AD10" s="21">
        <v>0.83</v>
      </c>
      <c r="AE10" s="9">
        <v>0.05</v>
      </c>
      <c r="AF10" s="9">
        <v>0.05</v>
      </c>
      <c r="AG10" s="21">
        <v>0.08</v>
      </c>
      <c r="AH10" s="21">
        <v>2.9246741588700002E-2</v>
      </c>
      <c r="AI10" s="21">
        <v>3.5000000000000003E-2</v>
      </c>
      <c r="AJ10" s="21">
        <v>0.21129999999999999</v>
      </c>
      <c r="AK10" s="21">
        <v>3.7999999999999999E-2</v>
      </c>
      <c r="AL10" s="96">
        <v>3.8822139999999998</v>
      </c>
      <c r="AM10" s="21">
        <v>0.56999999999999995</v>
      </c>
      <c r="AN10" s="21">
        <v>0.56999999999999995</v>
      </c>
      <c r="AO10" s="21">
        <v>0.56999999999999995</v>
      </c>
      <c r="AP10" s="21">
        <v>0.56999999999999995</v>
      </c>
      <c r="AQ10" s="21">
        <v>0.56999999999999995</v>
      </c>
      <c r="AR10" s="21">
        <v>0.56999999999999995</v>
      </c>
      <c r="AS10" s="21">
        <v>0</v>
      </c>
      <c r="AT10" s="21">
        <v>0.33719704952581664</v>
      </c>
      <c r="AU10" s="21">
        <v>350</v>
      </c>
      <c r="AV10" s="21">
        <v>0.38988408851422551</v>
      </c>
      <c r="AW10" s="21">
        <v>400</v>
      </c>
      <c r="AX10" s="21">
        <v>0.33719704952581664</v>
      </c>
      <c r="AY10" s="21">
        <v>190</v>
      </c>
      <c r="AZ10" s="21">
        <v>0.38988408851422551</v>
      </c>
      <c r="BA10" s="21">
        <v>215</v>
      </c>
      <c r="BB10" s="21">
        <v>0.33719704952581664</v>
      </c>
      <c r="BC10" s="21">
        <v>190</v>
      </c>
      <c r="BD10" s="21">
        <v>0.38988408851422551</v>
      </c>
      <c r="BE10" s="21">
        <v>215</v>
      </c>
      <c r="BF10" s="21">
        <v>0.95</v>
      </c>
      <c r="BG10" s="21">
        <v>0.69716</v>
      </c>
      <c r="BI10">
        <f t="shared" si="0"/>
        <v>18708944.422601998</v>
      </c>
    </row>
    <row r="11" spans="1:61" ht="14.45">
      <c r="A11" s="37">
        <v>2020</v>
      </c>
      <c r="B11" s="9" t="s">
        <v>41</v>
      </c>
      <c r="C11" s="9" t="s">
        <v>47</v>
      </c>
      <c r="D11" s="22">
        <v>21082.06</v>
      </c>
      <c r="E11" s="22">
        <v>51690.47</v>
      </c>
      <c r="F11" s="22">
        <v>3597.19</v>
      </c>
      <c r="G11" s="10">
        <v>1788.8620000000001</v>
      </c>
      <c r="H11" s="10">
        <v>3597.19</v>
      </c>
      <c r="I11" s="10">
        <v>1788.8620000000001</v>
      </c>
      <c r="J11" s="10">
        <v>973.43820000000005</v>
      </c>
      <c r="K11" s="10">
        <v>1403.7550000000001</v>
      </c>
      <c r="L11" s="10">
        <v>14046.27</v>
      </c>
      <c r="M11" s="10">
        <v>8289.2440000000006</v>
      </c>
      <c r="N11" s="22">
        <v>16429.22</v>
      </c>
      <c r="O11" s="22">
        <v>9930.1319999999996</v>
      </c>
      <c r="P11" s="22">
        <v>3764.9540000000002</v>
      </c>
      <c r="Q11" s="22">
        <v>11297.31</v>
      </c>
      <c r="R11" s="10">
        <v>887.88670000000002</v>
      </c>
      <c r="S11" s="10">
        <v>30463.03</v>
      </c>
      <c r="T11" s="10">
        <v>0.01</v>
      </c>
      <c r="U11" s="10">
        <v>0</v>
      </c>
      <c r="V11" s="10">
        <v>99.99</v>
      </c>
      <c r="W11" s="21">
        <v>350</v>
      </c>
      <c r="X11" s="21">
        <v>400</v>
      </c>
      <c r="Y11" s="21">
        <v>30</v>
      </c>
      <c r="Z11" s="21">
        <v>350</v>
      </c>
      <c r="AA11" s="21">
        <v>400</v>
      </c>
      <c r="AB11" s="21">
        <v>2.6</v>
      </c>
      <c r="AC11" s="21">
        <v>0.1</v>
      </c>
      <c r="AD11" s="21">
        <v>0.83</v>
      </c>
      <c r="AE11" s="9">
        <v>0.05</v>
      </c>
      <c r="AF11" s="9">
        <v>0.05</v>
      </c>
      <c r="AG11" s="21">
        <v>0.03</v>
      </c>
      <c r="AH11" s="21">
        <v>2.91463685654E-2</v>
      </c>
      <c r="AI11" s="21">
        <v>3.5000000000000003E-2</v>
      </c>
      <c r="AJ11" s="21">
        <v>0.21129999999999999</v>
      </c>
      <c r="AK11" s="21">
        <v>3.7999999999999999E-2</v>
      </c>
      <c r="AL11" s="96">
        <v>3.9400590000000002</v>
      </c>
      <c r="AM11" s="21">
        <v>0.56999999999999995</v>
      </c>
      <c r="AN11" s="21">
        <v>0.56999999999999995</v>
      </c>
      <c r="AO11" s="21">
        <v>0.56999999999999995</v>
      </c>
      <c r="AP11" s="21">
        <v>0.56999999999999995</v>
      </c>
      <c r="AQ11" s="21">
        <v>0.56999999999999995</v>
      </c>
      <c r="AR11" s="21">
        <v>0.56999999999999995</v>
      </c>
      <c r="AS11" s="21">
        <v>0</v>
      </c>
      <c r="AT11" s="21">
        <v>0.33719704952581664</v>
      </c>
      <c r="AU11" s="21">
        <v>350</v>
      </c>
      <c r="AV11" s="21">
        <v>0.38988408851422551</v>
      </c>
      <c r="AW11" s="21">
        <v>400</v>
      </c>
      <c r="AX11" s="21">
        <v>0.33719704952581664</v>
      </c>
      <c r="AY11" s="21">
        <v>190</v>
      </c>
      <c r="AZ11" s="21">
        <v>0.38988408851422551</v>
      </c>
      <c r="BA11" s="21">
        <v>215</v>
      </c>
      <c r="BB11" s="21">
        <v>0.33719704952581664</v>
      </c>
      <c r="BC11" s="21">
        <v>190</v>
      </c>
      <c r="BD11" s="21">
        <v>0.38988408851422551</v>
      </c>
      <c r="BE11" s="21">
        <v>215</v>
      </c>
      <c r="BF11" s="21">
        <v>0.95</v>
      </c>
      <c r="BG11" s="21">
        <v>0.65634000000000003</v>
      </c>
      <c r="BI11">
        <f t="shared" si="0"/>
        <v>36007840.655630998</v>
      </c>
    </row>
    <row r="12" spans="1:61" ht="14.45">
      <c r="A12" s="37">
        <v>2020</v>
      </c>
      <c r="B12" s="9" t="s">
        <v>48</v>
      </c>
      <c r="C12" s="9" t="s">
        <v>49</v>
      </c>
      <c r="D12" s="22">
        <v>5373.63</v>
      </c>
      <c r="E12" s="22">
        <v>25006.89</v>
      </c>
      <c r="F12" s="22">
        <v>248.95490000000001</v>
      </c>
      <c r="G12" s="10">
        <v>1822.5930000000001</v>
      </c>
      <c r="H12" s="10">
        <v>248.95490000000001</v>
      </c>
      <c r="I12" s="10">
        <v>1822.5930000000001</v>
      </c>
      <c r="J12" s="10">
        <v>303.18189999999998</v>
      </c>
      <c r="K12" s="10">
        <v>794.30600000000004</v>
      </c>
      <c r="L12" s="10">
        <v>4476.2269999999999</v>
      </c>
      <c r="M12" s="10">
        <v>4412.3140000000003</v>
      </c>
      <c r="N12" s="22">
        <v>4321.6940000000004</v>
      </c>
      <c r="O12" s="22">
        <v>7023.9570000000003</v>
      </c>
      <c r="P12" s="22">
        <v>742.75350000000003</v>
      </c>
      <c r="Q12" s="22">
        <v>6293.0450000000001</v>
      </c>
      <c r="R12" s="10">
        <v>309.18189999999998</v>
      </c>
      <c r="S12" s="10">
        <v>11689.89</v>
      </c>
      <c r="T12" s="10">
        <v>2.5499999999999998</v>
      </c>
      <c r="U12" s="10">
        <v>3.57</v>
      </c>
      <c r="V12" s="10">
        <v>93.87</v>
      </c>
      <c r="W12" s="21">
        <v>350</v>
      </c>
      <c r="X12" s="21">
        <v>400</v>
      </c>
      <c r="Y12" s="21">
        <v>30</v>
      </c>
      <c r="Z12" s="21">
        <v>350</v>
      </c>
      <c r="AA12" s="21">
        <v>400</v>
      </c>
      <c r="AB12" s="21">
        <v>2.6</v>
      </c>
      <c r="AC12" s="21">
        <v>0.1</v>
      </c>
      <c r="AD12" s="21">
        <v>0.83</v>
      </c>
      <c r="AE12" s="9">
        <v>0.05</v>
      </c>
      <c r="AF12" s="9">
        <v>0.05</v>
      </c>
      <c r="AG12" s="21">
        <v>0.04</v>
      </c>
      <c r="AH12" s="21">
        <v>2.6448657771799999E-2</v>
      </c>
      <c r="AI12" s="21">
        <v>3.5000000000000003E-2</v>
      </c>
      <c r="AJ12" s="21">
        <v>0.21129999999999999</v>
      </c>
      <c r="AK12" s="21">
        <v>3.7999999999999999E-2</v>
      </c>
      <c r="AL12" s="96">
        <v>3.2846880000000001</v>
      </c>
      <c r="AM12" s="21">
        <v>0.56999999999999995</v>
      </c>
      <c r="AN12" s="21">
        <v>0.56999999999999995</v>
      </c>
      <c r="AO12" s="21">
        <v>0.56999999999999995</v>
      </c>
      <c r="AP12" s="21">
        <v>0.56999999999999995</v>
      </c>
      <c r="AQ12" s="21">
        <v>0.56999999999999995</v>
      </c>
      <c r="AR12" s="21">
        <v>0.56999999999999995</v>
      </c>
      <c r="AS12" s="21">
        <v>0</v>
      </c>
      <c r="AT12" s="21">
        <v>0.33719704952581664</v>
      </c>
      <c r="AU12" s="21">
        <v>350</v>
      </c>
      <c r="AV12" s="21">
        <v>0.38988408851422551</v>
      </c>
      <c r="AW12" s="21">
        <v>400</v>
      </c>
      <c r="AX12" s="21">
        <v>0.33719704952581664</v>
      </c>
      <c r="AY12" s="21">
        <v>190</v>
      </c>
      <c r="AZ12" s="21">
        <v>0.38988408851422551</v>
      </c>
      <c r="BA12" s="21">
        <v>215</v>
      </c>
      <c r="BB12" s="21">
        <v>0.33719704952581664</v>
      </c>
      <c r="BC12" s="21">
        <v>190</v>
      </c>
      <c r="BD12" s="21">
        <v>0.38988408851422551</v>
      </c>
      <c r="BE12" s="21">
        <v>215</v>
      </c>
      <c r="BF12" s="21">
        <v>0.95</v>
      </c>
      <c r="BG12" s="21">
        <v>0.61412999999999995</v>
      </c>
      <c r="BI12">
        <f t="shared" si="0"/>
        <v>11519292.421295999</v>
      </c>
    </row>
    <row r="13" spans="1:61" ht="14.45">
      <c r="A13" s="37">
        <v>2020</v>
      </c>
      <c r="B13" s="9" t="s">
        <v>48</v>
      </c>
      <c r="C13" s="9" t="s">
        <v>50</v>
      </c>
      <c r="D13" s="22">
        <v>4605.8370000000004</v>
      </c>
      <c r="E13" s="22">
        <v>22194.57</v>
      </c>
      <c r="F13" s="22">
        <v>836.18809999999996</v>
      </c>
      <c r="G13" s="10">
        <v>3367.7089999999998</v>
      </c>
      <c r="H13" s="10">
        <v>836.18809999999996</v>
      </c>
      <c r="I13" s="10">
        <v>3367.7089999999998</v>
      </c>
      <c r="J13" s="10">
        <v>16</v>
      </c>
      <c r="K13" s="10">
        <v>13</v>
      </c>
      <c r="L13" s="10">
        <v>3560.6880000000001</v>
      </c>
      <c r="M13" s="10">
        <v>4602.7219999999998</v>
      </c>
      <c r="N13" s="22">
        <v>4031.674</v>
      </c>
      <c r="O13" s="22">
        <v>6275.2309999999998</v>
      </c>
      <c r="P13" s="22">
        <v>570.16319999999996</v>
      </c>
      <c r="Q13" s="22">
        <v>3078.4879999999998</v>
      </c>
      <c r="R13" s="10">
        <v>4</v>
      </c>
      <c r="S13" s="10">
        <v>12840.85</v>
      </c>
      <c r="T13" s="10">
        <v>3.08</v>
      </c>
      <c r="U13" s="10">
        <v>9.2899999999999991</v>
      </c>
      <c r="V13" s="10">
        <v>87.63</v>
      </c>
      <c r="W13" s="21">
        <v>350</v>
      </c>
      <c r="X13" s="21">
        <v>400</v>
      </c>
      <c r="Y13" s="21">
        <v>30</v>
      </c>
      <c r="Z13" s="21">
        <v>350</v>
      </c>
      <c r="AA13" s="21">
        <v>400</v>
      </c>
      <c r="AB13" s="21">
        <v>2.6</v>
      </c>
      <c r="AC13" s="21">
        <v>0.1</v>
      </c>
      <c r="AD13" s="21">
        <v>0.83</v>
      </c>
      <c r="AE13" s="9">
        <v>0.05</v>
      </c>
      <c r="AF13" s="9">
        <v>0.05</v>
      </c>
      <c r="AG13" s="21">
        <v>0</v>
      </c>
      <c r="AH13" s="21">
        <v>3.1150585825699998E-4</v>
      </c>
      <c r="AI13" s="21">
        <v>3.5000000000000003E-2</v>
      </c>
      <c r="AJ13" s="21">
        <v>0.21129999999999999</v>
      </c>
      <c r="AK13" s="21">
        <v>3.7999999999999999E-2</v>
      </c>
      <c r="AL13" s="96">
        <v>4.178121</v>
      </c>
      <c r="AM13" s="21">
        <v>0.56999999999999995</v>
      </c>
      <c r="AN13" s="21">
        <v>0.56999999999999995</v>
      </c>
      <c r="AO13" s="21">
        <v>0.56999999999999995</v>
      </c>
      <c r="AP13" s="21">
        <v>0.56999999999999995</v>
      </c>
      <c r="AQ13" s="21">
        <v>0.56999999999999995</v>
      </c>
      <c r="AR13" s="21">
        <v>0.56999999999999995</v>
      </c>
      <c r="AS13" s="21">
        <v>0</v>
      </c>
      <c r="AT13" s="21">
        <v>0.33719704952581664</v>
      </c>
      <c r="AU13" s="21">
        <v>350</v>
      </c>
      <c r="AV13" s="21">
        <v>0.38988408851422551</v>
      </c>
      <c r="AW13" s="21">
        <v>400</v>
      </c>
      <c r="AX13" s="21">
        <v>0.33719704952581664</v>
      </c>
      <c r="AY13" s="21">
        <v>190</v>
      </c>
      <c r="AZ13" s="21">
        <v>0.38988408851422551</v>
      </c>
      <c r="BA13" s="21">
        <v>215</v>
      </c>
      <c r="BB13" s="21">
        <v>0.33719704952581664</v>
      </c>
      <c r="BC13" s="21">
        <v>190</v>
      </c>
      <c r="BD13" s="21">
        <v>0.38988408851422551</v>
      </c>
      <c r="BE13" s="21">
        <v>215</v>
      </c>
      <c r="BF13" s="21">
        <v>0.95</v>
      </c>
      <c r="BG13" s="21">
        <v>0.77854000000000001</v>
      </c>
      <c r="BI13">
        <f t="shared" si="0"/>
        <v>16095187.512854999</v>
      </c>
    </row>
    <row r="14" spans="1:61" ht="14.45">
      <c r="A14" s="37">
        <v>2020</v>
      </c>
      <c r="B14" s="9" t="s">
        <v>48</v>
      </c>
      <c r="C14" s="9" t="s">
        <v>51</v>
      </c>
      <c r="D14" s="22">
        <v>9872.1170000000002</v>
      </c>
      <c r="E14" s="22">
        <v>27610.73</v>
      </c>
      <c r="F14" s="22">
        <v>1353.867</v>
      </c>
      <c r="G14" s="10">
        <v>2386.152</v>
      </c>
      <c r="H14" s="10">
        <v>1353.867</v>
      </c>
      <c r="I14" s="10">
        <v>2386.152</v>
      </c>
      <c r="J14" s="10">
        <v>0</v>
      </c>
      <c r="K14" s="10">
        <v>1181.0989999999999</v>
      </c>
      <c r="L14" s="10">
        <v>7383.6840000000002</v>
      </c>
      <c r="M14" s="10">
        <v>6277.7820000000002</v>
      </c>
      <c r="N14" s="22">
        <v>8916.8629999999994</v>
      </c>
      <c r="O14" s="22">
        <v>6543.2879999999996</v>
      </c>
      <c r="P14" s="22">
        <v>708.024</v>
      </c>
      <c r="Q14" s="22">
        <v>8907.8770000000004</v>
      </c>
      <c r="R14" s="10">
        <v>247.22989999999999</v>
      </c>
      <c r="S14" s="10">
        <v>12159.57</v>
      </c>
      <c r="T14" s="10">
        <v>0.8</v>
      </c>
      <c r="U14" s="10">
        <v>1.77</v>
      </c>
      <c r="V14" s="10">
        <v>97.43</v>
      </c>
      <c r="W14" s="21">
        <v>350</v>
      </c>
      <c r="X14" s="21">
        <v>400</v>
      </c>
      <c r="Y14" s="21">
        <v>30</v>
      </c>
      <c r="Z14" s="21">
        <v>350</v>
      </c>
      <c r="AA14" s="21">
        <v>400</v>
      </c>
      <c r="AB14" s="21">
        <v>2.6</v>
      </c>
      <c r="AC14" s="21">
        <v>0.1</v>
      </c>
      <c r="AD14" s="21">
        <v>0.83</v>
      </c>
      <c r="AE14" s="9">
        <v>0.05</v>
      </c>
      <c r="AF14" s="9">
        <v>0.05</v>
      </c>
      <c r="AG14" s="21">
        <v>0.02</v>
      </c>
      <c r="AH14" s="21">
        <v>2.0332125231399999E-2</v>
      </c>
      <c r="AI14" s="21">
        <v>3.5000000000000003E-2</v>
      </c>
      <c r="AJ14" s="21">
        <v>0.21129999999999999</v>
      </c>
      <c r="AK14" s="21">
        <v>3.7999999999999999E-2</v>
      </c>
      <c r="AL14" s="96">
        <v>2.9331749999999999</v>
      </c>
      <c r="AM14" s="21">
        <v>0.56999999999999995</v>
      </c>
      <c r="AN14" s="21">
        <v>0.56999999999999995</v>
      </c>
      <c r="AO14" s="21">
        <v>0.56999999999999995</v>
      </c>
      <c r="AP14" s="21">
        <v>0.56999999999999995</v>
      </c>
      <c r="AQ14" s="21">
        <v>0.56999999999999995</v>
      </c>
      <c r="AR14" s="21">
        <v>0.56999999999999995</v>
      </c>
      <c r="AS14" s="21">
        <v>0</v>
      </c>
      <c r="AT14" s="21">
        <v>0.33719704952581664</v>
      </c>
      <c r="AU14" s="21">
        <v>350</v>
      </c>
      <c r="AV14" s="21">
        <v>0.38988408851422551</v>
      </c>
      <c r="AW14" s="21">
        <v>400</v>
      </c>
      <c r="AX14" s="21">
        <v>0.33719704952581664</v>
      </c>
      <c r="AY14" s="21">
        <v>190</v>
      </c>
      <c r="AZ14" s="21">
        <v>0.38988408851422551</v>
      </c>
      <c r="BA14" s="21">
        <v>215</v>
      </c>
      <c r="BB14" s="21">
        <v>0.33719704952581664</v>
      </c>
      <c r="BC14" s="21">
        <v>190</v>
      </c>
      <c r="BD14" s="21">
        <v>0.38988408851422551</v>
      </c>
      <c r="BE14" s="21">
        <v>215</v>
      </c>
      <c r="BF14" s="21">
        <v>0.95</v>
      </c>
      <c r="BG14" s="21">
        <v>0.55213999999999996</v>
      </c>
      <c r="BI14">
        <f t="shared" si="0"/>
        <v>10699844.020424999</v>
      </c>
    </row>
    <row r="15" spans="1:61" ht="14.45">
      <c r="A15" s="37">
        <v>2020</v>
      </c>
      <c r="B15" s="9" t="s">
        <v>52</v>
      </c>
      <c r="C15" s="9" t="s">
        <v>53</v>
      </c>
      <c r="D15" s="22">
        <v>3893.2469999999998</v>
      </c>
      <c r="E15" s="22">
        <v>18824.150000000001</v>
      </c>
      <c r="F15" s="22">
        <v>252.00739999999999</v>
      </c>
      <c r="G15" s="10">
        <v>391.77190000000002</v>
      </c>
      <c r="H15" s="10">
        <v>252.00739999999999</v>
      </c>
      <c r="I15" s="10">
        <v>391.77190000000002</v>
      </c>
      <c r="J15" s="10">
        <v>906.66980000000001</v>
      </c>
      <c r="K15" s="10">
        <v>707.50559999999996</v>
      </c>
      <c r="L15" s="10">
        <v>3099.3429999999998</v>
      </c>
      <c r="M15" s="10">
        <v>3329.2190000000001</v>
      </c>
      <c r="N15" s="22">
        <v>2109.6080000000002</v>
      </c>
      <c r="O15" s="22">
        <v>3444.5479999999998</v>
      </c>
      <c r="P15" s="22">
        <v>1385.82</v>
      </c>
      <c r="Q15" s="22">
        <v>3153.5050000000001</v>
      </c>
      <c r="R15" s="10">
        <v>397.81970000000001</v>
      </c>
      <c r="S15" s="10">
        <v>12226.1</v>
      </c>
      <c r="T15" s="10">
        <v>1.25</v>
      </c>
      <c r="U15" s="10">
        <v>0</v>
      </c>
      <c r="V15" s="10">
        <v>98.75</v>
      </c>
      <c r="W15" s="21">
        <v>350</v>
      </c>
      <c r="X15" s="21">
        <v>400</v>
      </c>
      <c r="Y15" s="21">
        <v>30</v>
      </c>
      <c r="Z15" s="21">
        <v>350</v>
      </c>
      <c r="AA15" s="21">
        <v>400</v>
      </c>
      <c r="AB15" s="21">
        <v>2.6</v>
      </c>
      <c r="AC15" s="21">
        <v>0.1</v>
      </c>
      <c r="AD15" s="21">
        <v>0.83</v>
      </c>
      <c r="AE15" s="9">
        <v>0.05</v>
      </c>
      <c r="AF15" s="9">
        <v>0.05</v>
      </c>
      <c r="AG15" s="21">
        <v>0.1</v>
      </c>
      <c r="AH15" s="21">
        <v>3.2538560947500003E-2</v>
      </c>
      <c r="AI15" s="21">
        <v>3.5000000000000003E-2</v>
      </c>
      <c r="AJ15" s="21">
        <v>0.21129999999999999</v>
      </c>
      <c r="AK15" s="21">
        <v>3.7999999999999999E-2</v>
      </c>
      <c r="AL15" s="96">
        <v>2.7210760000000001</v>
      </c>
      <c r="AM15" s="21">
        <v>0.56999999999999995</v>
      </c>
      <c r="AN15" s="21">
        <v>0.56999999999999995</v>
      </c>
      <c r="AO15" s="21">
        <v>0.56999999999999995</v>
      </c>
      <c r="AP15" s="21">
        <v>0.56999999999999995</v>
      </c>
      <c r="AQ15" s="21">
        <v>0.56999999999999995</v>
      </c>
      <c r="AR15" s="21">
        <v>0.56999999999999995</v>
      </c>
      <c r="AS15" s="21">
        <v>0</v>
      </c>
      <c r="AT15" s="21">
        <v>0.33719704952581664</v>
      </c>
      <c r="AU15" s="21">
        <v>350</v>
      </c>
      <c r="AV15" s="21">
        <v>0.38988408851422551</v>
      </c>
      <c r="AW15" s="21">
        <v>400</v>
      </c>
      <c r="AX15" s="21">
        <v>0.33719704952581664</v>
      </c>
      <c r="AY15" s="21">
        <v>190</v>
      </c>
      <c r="AZ15" s="21">
        <v>0.38988408851422551</v>
      </c>
      <c r="BA15" s="21">
        <v>215</v>
      </c>
      <c r="BB15" s="21">
        <v>0.33719704952581664</v>
      </c>
      <c r="BC15" s="21">
        <v>190</v>
      </c>
      <c r="BD15" s="21">
        <v>0.38988408851422551</v>
      </c>
      <c r="BE15" s="21">
        <v>215</v>
      </c>
      <c r="BF15" s="21">
        <v>0.95</v>
      </c>
      <c r="BG15" s="21">
        <v>0.71233999999999997</v>
      </c>
      <c r="BI15">
        <f t="shared" si="0"/>
        <v>9980444.1850800011</v>
      </c>
    </row>
    <row r="16" spans="1:61" ht="14.45">
      <c r="A16" s="37">
        <v>2020</v>
      </c>
      <c r="B16" s="9" t="s">
        <v>39</v>
      </c>
      <c r="C16" s="9" t="s">
        <v>54</v>
      </c>
      <c r="D16" s="22">
        <v>6469.7250000000004</v>
      </c>
      <c r="E16" s="22">
        <v>22784.16</v>
      </c>
      <c r="F16" s="22">
        <v>1439.3320000000001</v>
      </c>
      <c r="G16" s="10">
        <v>2441.4059999999999</v>
      </c>
      <c r="H16" s="10">
        <v>1439.3320000000001</v>
      </c>
      <c r="I16" s="10">
        <v>2441.4059999999999</v>
      </c>
      <c r="J16" s="10">
        <v>1002.389</v>
      </c>
      <c r="K16" s="10">
        <v>618</v>
      </c>
      <c r="L16" s="10">
        <v>5272.9480000000003</v>
      </c>
      <c r="M16" s="10">
        <v>3541.04</v>
      </c>
      <c r="N16" s="22">
        <v>4654.125</v>
      </c>
      <c r="O16" s="22">
        <v>5482.31</v>
      </c>
      <c r="P16" s="22">
        <v>1283.8050000000001</v>
      </c>
      <c r="Q16" s="22">
        <v>4348.2209999999995</v>
      </c>
      <c r="R16" s="10">
        <v>524.79610000000002</v>
      </c>
      <c r="S16" s="10">
        <v>12960.63</v>
      </c>
      <c r="T16" s="10">
        <v>2.42</v>
      </c>
      <c r="U16" s="10">
        <v>4.4400000000000004</v>
      </c>
      <c r="V16" s="10">
        <v>93.15</v>
      </c>
      <c r="W16" s="21">
        <v>350</v>
      </c>
      <c r="X16" s="21">
        <v>400</v>
      </c>
      <c r="Y16" s="21">
        <v>30</v>
      </c>
      <c r="Z16" s="21">
        <v>350</v>
      </c>
      <c r="AA16" s="21">
        <v>400</v>
      </c>
      <c r="AB16" s="21">
        <v>2.6</v>
      </c>
      <c r="AC16" s="21">
        <v>0.1</v>
      </c>
      <c r="AD16" s="21">
        <v>0.83</v>
      </c>
      <c r="AE16" s="9">
        <v>0.05</v>
      </c>
      <c r="AF16" s="9">
        <v>0.05</v>
      </c>
      <c r="AG16" s="21">
        <v>0.06</v>
      </c>
      <c r="AH16" s="21">
        <v>4.0491557894899999E-2</v>
      </c>
      <c r="AI16" s="21">
        <v>3.5000000000000003E-2</v>
      </c>
      <c r="AJ16" s="21">
        <v>0.21129999999999999</v>
      </c>
      <c r="AK16" s="21">
        <v>3.7999999999999999E-2</v>
      </c>
      <c r="AL16" s="96">
        <v>3.2014209999999999</v>
      </c>
      <c r="AM16" s="21">
        <v>0.56999999999999995</v>
      </c>
      <c r="AN16" s="21">
        <v>0.56999999999999995</v>
      </c>
      <c r="AO16" s="21">
        <v>0.56999999999999995</v>
      </c>
      <c r="AP16" s="21">
        <v>0.56999999999999995</v>
      </c>
      <c r="AQ16" s="21">
        <v>0.56999999999999995</v>
      </c>
      <c r="AR16" s="21">
        <v>0.56999999999999995</v>
      </c>
      <c r="AS16" s="21">
        <v>0</v>
      </c>
      <c r="AT16" s="21">
        <v>0.33719704952581664</v>
      </c>
      <c r="AU16" s="21">
        <v>350</v>
      </c>
      <c r="AV16" s="21">
        <v>0.38988408851422551</v>
      </c>
      <c r="AW16" s="21">
        <v>400</v>
      </c>
      <c r="AX16" s="21">
        <v>0.33719704952581664</v>
      </c>
      <c r="AY16" s="21">
        <v>190</v>
      </c>
      <c r="AZ16" s="21">
        <v>0.38988408851422551</v>
      </c>
      <c r="BA16" s="21">
        <v>215</v>
      </c>
      <c r="BB16" s="21">
        <v>0.33719704952581664</v>
      </c>
      <c r="BC16" s="21">
        <v>190</v>
      </c>
      <c r="BD16" s="21">
        <v>0.38988408851422551</v>
      </c>
      <c r="BE16" s="21">
        <v>215</v>
      </c>
      <c r="BF16" s="21">
        <v>0.95</v>
      </c>
      <c r="BG16" s="21">
        <v>0.67795000000000005</v>
      </c>
      <c r="BI16">
        <f t="shared" si="0"/>
        <v>12447729.916568998</v>
      </c>
    </row>
    <row r="17" spans="1:61" ht="14.45">
      <c r="A17" s="37">
        <v>2020</v>
      </c>
      <c r="B17" s="9" t="s">
        <v>44</v>
      </c>
      <c r="C17" s="9" t="s">
        <v>55</v>
      </c>
      <c r="D17" s="22">
        <v>382.84660000000002</v>
      </c>
      <c r="E17" s="22">
        <v>1938.0840000000001</v>
      </c>
      <c r="F17" s="22">
        <v>133.77500000000001</v>
      </c>
      <c r="G17" s="10">
        <v>0</v>
      </c>
      <c r="H17" s="10">
        <v>133.77500000000001</v>
      </c>
      <c r="I17" s="10">
        <v>0</v>
      </c>
      <c r="J17" s="10">
        <v>42.577719999999999</v>
      </c>
      <c r="K17" s="10">
        <v>163.30019999999999</v>
      </c>
      <c r="L17" s="10">
        <v>343.29950000000002</v>
      </c>
      <c r="M17" s="10">
        <v>335.1123</v>
      </c>
      <c r="N17" s="22">
        <v>293.08819999999997</v>
      </c>
      <c r="O17" s="22">
        <v>599.60519999999997</v>
      </c>
      <c r="P17" s="22">
        <v>89.758420000000001</v>
      </c>
      <c r="Q17" s="22">
        <v>241.1086</v>
      </c>
      <c r="R17" s="10">
        <v>0</v>
      </c>
      <c r="S17" s="10">
        <v>1097.3710000000001</v>
      </c>
      <c r="T17" s="10">
        <v>0</v>
      </c>
      <c r="U17" s="10">
        <v>0</v>
      </c>
      <c r="V17" s="10">
        <v>100</v>
      </c>
      <c r="W17" s="21">
        <v>350</v>
      </c>
      <c r="X17" s="21">
        <v>400</v>
      </c>
      <c r="Y17" s="21">
        <v>30</v>
      </c>
      <c r="Z17" s="21">
        <v>350</v>
      </c>
      <c r="AA17" s="21">
        <v>400</v>
      </c>
      <c r="AB17" s="21">
        <v>2.6</v>
      </c>
      <c r="AC17" s="21">
        <v>0.1</v>
      </c>
      <c r="AD17" s="21">
        <v>0.83</v>
      </c>
      <c r="AE17" s="9">
        <v>0.05</v>
      </c>
      <c r="AF17" s="9">
        <v>0.05</v>
      </c>
      <c r="AG17" s="21">
        <v>7.0000000000000007E-2</v>
      </c>
      <c r="AH17" s="21">
        <v>0</v>
      </c>
      <c r="AI17" s="21">
        <v>3.5000000000000003E-2</v>
      </c>
      <c r="AJ17" s="21">
        <v>0.21129999999999999</v>
      </c>
      <c r="AK17" s="21">
        <v>3.7999999999999999E-2</v>
      </c>
      <c r="AL17" s="96">
        <v>4.820119</v>
      </c>
      <c r="AM17" s="21">
        <v>0.56999999999999995</v>
      </c>
      <c r="AN17" s="21">
        <v>0.56999999999999995</v>
      </c>
      <c r="AO17" s="21">
        <v>0.56999999999999995</v>
      </c>
      <c r="AP17" s="21">
        <v>0.56999999999999995</v>
      </c>
      <c r="AQ17" s="21">
        <v>0.56999999999999995</v>
      </c>
      <c r="AR17" s="21">
        <v>0.56999999999999995</v>
      </c>
      <c r="AS17" s="21">
        <v>0</v>
      </c>
      <c r="AT17" s="21">
        <v>0.33719704952581664</v>
      </c>
      <c r="AU17" s="21">
        <v>350</v>
      </c>
      <c r="AV17" s="21">
        <v>0.38988408851422551</v>
      </c>
      <c r="AW17" s="21">
        <v>400</v>
      </c>
      <c r="AX17" s="21">
        <v>0.33719704952581664</v>
      </c>
      <c r="AY17" s="21">
        <v>190</v>
      </c>
      <c r="AZ17" s="21">
        <v>0.38988408851422551</v>
      </c>
      <c r="BA17" s="21">
        <v>215</v>
      </c>
      <c r="BB17" s="21">
        <v>0.33719704952581664</v>
      </c>
      <c r="BC17" s="21">
        <v>190</v>
      </c>
      <c r="BD17" s="21">
        <v>0.38988408851422551</v>
      </c>
      <c r="BE17" s="21">
        <v>215</v>
      </c>
      <c r="BF17" s="21">
        <v>0.95</v>
      </c>
      <c r="BG17" s="21">
        <v>0.76834000000000002</v>
      </c>
      <c r="BI17">
        <f t="shared" si="0"/>
        <v>1586837.6421447003</v>
      </c>
    </row>
    <row r="18" spans="1:61" ht="14.45">
      <c r="A18" s="37">
        <v>2020</v>
      </c>
      <c r="B18" s="9" t="s">
        <v>39</v>
      </c>
      <c r="C18" s="9" t="s">
        <v>56</v>
      </c>
      <c r="D18" s="22">
        <v>4614.4350000000004</v>
      </c>
      <c r="E18" s="22">
        <v>20686.759999999998</v>
      </c>
      <c r="F18" s="22">
        <v>1262.4390000000001</v>
      </c>
      <c r="G18" s="10">
        <v>947.27859999999998</v>
      </c>
      <c r="H18" s="10">
        <v>1262.4390000000001</v>
      </c>
      <c r="I18" s="10">
        <v>947.27859999999998</v>
      </c>
      <c r="J18" s="10">
        <v>32</v>
      </c>
      <c r="K18" s="10">
        <v>50</v>
      </c>
      <c r="L18" s="10">
        <v>2338.5230000000001</v>
      </c>
      <c r="M18" s="10">
        <v>2592.6729999999998</v>
      </c>
      <c r="N18" s="22">
        <v>2734.712</v>
      </c>
      <c r="O18" s="22">
        <v>3513.7280000000001</v>
      </c>
      <c r="P18" s="22">
        <v>1424.604</v>
      </c>
      <c r="Q18" s="22">
        <v>7010.0349999999999</v>
      </c>
      <c r="R18" s="10">
        <v>455.11939999999998</v>
      </c>
      <c r="S18" s="10">
        <v>10162.99</v>
      </c>
      <c r="T18" s="10">
        <v>1.78</v>
      </c>
      <c r="U18" s="10">
        <v>5.33</v>
      </c>
      <c r="V18" s="10">
        <v>92.89</v>
      </c>
      <c r="W18" s="21">
        <v>350</v>
      </c>
      <c r="X18" s="21">
        <v>400</v>
      </c>
      <c r="Y18" s="21">
        <v>30</v>
      </c>
      <c r="Z18" s="21">
        <v>350</v>
      </c>
      <c r="AA18" s="21">
        <v>400</v>
      </c>
      <c r="AB18" s="21">
        <v>2.6</v>
      </c>
      <c r="AC18" s="21">
        <v>0.1</v>
      </c>
      <c r="AD18" s="21">
        <v>0.83</v>
      </c>
      <c r="AE18" s="9">
        <v>0.05</v>
      </c>
      <c r="AF18" s="9">
        <v>0.05</v>
      </c>
      <c r="AG18" s="21">
        <v>0</v>
      </c>
      <c r="AH18" s="21">
        <v>4.4782037569699999E-2</v>
      </c>
      <c r="AI18" s="21">
        <v>3.5000000000000003E-2</v>
      </c>
      <c r="AJ18" s="21">
        <v>0.21129999999999999</v>
      </c>
      <c r="AK18" s="21">
        <v>3.7999999999999999E-2</v>
      </c>
      <c r="AL18" s="96">
        <v>3.5265569999999999</v>
      </c>
      <c r="AM18" s="21">
        <v>0.56999999999999995</v>
      </c>
      <c r="AN18" s="21">
        <v>0.56999999999999995</v>
      </c>
      <c r="AO18" s="21">
        <v>0.56999999999999995</v>
      </c>
      <c r="AP18" s="21">
        <v>0.56999999999999995</v>
      </c>
      <c r="AQ18" s="21">
        <v>0.56999999999999995</v>
      </c>
      <c r="AR18" s="21">
        <v>0.56999999999999995</v>
      </c>
      <c r="AS18" s="21">
        <v>0</v>
      </c>
      <c r="AT18" s="21">
        <v>0.33719704952581664</v>
      </c>
      <c r="AU18" s="21">
        <v>350</v>
      </c>
      <c r="AV18" s="21">
        <v>0.38988408851422551</v>
      </c>
      <c r="AW18" s="21">
        <v>400</v>
      </c>
      <c r="AX18" s="21">
        <v>0.33719704952581664</v>
      </c>
      <c r="AY18" s="21">
        <v>190</v>
      </c>
      <c r="AZ18" s="21">
        <v>0.38988408851422551</v>
      </c>
      <c r="BA18" s="21">
        <v>215</v>
      </c>
      <c r="BB18" s="21">
        <v>0.33719704952581664</v>
      </c>
      <c r="BC18" s="21">
        <v>190</v>
      </c>
      <c r="BD18" s="21">
        <v>0.38988408851422551</v>
      </c>
      <c r="BE18" s="21">
        <v>215</v>
      </c>
      <c r="BF18" s="21">
        <v>0.95</v>
      </c>
      <c r="BG18" s="21">
        <v>0.53341000000000005</v>
      </c>
      <c r="BI18">
        <f t="shared" si="0"/>
        <v>10752109.057628999</v>
      </c>
    </row>
    <row r="19" spans="1:61" ht="14.45">
      <c r="A19" s="37">
        <v>2020</v>
      </c>
      <c r="B19" s="9" t="s">
        <v>48</v>
      </c>
      <c r="C19" s="9" t="s">
        <v>57</v>
      </c>
      <c r="D19" s="22">
        <v>8991.4660000000003</v>
      </c>
      <c r="E19" s="22">
        <v>28348.95</v>
      </c>
      <c r="F19" s="22">
        <v>2226.6669999999999</v>
      </c>
      <c r="G19" s="10">
        <v>2222.8090000000002</v>
      </c>
      <c r="H19" s="10">
        <v>2226.6669999999999</v>
      </c>
      <c r="I19" s="10">
        <v>2222.8090000000002</v>
      </c>
      <c r="J19" s="10">
        <v>665.25509999999997</v>
      </c>
      <c r="K19" s="10">
        <v>234.81899999999999</v>
      </c>
      <c r="L19" s="10">
        <v>3543.4110000000001</v>
      </c>
      <c r="M19" s="10">
        <v>4892.8230000000003</v>
      </c>
      <c r="N19" s="22">
        <v>6319.9769999999999</v>
      </c>
      <c r="O19" s="22">
        <v>8302.1029999999992</v>
      </c>
      <c r="P19" s="22">
        <v>1344.5830000000001</v>
      </c>
      <c r="Q19" s="22">
        <v>8393.6640000000007</v>
      </c>
      <c r="R19" s="10">
        <v>1125.6289999999999</v>
      </c>
      <c r="S19" s="10">
        <v>11854.46</v>
      </c>
      <c r="T19" s="10">
        <v>0</v>
      </c>
      <c r="U19" s="10">
        <v>0.85</v>
      </c>
      <c r="V19" s="10">
        <v>99.14</v>
      </c>
      <c r="W19" s="21">
        <v>350</v>
      </c>
      <c r="X19" s="21">
        <v>400</v>
      </c>
      <c r="Y19" s="21">
        <v>30</v>
      </c>
      <c r="Z19" s="21">
        <v>350</v>
      </c>
      <c r="AA19" s="21">
        <v>400</v>
      </c>
      <c r="AB19" s="21">
        <v>2.6</v>
      </c>
      <c r="AC19" s="21">
        <v>0.1</v>
      </c>
      <c r="AD19" s="21">
        <v>0.83</v>
      </c>
      <c r="AE19" s="9">
        <v>0.05</v>
      </c>
      <c r="AF19" s="9">
        <v>0.05</v>
      </c>
      <c r="AG19" s="21">
        <v>0.03</v>
      </c>
      <c r="AH19" s="21">
        <v>9.4954051049099999E-2</v>
      </c>
      <c r="AI19" s="21">
        <v>3.5000000000000003E-2</v>
      </c>
      <c r="AJ19" s="21">
        <v>0.21129999999999999</v>
      </c>
      <c r="AK19" s="21">
        <v>3.7999999999999999E-2</v>
      </c>
      <c r="AL19" s="96">
        <v>2.5958830000000002</v>
      </c>
      <c r="AM19" s="21">
        <v>0.56999999999999995</v>
      </c>
      <c r="AN19" s="21">
        <v>0.56999999999999995</v>
      </c>
      <c r="AO19" s="21">
        <v>0.56999999999999995</v>
      </c>
      <c r="AP19" s="21">
        <v>0.56999999999999995</v>
      </c>
      <c r="AQ19" s="21">
        <v>0.56999999999999995</v>
      </c>
      <c r="AR19" s="21">
        <v>0.56999999999999995</v>
      </c>
      <c r="AS19" s="21">
        <v>0</v>
      </c>
      <c r="AT19" s="21">
        <v>0.33719704952581664</v>
      </c>
      <c r="AU19" s="21">
        <v>350</v>
      </c>
      <c r="AV19" s="21">
        <v>0.38988408851422551</v>
      </c>
      <c r="AW19" s="21">
        <v>400</v>
      </c>
      <c r="AX19" s="21">
        <v>0.33719704952581664</v>
      </c>
      <c r="AY19" s="21">
        <v>190</v>
      </c>
      <c r="AZ19" s="21">
        <v>0.38988408851422551</v>
      </c>
      <c r="BA19" s="21">
        <v>215</v>
      </c>
      <c r="BB19" s="21">
        <v>0.33719704952581664</v>
      </c>
      <c r="BC19" s="21">
        <v>190</v>
      </c>
      <c r="BD19" s="21">
        <v>0.38988408851422551</v>
      </c>
      <c r="BE19" s="21">
        <v>215</v>
      </c>
      <c r="BF19" s="21">
        <v>0.95</v>
      </c>
      <c r="BG19" s="21">
        <v>0.52180000000000004</v>
      </c>
      <c r="BI19">
        <f t="shared" si="0"/>
        <v>9231837.3564539999</v>
      </c>
    </row>
    <row r="20" spans="1:61" ht="14.45">
      <c r="A20" s="37">
        <v>2020</v>
      </c>
      <c r="B20" s="9" t="s">
        <v>41</v>
      </c>
      <c r="C20" s="9" t="s">
        <v>58</v>
      </c>
      <c r="D20" s="22">
        <v>4779.951</v>
      </c>
      <c r="E20" s="22">
        <v>17521.55</v>
      </c>
      <c r="F20" s="22">
        <v>3177.3049999999998</v>
      </c>
      <c r="G20" s="10">
        <v>1466.7809999999999</v>
      </c>
      <c r="H20" s="10">
        <v>3177.3049999999998</v>
      </c>
      <c r="I20" s="10">
        <v>1466.7809999999999</v>
      </c>
      <c r="J20" s="10">
        <v>2</v>
      </c>
      <c r="K20" s="10">
        <v>1</v>
      </c>
      <c r="L20" s="10">
        <v>3112.89</v>
      </c>
      <c r="M20" s="10">
        <v>2816.962</v>
      </c>
      <c r="N20" s="22">
        <v>3685.16</v>
      </c>
      <c r="O20" s="22">
        <v>4436.616</v>
      </c>
      <c r="P20" s="22">
        <v>1075.7909999999999</v>
      </c>
      <c r="Q20" s="22">
        <v>2928.498</v>
      </c>
      <c r="R20" s="10">
        <v>19</v>
      </c>
      <c r="S20" s="10">
        <v>10156.44</v>
      </c>
      <c r="T20" s="10">
        <v>0.02</v>
      </c>
      <c r="U20" s="10">
        <v>0</v>
      </c>
      <c r="V20" s="10">
        <v>99.98</v>
      </c>
      <c r="W20" s="21">
        <v>350</v>
      </c>
      <c r="X20" s="21">
        <v>400</v>
      </c>
      <c r="Y20" s="21">
        <v>30</v>
      </c>
      <c r="Z20" s="21">
        <v>350</v>
      </c>
      <c r="AA20" s="21">
        <v>400</v>
      </c>
      <c r="AB20" s="21">
        <v>2.6</v>
      </c>
      <c r="AC20" s="21">
        <v>0.1</v>
      </c>
      <c r="AD20" s="21">
        <v>0.83</v>
      </c>
      <c r="AE20" s="9">
        <v>0.05</v>
      </c>
      <c r="AF20" s="9">
        <v>0.05</v>
      </c>
      <c r="AG20" s="21">
        <v>0</v>
      </c>
      <c r="AH20" s="21">
        <v>1.8707342336499999E-3</v>
      </c>
      <c r="AI20" s="21">
        <v>3.5000000000000003E-2</v>
      </c>
      <c r="AJ20" s="21">
        <v>0.21129999999999999</v>
      </c>
      <c r="AK20" s="21">
        <v>3.7999999999999999E-2</v>
      </c>
      <c r="AL20" s="96">
        <v>2.965347</v>
      </c>
      <c r="AM20" s="21">
        <v>0.56999999999999995</v>
      </c>
      <c r="AN20" s="21">
        <v>0.56999999999999995</v>
      </c>
      <c r="AO20" s="21">
        <v>0.56999999999999995</v>
      </c>
      <c r="AP20" s="21">
        <v>0.56999999999999995</v>
      </c>
      <c r="AQ20" s="21">
        <v>0.56999999999999995</v>
      </c>
      <c r="AR20" s="21">
        <v>0.56999999999999995</v>
      </c>
      <c r="AS20" s="21">
        <v>0</v>
      </c>
      <c r="AT20" s="21">
        <v>0.33719704952581664</v>
      </c>
      <c r="AU20" s="21">
        <v>350</v>
      </c>
      <c r="AV20" s="21">
        <v>0.38988408851422551</v>
      </c>
      <c r="AW20" s="21">
        <v>400</v>
      </c>
      <c r="AX20" s="21">
        <v>0.33719704952581664</v>
      </c>
      <c r="AY20" s="21">
        <v>190</v>
      </c>
      <c r="AZ20" s="21">
        <v>0.38988408851422551</v>
      </c>
      <c r="BA20" s="21">
        <v>215</v>
      </c>
      <c r="BB20" s="21">
        <v>0.33719704952581664</v>
      </c>
      <c r="BC20" s="21">
        <v>190</v>
      </c>
      <c r="BD20" s="21">
        <v>0.38988408851422551</v>
      </c>
      <c r="BE20" s="21">
        <v>215</v>
      </c>
      <c r="BF20" s="21">
        <v>0.95</v>
      </c>
      <c r="BG20" s="21">
        <v>0.71626000000000001</v>
      </c>
      <c r="BI20">
        <f t="shared" si="0"/>
        <v>9035210.6654039994</v>
      </c>
    </row>
    <row r="21" spans="1:61" ht="14.45">
      <c r="A21" s="37">
        <v>2020</v>
      </c>
      <c r="B21" s="9" t="s">
        <v>39</v>
      </c>
      <c r="C21" s="9" t="s">
        <v>59</v>
      </c>
      <c r="D21" s="22">
        <v>8474.7710000000006</v>
      </c>
      <c r="E21" s="22">
        <v>22740.77</v>
      </c>
      <c r="F21" s="22">
        <v>1192.375</v>
      </c>
      <c r="G21" s="10">
        <v>2024.61</v>
      </c>
      <c r="H21" s="10">
        <v>1192.375</v>
      </c>
      <c r="I21" s="10">
        <v>2024.61</v>
      </c>
      <c r="J21" s="10">
        <v>254.1645</v>
      </c>
      <c r="K21" s="10">
        <v>332.4796</v>
      </c>
      <c r="L21" s="10">
        <v>3332.2959999999998</v>
      </c>
      <c r="M21" s="10">
        <v>3961.2840000000001</v>
      </c>
      <c r="N21" s="22">
        <v>5615.6360000000004</v>
      </c>
      <c r="O21" s="22">
        <v>4736.817</v>
      </c>
      <c r="P21" s="22">
        <v>2346.9090000000001</v>
      </c>
      <c r="Q21" s="22">
        <v>4614.973</v>
      </c>
      <c r="R21" s="10">
        <v>512.22580000000005</v>
      </c>
      <c r="S21" s="10">
        <v>13388.98</v>
      </c>
      <c r="T21" s="10">
        <v>3.81</v>
      </c>
      <c r="U21" s="10">
        <v>0</v>
      </c>
      <c r="V21" s="10">
        <v>96.19</v>
      </c>
      <c r="W21" s="21">
        <v>350</v>
      </c>
      <c r="X21" s="21">
        <v>400</v>
      </c>
      <c r="Y21" s="21">
        <v>30</v>
      </c>
      <c r="Z21" s="21">
        <v>350</v>
      </c>
      <c r="AA21" s="21">
        <v>400</v>
      </c>
      <c r="AB21" s="21">
        <v>2.6</v>
      </c>
      <c r="AC21" s="21">
        <v>0.1</v>
      </c>
      <c r="AD21" s="21">
        <v>0.83</v>
      </c>
      <c r="AE21" s="9">
        <v>0.05</v>
      </c>
      <c r="AF21" s="9">
        <v>0.05</v>
      </c>
      <c r="AG21" s="21">
        <v>0.02</v>
      </c>
      <c r="AH21" s="21">
        <v>3.8257268290799999E-2</v>
      </c>
      <c r="AI21" s="21">
        <v>3.5000000000000003E-2</v>
      </c>
      <c r="AJ21" s="21">
        <v>0.21129999999999999</v>
      </c>
      <c r="AK21" s="21">
        <v>3.7999999999999999E-2</v>
      </c>
      <c r="AL21" s="96">
        <v>3.1732879999999999</v>
      </c>
      <c r="AM21" s="21">
        <v>0.56999999999999995</v>
      </c>
      <c r="AN21" s="21">
        <v>0.56999999999999995</v>
      </c>
      <c r="AO21" s="21">
        <v>0.56999999999999995</v>
      </c>
      <c r="AP21" s="21">
        <v>0.56999999999999995</v>
      </c>
      <c r="AQ21" s="21">
        <v>0.56999999999999995</v>
      </c>
      <c r="AR21" s="21">
        <v>0.56999999999999995</v>
      </c>
      <c r="AS21" s="21">
        <v>0</v>
      </c>
      <c r="AT21" s="21">
        <v>0.33719704952581664</v>
      </c>
      <c r="AU21" s="21">
        <v>350</v>
      </c>
      <c r="AV21" s="21">
        <v>0.38988408851422551</v>
      </c>
      <c r="AW21" s="21">
        <v>400</v>
      </c>
      <c r="AX21" s="21">
        <v>0.33719704952581664</v>
      </c>
      <c r="AY21" s="21">
        <v>190</v>
      </c>
      <c r="AZ21" s="21">
        <v>0.38988408851422551</v>
      </c>
      <c r="BA21" s="21">
        <v>215</v>
      </c>
      <c r="BB21" s="21">
        <v>0.33719704952581664</v>
      </c>
      <c r="BC21" s="21">
        <v>190</v>
      </c>
      <c r="BD21" s="21">
        <v>0.38988408851422551</v>
      </c>
      <c r="BE21" s="21">
        <v>215</v>
      </c>
      <c r="BF21" s="21">
        <v>0.95</v>
      </c>
      <c r="BG21" s="21">
        <v>0.64175000000000004</v>
      </c>
      <c r="BI21">
        <f t="shared" si="0"/>
        <v>12746126.869872</v>
      </c>
    </row>
    <row r="22" spans="1:61" ht="14.45">
      <c r="A22" s="37">
        <v>2020</v>
      </c>
      <c r="B22" s="9" t="s">
        <v>52</v>
      </c>
      <c r="C22" s="9" t="s">
        <v>60</v>
      </c>
      <c r="D22" s="22">
        <v>12989.21</v>
      </c>
      <c r="E22" s="22">
        <v>38583.949999999997</v>
      </c>
      <c r="F22" s="22">
        <v>925.11199999999997</v>
      </c>
      <c r="G22" s="10">
        <v>886.02269999999999</v>
      </c>
      <c r="H22" s="10">
        <v>925.11199999999997</v>
      </c>
      <c r="I22" s="10">
        <v>886.02269999999999</v>
      </c>
      <c r="J22" s="10">
        <v>554.26499999999999</v>
      </c>
      <c r="K22" s="10">
        <v>732.423</v>
      </c>
      <c r="L22" s="10">
        <v>5971.0379999999996</v>
      </c>
      <c r="M22" s="10">
        <v>6313.37</v>
      </c>
      <c r="N22" s="22">
        <v>10860.67</v>
      </c>
      <c r="O22" s="22">
        <v>10824.35</v>
      </c>
      <c r="P22" s="22">
        <v>1248.3599999999999</v>
      </c>
      <c r="Q22" s="22">
        <v>7429.1419999999998</v>
      </c>
      <c r="R22" s="10">
        <v>880.17370000000005</v>
      </c>
      <c r="S22" s="10">
        <v>20330.46</v>
      </c>
      <c r="T22" s="10">
        <v>0.02</v>
      </c>
      <c r="U22" s="10">
        <v>0.89</v>
      </c>
      <c r="V22" s="10">
        <v>99.09</v>
      </c>
      <c r="W22" s="21">
        <v>350</v>
      </c>
      <c r="X22" s="21">
        <v>400</v>
      </c>
      <c r="Y22" s="21">
        <v>30</v>
      </c>
      <c r="Z22" s="21">
        <v>350</v>
      </c>
      <c r="AA22" s="21">
        <v>400</v>
      </c>
      <c r="AB22" s="21">
        <v>2.6</v>
      </c>
      <c r="AC22" s="21">
        <v>0.1</v>
      </c>
      <c r="AD22" s="21">
        <v>0.83</v>
      </c>
      <c r="AE22" s="9">
        <v>0.05</v>
      </c>
      <c r="AF22" s="9">
        <v>0.05</v>
      </c>
      <c r="AG22" s="21">
        <v>0.03</v>
      </c>
      <c r="AH22" s="21">
        <v>4.3293348994600002E-2</v>
      </c>
      <c r="AI22" s="21">
        <v>3.5000000000000003E-2</v>
      </c>
      <c r="AJ22" s="21">
        <v>0.21129999999999999</v>
      </c>
      <c r="AK22" s="21">
        <v>3.7999999999999999E-2</v>
      </c>
      <c r="AL22" s="96">
        <v>1.992011</v>
      </c>
      <c r="AM22" s="21">
        <v>0.56999999999999995</v>
      </c>
      <c r="AN22" s="21">
        <v>0.56999999999999995</v>
      </c>
      <c r="AO22" s="21">
        <v>0.56999999999999995</v>
      </c>
      <c r="AP22" s="21">
        <v>0.56999999999999995</v>
      </c>
      <c r="AQ22" s="21">
        <v>0.56999999999999995</v>
      </c>
      <c r="AR22" s="21">
        <v>0.56999999999999995</v>
      </c>
      <c r="AS22" s="21">
        <v>0</v>
      </c>
      <c r="AT22" s="21">
        <v>0.33719704952581664</v>
      </c>
      <c r="AU22" s="21">
        <v>350</v>
      </c>
      <c r="AV22" s="21">
        <v>0.38988408851422551</v>
      </c>
      <c r="AW22" s="21">
        <v>400</v>
      </c>
      <c r="AX22" s="21">
        <v>0.33719704952581664</v>
      </c>
      <c r="AY22" s="21">
        <v>190</v>
      </c>
      <c r="AZ22" s="21">
        <v>0.38988408851422551</v>
      </c>
      <c r="BA22" s="21">
        <v>215</v>
      </c>
      <c r="BB22" s="21">
        <v>0.33719704952581664</v>
      </c>
      <c r="BC22" s="21">
        <v>190</v>
      </c>
      <c r="BD22" s="21">
        <v>0.38988408851422551</v>
      </c>
      <c r="BE22" s="21">
        <v>215</v>
      </c>
      <c r="BF22" s="21">
        <v>0.95</v>
      </c>
      <c r="BG22" s="21">
        <v>0.68022000000000005</v>
      </c>
      <c r="BI22">
        <f t="shared" si="0"/>
        <v>12149549.986517999</v>
      </c>
    </row>
    <row r="23" spans="1:61" ht="14.45">
      <c r="A23" s="37">
        <v>2020</v>
      </c>
      <c r="B23" s="9" t="s">
        <v>52</v>
      </c>
      <c r="C23" s="9" t="s">
        <v>61</v>
      </c>
      <c r="D23" s="22">
        <v>5318.9579999999996</v>
      </c>
      <c r="E23" s="22">
        <v>24119.85</v>
      </c>
      <c r="F23" s="22">
        <v>984.84640000000002</v>
      </c>
      <c r="G23" s="10">
        <v>1452.2650000000001</v>
      </c>
      <c r="H23" s="10">
        <v>984.84640000000002</v>
      </c>
      <c r="I23" s="10">
        <v>1452.2650000000001</v>
      </c>
      <c r="J23" s="10">
        <v>382.89339999999999</v>
      </c>
      <c r="K23" s="10">
        <v>968.27919999999995</v>
      </c>
      <c r="L23" s="10">
        <v>4206.7939999999999</v>
      </c>
      <c r="M23" s="10">
        <v>5801.2489999999998</v>
      </c>
      <c r="N23" s="22">
        <v>4198.4530000000004</v>
      </c>
      <c r="O23" s="22">
        <v>7023.9520000000002</v>
      </c>
      <c r="P23" s="22">
        <v>831.44709999999998</v>
      </c>
      <c r="Q23" s="22">
        <v>4223.0659999999998</v>
      </c>
      <c r="R23" s="10">
        <v>289.05799999999999</v>
      </c>
      <c r="S23" s="10">
        <v>12872.84</v>
      </c>
      <c r="T23" s="10">
        <v>1.49</v>
      </c>
      <c r="U23" s="10">
        <v>6.21</v>
      </c>
      <c r="V23" s="10">
        <v>92.31</v>
      </c>
      <c r="W23" s="21">
        <v>350</v>
      </c>
      <c r="X23" s="21">
        <v>400</v>
      </c>
      <c r="Y23" s="21">
        <v>30</v>
      </c>
      <c r="Z23" s="21">
        <v>350</v>
      </c>
      <c r="AA23" s="21">
        <v>400</v>
      </c>
      <c r="AB23" s="21">
        <v>2.6</v>
      </c>
      <c r="AC23" s="21">
        <v>0.1</v>
      </c>
      <c r="AD23" s="21">
        <v>0.83</v>
      </c>
      <c r="AE23" s="9">
        <v>0.05</v>
      </c>
      <c r="AF23" s="9">
        <v>0.05</v>
      </c>
      <c r="AG23" s="21">
        <v>0.04</v>
      </c>
      <c r="AH23" s="21">
        <v>2.2454873982700001E-2</v>
      </c>
      <c r="AI23" s="21">
        <v>3.5000000000000003E-2</v>
      </c>
      <c r="AJ23" s="21">
        <v>0.21129999999999999</v>
      </c>
      <c r="AK23" s="21">
        <v>3.7999999999999999E-2</v>
      </c>
      <c r="AL23" s="96">
        <v>2.9310930000000002</v>
      </c>
      <c r="AM23" s="21">
        <v>0.56999999999999995</v>
      </c>
      <c r="AN23" s="21">
        <v>0.56999999999999995</v>
      </c>
      <c r="AO23" s="21">
        <v>0.56999999999999995</v>
      </c>
      <c r="AP23" s="21">
        <v>0.56999999999999995</v>
      </c>
      <c r="AQ23" s="21">
        <v>0.56999999999999995</v>
      </c>
      <c r="AR23" s="21">
        <v>0.56999999999999995</v>
      </c>
      <c r="AS23" s="21">
        <v>0</v>
      </c>
      <c r="AT23" s="21">
        <v>0.33719704952581664</v>
      </c>
      <c r="AU23" s="21">
        <v>350</v>
      </c>
      <c r="AV23" s="21">
        <v>0.38988408851422551</v>
      </c>
      <c r="AW23" s="21">
        <v>400</v>
      </c>
      <c r="AX23" s="21">
        <v>0.33719704952581664</v>
      </c>
      <c r="AY23" s="21">
        <v>190</v>
      </c>
      <c r="AZ23" s="21">
        <v>0.38988408851422551</v>
      </c>
      <c r="BA23" s="21">
        <v>215</v>
      </c>
      <c r="BB23" s="21">
        <v>0.33719704952581664</v>
      </c>
      <c r="BC23" s="21">
        <v>190</v>
      </c>
      <c r="BD23" s="21">
        <v>0.38988408851422551</v>
      </c>
      <c r="BE23" s="21">
        <v>215</v>
      </c>
      <c r="BF23" s="21">
        <v>0.95</v>
      </c>
      <c r="BG23" s="21">
        <v>0.70665999999999995</v>
      </c>
      <c r="BI23">
        <f t="shared" si="0"/>
        <v>11319447.364236001</v>
      </c>
    </row>
    <row r="24" spans="1:61" ht="14.45">
      <c r="A24" s="37">
        <v>2020</v>
      </c>
      <c r="B24" s="9" t="s">
        <v>39</v>
      </c>
      <c r="C24" s="9" t="s">
        <v>62</v>
      </c>
      <c r="D24" s="22">
        <v>11034.52</v>
      </c>
      <c r="E24" s="22">
        <v>45506.93</v>
      </c>
      <c r="F24" s="22">
        <v>2318.0100000000002</v>
      </c>
      <c r="G24" s="10">
        <v>1545.5509999999999</v>
      </c>
      <c r="H24" s="10">
        <v>2318.0100000000002</v>
      </c>
      <c r="I24" s="10">
        <v>1545.5509999999999</v>
      </c>
      <c r="J24" s="10">
        <v>980.34180000000003</v>
      </c>
      <c r="K24" s="10">
        <v>3245.9690000000001</v>
      </c>
      <c r="L24" s="10">
        <v>6940.415</v>
      </c>
      <c r="M24" s="10">
        <v>8347.4599999999991</v>
      </c>
      <c r="N24" s="22">
        <v>8770.9680000000008</v>
      </c>
      <c r="O24" s="22">
        <v>9871.3169999999991</v>
      </c>
      <c r="P24" s="22">
        <v>1304.1569999999999</v>
      </c>
      <c r="Q24" s="22">
        <v>12183.07</v>
      </c>
      <c r="R24" s="10">
        <v>959.39580000000001</v>
      </c>
      <c r="S24" s="10">
        <v>23452.55</v>
      </c>
      <c r="T24" s="10">
        <v>19.45</v>
      </c>
      <c r="U24" s="10">
        <v>1.46</v>
      </c>
      <c r="V24" s="10">
        <v>79.09</v>
      </c>
      <c r="W24" s="21">
        <v>350</v>
      </c>
      <c r="X24" s="21">
        <v>400</v>
      </c>
      <c r="Y24" s="21">
        <v>30</v>
      </c>
      <c r="Z24" s="21">
        <v>350</v>
      </c>
      <c r="AA24" s="21">
        <v>400</v>
      </c>
      <c r="AB24" s="21">
        <v>2.6</v>
      </c>
      <c r="AC24" s="21">
        <v>0.1</v>
      </c>
      <c r="AD24" s="21">
        <v>0.83</v>
      </c>
      <c r="AE24" s="9">
        <v>0.05</v>
      </c>
      <c r="AF24" s="9">
        <v>0.05</v>
      </c>
      <c r="AG24" s="21">
        <v>0.06</v>
      </c>
      <c r="AH24" s="21">
        <v>4.0907952440100002E-2</v>
      </c>
      <c r="AI24" s="21">
        <v>3.5000000000000003E-2</v>
      </c>
      <c r="AJ24" s="21">
        <v>0.21129999999999999</v>
      </c>
      <c r="AK24" s="21">
        <v>3.7999999999999999E-2</v>
      </c>
      <c r="AL24" s="96">
        <v>5.1778190000000004</v>
      </c>
      <c r="AM24" s="21">
        <v>0.56999999999999995</v>
      </c>
      <c r="AN24" s="21">
        <v>0.56999999999999995</v>
      </c>
      <c r="AO24" s="21">
        <v>0.56999999999999995</v>
      </c>
      <c r="AP24" s="21">
        <v>0.56999999999999995</v>
      </c>
      <c r="AQ24" s="21">
        <v>0.56999999999999995</v>
      </c>
      <c r="AR24" s="21">
        <v>0.56999999999999995</v>
      </c>
      <c r="AS24" s="21">
        <v>0</v>
      </c>
      <c r="AT24" s="21">
        <v>0.33719704952581664</v>
      </c>
      <c r="AU24" s="21">
        <v>350</v>
      </c>
      <c r="AV24" s="21">
        <v>0.38988408851422551</v>
      </c>
      <c r="AW24" s="21">
        <v>400</v>
      </c>
      <c r="AX24" s="21">
        <v>0.33719704952581664</v>
      </c>
      <c r="AY24" s="21">
        <v>190</v>
      </c>
      <c r="AZ24" s="21">
        <v>0.38988408851422551</v>
      </c>
      <c r="BA24" s="21">
        <v>215</v>
      </c>
      <c r="BB24" s="21">
        <v>0.33719704952581664</v>
      </c>
      <c r="BC24" s="21">
        <v>190</v>
      </c>
      <c r="BD24" s="21">
        <v>0.38988408851422551</v>
      </c>
      <c r="BE24" s="21">
        <v>215</v>
      </c>
      <c r="BF24" s="21">
        <v>0.95</v>
      </c>
      <c r="BG24" s="21">
        <v>0.61880999999999997</v>
      </c>
      <c r="BI24">
        <f t="shared" si="0"/>
        <v>36429917.696534999</v>
      </c>
    </row>
    <row r="25" spans="1:61" ht="14.45">
      <c r="A25" s="37">
        <v>2020</v>
      </c>
      <c r="B25" s="9" t="s">
        <v>48</v>
      </c>
      <c r="C25" s="9" t="s">
        <v>63</v>
      </c>
      <c r="D25" s="22">
        <v>9976.8649999999998</v>
      </c>
      <c r="E25" s="22">
        <v>30439.88</v>
      </c>
      <c r="F25" s="22">
        <v>2244.2449999999999</v>
      </c>
      <c r="G25" s="10">
        <v>2059.6039999999998</v>
      </c>
      <c r="H25" s="10">
        <v>2244.2449999999999</v>
      </c>
      <c r="I25" s="10">
        <v>2059.6039999999998</v>
      </c>
      <c r="J25" s="10">
        <v>1048.2429999999999</v>
      </c>
      <c r="K25" s="10">
        <v>510.7174</v>
      </c>
      <c r="L25" s="10">
        <v>4726.8090000000002</v>
      </c>
      <c r="M25" s="10">
        <v>4046.0120000000002</v>
      </c>
      <c r="N25" s="22">
        <v>6915.6980000000003</v>
      </c>
      <c r="O25" s="22">
        <v>7145.933</v>
      </c>
      <c r="P25" s="22">
        <v>1733.3879999999999</v>
      </c>
      <c r="Q25" s="22">
        <v>5312.3860000000004</v>
      </c>
      <c r="R25" s="10">
        <v>1327.778</v>
      </c>
      <c r="S25" s="10">
        <v>17981.560000000001</v>
      </c>
      <c r="T25" s="10">
        <v>0</v>
      </c>
      <c r="U25" s="10">
        <v>10</v>
      </c>
      <c r="V25" s="10">
        <v>90</v>
      </c>
      <c r="W25" s="21">
        <v>350</v>
      </c>
      <c r="X25" s="21">
        <v>400</v>
      </c>
      <c r="Y25" s="21">
        <v>30</v>
      </c>
      <c r="Z25" s="21">
        <v>350</v>
      </c>
      <c r="AA25" s="21">
        <v>400</v>
      </c>
      <c r="AB25" s="21">
        <v>2.6</v>
      </c>
      <c r="AC25" s="21">
        <v>0.1</v>
      </c>
      <c r="AD25" s="21">
        <v>0.83</v>
      </c>
      <c r="AE25" s="9">
        <v>0.05</v>
      </c>
      <c r="AF25" s="9">
        <v>0.05</v>
      </c>
      <c r="AG25" s="21">
        <v>0.04</v>
      </c>
      <c r="AH25" s="21">
        <v>7.3841090539399995E-2</v>
      </c>
      <c r="AI25" s="21">
        <v>3.5000000000000003E-2</v>
      </c>
      <c r="AJ25" s="21">
        <v>0.21129999999999999</v>
      </c>
      <c r="AK25" s="21">
        <v>3.7999999999999999E-2</v>
      </c>
      <c r="AL25" s="96">
        <v>2.2227130000000002</v>
      </c>
      <c r="AM25" s="21">
        <v>0.56999999999999995</v>
      </c>
      <c r="AN25" s="21">
        <v>0.56999999999999995</v>
      </c>
      <c r="AO25" s="21">
        <v>0.56999999999999995</v>
      </c>
      <c r="AP25" s="21">
        <v>0.56999999999999995</v>
      </c>
      <c r="AQ25" s="21">
        <v>0.56999999999999995</v>
      </c>
      <c r="AR25" s="21">
        <v>0.56999999999999995</v>
      </c>
      <c r="AS25" s="21">
        <v>0</v>
      </c>
      <c r="AT25" s="21">
        <v>0.33719704952581664</v>
      </c>
      <c r="AU25" s="21">
        <v>350</v>
      </c>
      <c r="AV25" s="21">
        <v>0.38988408851422551</v>
      </c>
      <c r="AW25" s="21">
        <v>400</v>
      </c>
      <c r="AX25" s="21">
        <v>0.33719704952581664</v>
      </c>
      <c r="AY25" s="21">
        <v>190</v>
      </c>
      <c r="AZ25" s="21">
        <v>0.38988408851422551</v>
      </c>
      <c r="BA25" s="21">
        <v>215</v>
      </c>
      <c r="BB25" s="21">
        <v>0.33719704952581664</v>
      </c>
      <c r="BC25" s="21">
        <v>190</v>
      </c>
      <c r="BD25" s="21">
        <v>0.38988408851422551</v>
      </c>
      <c r="BE25" s="21">
        <v>215</v>
      </c>
      <c r="BF25" s="21">
        <v>0.95</v>
      </c>
      <c r="BG25" s="21">
        <v>0.68228</v>
      </c>
      <c r="BI25">
        <f t="shared" si="0"/>
        <v>11990354.151684001</v>
      </c>
    </row>
    <row r="26" spans="1:61" ht="14.45">
      <c r="A26" s="37">
        <v>2020</v>
      </c>
      <c r="B26" s="9" t="s">
        <v>52</v>
      </c>
      <c r="C26" s="9" t="s">
        <v>64</v>
      </c>
      <c r="D26" s="22">
        <v>17220.61</v>
      </c>
      <c r="E26" s="22">
        <v>14526.43</v>
      </c>
      <c r="F26" s="22">
        <v>994.34680000000003</v>
      </c>
      <c r="G26" s="10">
        <v>951.46630000000005</v>
      </c>
      <c r="H26" s="10">
        <v>994.34680000000003</v>
      </c>
      <c r="I26" s="10">
        <v>951.46630000000005</v>
      </c>
      <c r="J26" s="10">
        <v>784.15440000000001</v>
      </c>
      <c r="K26" s="10">
        <v>390.65210000000002</v>
      </c>
      <c r="L26" s="10">
        <v>3025.1179999999999</v>
      </c>
      <c r="M26" s="10">
        <v>2048.6149999999998</v>
      </c>
      <c r="N26" s="22">
        <v>11050.51</v>
      </c>
      <c r="O26" s="22">
        <v>6455.9229999999998</v>
      </c>
      <c r="P26" s="22">
        <v>5704.8370000000004</v>
      </c>
      <c r="Q26" s="22">
        <v>2055.0140000000001</v>
      </c>
      <c r="R26" s="10">
        <v>465.26060000000001</v>
      </c>
      <c r="S26" s="10">
        <v>6015.491</v>
      </c>
      <c r="T26" s="10">
        <v>0</v>
      </c>
      <c r="U26" s="10">
        <v>2.15</v>
      </c>
      <c r="V26" s="10">
        <v>97.85</v>
      </c>
      <c r="W26" s="21">
        <v>350</v>
      </c>
      <c r="X26" s="21">
        <v>400</v>
      </c>
      <c r="Y26" s="21">
        <v>30</v>
      </c>
      <c r="Z26" s="21">
        <v>350</v>
      </c>
      <c r="AA26" s="21">
        <v>400</v>
      </c>
      <c r="AB26" s="21">
        <v>2.6</v>
      </c>
      <c r="AC26" s="21">
        <v>0.1</v>
      </c>
      <c r="AD26" s="21">
        <v>0.83</v>
      </c>
      <c r="AE26" s="9">
        <v>0.05</v>
      </c>
      <c r="AF26" s="9">
        <v>0.05</v>
      </c>
      <c r="AG26" s="21">
        <v>0.03</v>
      </c>
      <c r="AH26" s="21">
        <v>7.7343744675199999E-2</v>
      </c>
      <c r="AI26" s="21">
        <v>3.5000000000000003E-2</v>
      </c>
      <c r="AJ26" s="21">
        <v>0.21129999999999999</v>
      </c>
      <c r="AK26" s="21">
        <v>3.7999999999999999E-2</v>
      </c>
      <c r="AL26" s="96">
        <v>3.5835499999999998</v>
      </c>
      <c r="AM26" s="21">
        <v>0.56999999999999995</v>
      </c>
      <c r="AN26" s="21">
        <v>0.56999999999999995</v>
      </c>
      <c r="AO26" s="21">
        <v>0.56999999999999995</v>
      </c>
      <c r="AP26" s="21">
        <v>0.56999999999999995</v>
      </c>
      <c r="AQ26" s="21">
        <v>0.56999999999999995</v>
      </c>
      <c r="AR26" s="21">
        <v>0.56999999999999995</v>
      </c>
      <c r="AS26" s="21">
        <v>0</v>
      </c>
      <c r="AT26" s="21">
        <v>0.33719704952581664</v>
      </c>
      <c r="AU26" s="21">
        <v>350</v>
      </c>
      <c r="AV26" s="21">
        <v>0.38988408851422551</v>
      </c>
      <c r="AW26" s="21">
        <v>400</v>
      </c>
      <c r="AX26" s="21">
        <v>0.33719704952581664</v>
      </c>
      <c r="AY26" s="21">
        <v>190</v>
      </c>
      <c r="AZ26" s="21">
        <v>0.38988408851422551</v>
      </c>
      <c r="BA26" s="21">
        <v>215</v>
      </c>
      <c r="BB26" s="21">
        <v>0.33719704952581664</v>
      </c>
      <c r="BC26" s="21">
        <v>190</v>
      </c>
      <c r="BD26" s="21">
        <v>0.38988408851422551</v>
      </c>
      <c r="BE26" s="21">
        <v>215</v>
      </c>
      <c r="BF26" s="21">
        <v>0.95</v>
      </c>
      <c r="BG26" s="21">
        <v>0.42242000000000002</v>
      </c>
      <c r="BI26">
        <f t="shared" si="0"/>
        <v>6467043.8319149995</v>
      </c>
    </row>
    <row r="27" spans="1:61" ht="14.45">
      <c r="A27" s="37">
        <v>2020</v>
      </c>
      <c r="B27" s="9" t="s">
        <v>48</v>
      </c>
      <c r="C27" s="9" t="s">
        <v>65</v>
      </c>
      <c r="D27" s="22">
        <v>6007.0069999999996</v>
      </c>
      <c r="E27" s="22">
        <v>29301.1</v>
      </c>
      <c r="F27" s="22">
        <v>1478.2460000000001</v>
      </c>
      <c r="G27" s="10">
        <v>1981.915</v>
      </c>
      <c r="H27" s="10">
        <v>1478.2460000000001</v>
      </c>
      <c r="I27" s="10">
        <v>1981.915</v>
      </c>
      <c r="J27" s="10">
        <v>691.69050000000004</v>
      </c>
      <c r="K27" s="10">
        <v>745.37760000000003</v>
      </c>
      <c r="L27" s="10">
        <v>5840.5739999999996</v>
      </c>
      <c r="M27" s="10">
        <v>6721.4620000000004</v>
      </c>
      <c r="N27" s="22">
        <v>4873.9679999999998</v>
      </c>
      <c r="O27" s="22">
        <v>5612.57</v>
      </c>
      <c r="P27" s="22">
        <v>1130.039</v>
      </c>
      <c r="Q27" s="22">
        <v>6899.9</v>
      </c>
      <c r="R27" s="10">
        <v>3</v>
      </c>
      <c r="S27" s="10">
        <v>16788.63</v>
      </c>
      <c r="T27" s="10">
        <v>1.32</v>
      </c>
      <c r="U27" s="10">
        <v>2.2200000000000002</v>
      </c>
      <c r="V27" s="10">
        <v>96.45</v>
      </c>
      <c r="W27" s="21">
        <v>350</v>
      </c>
      <c r="X27" s="21">
        <v>400</v>
      </c>
      <c r="Y27" s="21">
        <v>30</v>
      </c>
      <c r="Z27" s="21">
        <v>350</v>
      </c>
      <c r="AA27" s="21">
        <v>400</v>
      </c>
      <c r="AB27" s="21">
        <v>2.6</v>
      </c>
      <c r="AC27" s="21">
        <v>0.1</v>
      </c>
      <c r="AD27" s="21">
        <v>0.83</v>
      </c>
      <c r="AE27" s="9">
        <v>0.05</v>
      </c>
      <c r="AF27" s="9">
        <v>0.05</v>
      </c>
      <c r="AG27" s="21">
        <v>0.05</v>
      </c>
      <c r="AH27" s="21">
        <v>1.7869236501100001E-4</v>
      </c>
      <c r="AI27" s="21">
        <v>3.5000000000000003E-2</v>
      </c>
      <c r="AJ27" s="21">
        <v>0.21129999999999999</v>
      </c>
      <c r="AK27" s="21">
        <v>3.7999999999999999E-2</v>
      </c>
      <c r="AL27" s="96">
        <v>3.7609599999999999</v>
      </c>
      <c r="AM27" s="21">
        <v>0.56999999999999995</v>
      </c>
      <c r="AN27" s="21">
        <v>0.56999999999999995</v>
      </c>
      <c r="AO27" s="21">
        <v>0.56999999999999995</v>
      </c>
      <c r="AP27" s="21">
        <v>0.56999999999999995</v>
      </c>
      <c r="AQ27" s="21">
        <v>0.56999999999999995</v>
      </c>
      <c r="AR27" s="21">
        <v>0.56999999999999995</v>
      </c>
      <c r="AS27" s="21">
        <v>0</v>
      </c>
      <c r="AT27" s="21">
        <v>0.33719704952581664</v>
      </c>
      <c r="AU27" s="21">
        <v>350</v>
      </c>
      <c r="AV27" s="21">
        <v>0.38988408851422551</v>
      </c>
      <c r="AW27" s="21">
        <v>400</v>
      </c>
      <c r="AX27" s="21">
        <v>0.33719704952581664</v>
      </c>
      <c r="AY27" s="21">
        <v>190</v>
      </c>
      <c r="AZ27" s="21">
        <v>0.38988408851422551</v>
      </c>
      <c r="BA27" s="21">
        <v>215</v>
      </c>
      <c r="BB27" s="21">
        <v>0.33719704952581664</v>
      </c>
      <c r="BC27" s="21">
        <v>190</v>
      </c>
      <c r="BD27" s="21">
        <v>0.38988408851422551</v>
      </c>
      <c r="BE27" s="21">
        <v>215</v>
      </c>
      <c r="BF27" s="21">
        <v>0.95</v>
      </c>
      <c r="BG27" s="21">
        <v>0.67637000000000003</v>
      </c>
      <c r="BI27">
        <f t="shared" si="0"/>
        <v>18942409.765440002</v>
      </c>
    </row>
    <row r="28" spans="1:61" ht="14.45">
      <c r="A28" s="37">
        <v>2020</v>
      </c>
      <c r="B28" s="9" t="s">
        <v>44</v>
      </c>
      <c r="C28" s="9" t="s">
        <v>66</v>
      </c>
      <c r="D28" s="22">
        <v>436.25319999999999</v>
      </c>
      <c r="E28" s="22">
        <v>2642.6729999999998</v>
      </c>
      <c r="F28" s="22">
        <v>167.47120000000001</v>
      </c>
      <c r="G28" s="10">
        <v>49.37753</v>
      </c>
      <c r="H28" s="10">
        <v>167.47120000000001</v>
      </c>
      <c r="I28" s="10">
        <v>49.37753</v>
      </c>
      <c r="J28" s="10">
        <v>0</v>
      </c>
      <c r="K28" s="10">
        <v>138.1337</v>
      </c>
      <c r="L28" s="10">
        <v>247.9306</v>
      </c>
      <c r="M28" s="10">
        <v>649.53030000000001</v>
      </c>
      <c r="N28" s="22">
        <v>296.0453</v>
      </c>
      <c r="O28" s="22">
        <v>871.75379999999996</v>
      </c>
      <c r="P28" s="22">
        <v>42.165590000000002</v>
      </c>
      <c r="Q28" s="22">
        <v>479.7174</v>
      </c>
      <c r="R28" s="10">
        <v>98.042339999999996</v>
      </c>
      <c r="S28" s="10">
        <v>1291.202</v>
      </c>
      <c r="T28" s="10">
        <v>3</v>
      </c>
      <c r="U28" s="10">
        <v>3.01</v>
      </c>
      <c r="V28" s="10">
        <v>93.99</v>
      </c>
      <c r="W28" s="21">
        <v>350</v>
      </c>
      <c r="X28" s="21">
        <v>400</v>
      </c>
      <c r="Y28" s="21">
        <v>30</v>
      </c>
      <c r="Z28" s="21">
        <v>350</v>
      </c>
      <c r="AA28" s="21">
        <v>400</v>
      </c>
      <c r="AB28" s="21">
        <v>2.6</v>
      </c>
      <c r="AC28" s="21">
        <v>0.1</v>
      </c>
      <c r="AD28" s="21">
        <v>0.83</v>
      </c>
      <c r="AE28" s="9">
        <v>0.05</v>
      </c>
      <c r="AF28" s="9">
        <v>0.05</v>
      </c>
      <c r="AG28" s="21">
        <v>0.02</v>
      </c>
      <c r="AH28" s="21">
        <v>7.5931062684199996E-2</v>
      </c>
      <c r="AI28" s="21">
        <v>3.5000000000000003E-2</v>
      </c>
      <c r="AJ28" s="21">
        <v>0.21129999999999999</v>
      </c>
      <c r="AK28" s="21">
        <v>3.7999999999999999E-2</v>
      </c>
      <c r="AL28" s="96">
        <v>3.6538710000000001</v>
      </c>
      <c r="AM28" s="21">
        <v>0.56999999999999995</v>
      </c>
      <c r="AN28" s="21">
        <v>0.56999999999999995</v>
      </c>
      <c r="AO28" s="21">
        <v>0.56999999999999995</v>
      </c>
      <c r="AP28" s="21">
        <v>0.56999999999999995</v>
      </c>
      <c r="AQ28" s="21">
        <v>0.56999999999999995</v>
      </c>
      <c r="AR28" s="21">
        <v>0.56999999999999995</v>
      </c>
      <c r="AS28" s="21">
        <v>0</v>
      </c>
      <c r="AT28" s="21">
        <v>0.33719704952581664</v>
      </c>
      <c r="AU28" s="21">
        <v>350</v>
      </c>
      <c r="AV28" s="21">
        <v>0.38988408851422551</v>
      </c>
      <c r="AW28" s="21">
        <v>400</v>
      </c>
      <c r="AX28" s="21">
        <v>0.33719704952581664</v>
      </c>
      <c r="AY28" s="21">
        <v>190</v>
      </c>
      <c r="AZ28" s="21">
        <v>0.38988408851422551</v>
      </c>
      <c r="BA28" s="21">
        <v>215</v>
      </c>
      <c r="BB28" s="21">
        <v>0.33719704952581664</v>
      </c>
      <c r="BC28" s="21">
        <v>190</v>
      </c>
      <c r="BD28" s="21">
        <v>0.38988408851422551</v>
      </c>
      <c r="BE28" s="21">
        <v>215</v>
      </c>
      <c r="BF28" s="21">
        <v>0.95</v>
      </c>
      <c r="BG28" s="21">
        <v>0.67562</v>
      </c>
      <c r="BI28">
        <f t="shared" si="0"/>
        <v>1415365.6628826</v>
      </c>
    </row>
    <row r="29" spans="1:61" ht="14.45">
      <c r="A29" s="37">
        <v>2020</v>
      </c>
      <c r="B29" s="9" t="s">
        <v>48</v>
      </c>
      <c r="C29" s="9" t="s">
        <v>67</v>
      </c>
      <c r="D29" s="22">
        <v>4782.9340000000002</v>
      </c>
      <c r="E29" s="22">
        <v>18627.66</v>
      </c>
      <c r="F29" s="22">
        <v>569.13509999999997</v>
      </c>
      <c r="G29" s="10">
        <v>1094.9380000000001</v>
      </c>
      <c r="H29" s="10">
        <v>569.13509999999997</v>
      </c>
      <c r="I29" s="10">
        <v>1094.9380000000001</v>
      </c>
      <c r="J29" s="10">
        <v>368.1977</v>
      </c>
      <c r="K29" s="10">
        <v>213.47069999999999</v>
      </c>
      <c r="L29" s="10">
        <v>2926.8539999999998</v>
      </c>
      <c r="M29" s="10">
        <v>2759.2890000000002</v>
      </c>
      <c r="N29" s="22">
        <v>4192.4549999999999</v>
      </c>
      <c r="O29" s="22">
        <v>6362.4049999999997</v>
      </c>
      <c r="P29" s="22">
        <v>367.82139999999998</v>
      </c>
      <c r="Q29" s="22">
        <v>3376.2510000000002</v>
      </c>
      <c r="R29" s="10">
        <v>222.65809999999999</v>
      </c>
      <c r="S29" s="10">
        <v>8889</v>
      </c>
      <c r="T29" s="10">
        <v>0.01</v>
      </c>
      <c r="U29" s="10">
        <v>14.12</v>
      </c>
      <c r="V29" s="10">
        <v>85.87</v>
      </c>
      <c r="W29" s="21">
        <v>350</v>
      </c>
      <c r="X29" s="21">
        <v>400</v>
      </c>
      <c r="Y29" s="21">
        <v>30</v>
      </c>
      <c r="Z29" s="21">
        <v>350</v>
      </c>
      <c r="AA29" s="21">
        <v>400</v>
      </c>
      <c r="AB29" s="21">
        <v>2.6</v>
      </c>
      <c r="AC29" s="21">
        <v>0.1</v>
      </c>
      <c r="AD29" s="21">
        <v>0.83</v>
      </c>
      <c r="AE29" s="9">
        <v>0.05</v>
      </c>
      <c r="AF29" s="9">
        <v>0.05</v>
      </c>
      <c r="AG29" s="21">
        <v>0.03</v>
      </c>
      <c r="AH29" s="21">
        <v>2.5048723140999998E-2</v>
      </c>
      <c r="AI29" s="21">
        <v>3.5000000000000003E-2</v>
      </c>
      <c r="AJ29" s="21">
        <v>0.21129999999999999</v>
      </c>
      <c r="AK29" s="21">
        <v>3.7999999999999999E-2</v>
      </c>
      <c r="AL29" s="96">
        <v>3.4403959999999998</v>
      </c>
      <c r="AM29" s="21">
        <v>0.56999999999999995</v>
      </c>
      <c r="AN29" s="21">
        <v>0.56999999999999995</v>
      </c>
      <c r="AO29" s="21">
        <v>0.56999999999999995</v>
      </c>
      <c r="AP29" s="21">
        <v>0.56999999999999995</v>
      </c>
      <c r="AQ29" s="21">
        <v>0.56999999999999995</v>
      </c>
      <c r="AR29" s="21">
        <v>0.56999999999999995</v>
      </c>
      <c r="AS29" s="21">
        <v>0</v>
      </c>
      <c r="AT29" s="21">
        <v>0.33719704952581664</v>
      </c>
      <c r="AU29" s="21">
        <v>350</v>
      </c>
      <c r="AV29" s="21">
        <v>0.38988408851422551</v>
      </c>
      <c r="AW29" s="21">
        <v>400</v>
      </c>
      <c r="AX29" s="21">
        <v>0.33719704952581664</v>
      </c>
      <c r="AY29" s="21">
        <v>190</v>
      </c>
      <c r="AZ29" s="21">
        <v>0.38988408851422551</v>
      </c>
      <c r="BA29" s="21">
        <v>215</v>
      </c>
      <c r="BB29" s="21">
        <v>0.33719704952581664</v>
      </c>
      <c r="BC29" s="21">
        <v>190</v>
      </c>
      <c r="BD29" s="21">
        <v>0.38988408851422551</v>
      </c>
      <c r="BE29" s="21">
        <v>215</v>
      </c>
      <c r="BF29" s="21">
        <v>0.95</v>
      </c>
      <c r="BG29" s="21">
        <v>0.69144000000000005</v>
      </c>
      <c r="BI29">
        <f t="shared" si="0"/>
        <v>9174504.0131999999</v>
      </c>
    </row>
    <row r="30" spans="1:61" ht="14.45">
      <c r="A30" s="37">
        <v>2020</v>
      </c>
      <c r="B30" s="9" t="s">
        <v>52</v>
      </c>
      <c r="C30" s="9" t="s">
        <v>68</v>
      </c>
      <c r="D30" s="22">
        <v>5280.0739999999996</v>
      </c>
      <c r="E30" s="22">
        <v>20862.86</v>
      </c>
      <c r="F30" s="22">
        <v>862.89639999999997</v>
      </c>
      <c r="G30" s="10">
        <v>1127.4760000000001</v>
      </c>
      <c r="H30" s="10">
        <v>862.89639999999997</v>
      </c>
      <c r="I30" s="10">
        <v>1127.4760000000001</v>
      </c>
      <c r="J30" s="10">
        <v>7</v>
      </c>
      <c r="K30" s="10">
        <v>347.93329999999997</v>
      </c>
      <c r="L30" s="10">
        <v>4957.0230000000001</v>
      </c>
      <c r="M30" s="10">
        <v>4603.893</v>
      </c>
      <c r="N30" s="22">
        <v>4572.5820000000003</v>
      </c>
      <c r="O30" s="22">
        <v>5120.076</v>
      </c>
      <c r="P30" s="22">
        <v>686.49270000000001</v>
      </c>
      <c r="Q30" s="22">
        <v>3311.43</v>
      </c>
      <c r="R30" s="10">
        <v>21</v>
      </c>
      <c r="S30" s="10">
        <v>12431.36</v>
      </c>
      <c r="T30" s="10">
        <v>7.71</v>
      </c>
      <c r="U30" s="10">
        <v>17.52</v>
      </c>
      <c r="V30" s="10">
        <v>74.77</v>
      </c>
      <c r="W30" s="21">
        <v>350</v>
      </c>
      <c r="X30" s="21">
        <v>400</v>
      </c>
      <c r="Y30" s="21">
        <v>30</v>
      </c>
      <c r="Z30" s="21">
        <v>350</v>
      </c>
      <c r="AA30" s="21">
        <v>400</v>
      </c>
      <c r="AB30" s="21">
        <v>2.6</v>
      </c>
      <c r="AC30" s="21">
        <v>0.1</v>
      </c>
      <c r="AD30" s="21">
        <v>0.83</v>
      </c>
      <c r="AE30" s="9">
        <v>0.05</v>
      </c>
      <c r="AF30" s="9">
        <v>0.05</v>
      </c>
      <c r="AG30" s="21">
        <v>0.01</v>
      </c>
      <c r="AH30" s="21">
        <v>1.68927615321E-3</v>
      </c>
      <c r="AI30" s="21">
        <v>3.5000000000000003E-2</v>
      </c>
      <c r="AJ30" s="21">
        <v>0.21129999999999999</v>
      </c>
      <c r="AK30" s="21">
        <v>3.7999999999999999E-2</v>
      </c>
      <c r="AL30" s="96">
        <v>4.3870240000000003</v>
      </c>
      <c r="AM30" s="21">
        <v>0.56999999999999995</v>
      </c>
      <c r="AN30" s="21">
        <v>0.56999999999999995</v>
      </c>
      <c r="AO30" s="21">
        <v>0.56999999999999995</v>
      </c>
      <c r="AP30" s="21">
        <v>0.56999999999999995</v>
      </c>
      <c r="AQ30" s="21">
        <v>0.56999999999999995</v>
      </c>
      <c r="AR30" s="21">
        <v>0.56999999999999995</v>
      </c>
      <c r="AS30" s="21">
        <v>0</v>
      </c>
      <c r="AT30" s="21">
        <v>0.33719704952581664</v>
      </c>
      <c r="AU30" s="21">
        <v>350</v>
      </c>
      <c r="AV30" s="21">
        <v>0.38988408851422551</v>
      </c>
      <c r="AW30" s="21">
        <v>400</v>
      </c>
      <c r="AX30" s="21">
        <v>0.33719704952581664</v>
      </c>
      <c r="AY30" s="21">
        <v>190</v>
      </c>
      <c r="AZ30" s="21">
        <v>0.38988408851422551</v>
      </c>
      <c r="BA30" s="21">
        <v>215</v>
      </c>
      <c r="BB30" s="21">
        <v>0.33719704952581664</v>
      </c>
      <c r="BC30" s="21">
        <v>190</v>
      </c>
      <c r="BD30" s="21">
        <v>0.38988408851422551</v>
      </c>
      <c r="BE30" s="21">
        <v>215</v>
      </c>
      <c r="BF30" s="21">
        <v>0.95</v>
      </c>
      <c r="BG30" s="21">
        <v>0.75568999999999997</v>
      </c>
      <c r="BI30">
        <f t="shared" si="0"/>
        <v>16361002.401792003</v>
      </c>
    </row>
    <row r="31" spans="1:61" ht="14.45">
      <c r="A31" s="37">
        <v>2020</v>
      </c>
      <c r="B31" s="9" t="s">
        <v>48</v>
      </c>
      <c r="C31" s="9" t="s">
        <v>69</v>
      </c>
      <c r="D31" s="22">
        <v>7712.6530000000002</v>
      </c>
      <c r="E31" s="22">
        <v>29724.89</v>
      </c>
      <c r="F31" s="22">
        <v>1147.116</v>
      </c>
      <c r="G31" s="10">
        <v>1970.577</v>
      </c>
      <c r="H31" s="10">
        <v>1147.116</v>
      </c>
      <c r="I31" s="10">
        <v>1970.577</v>
      </c>
      <c r="J31" s="10">
        <v>777.06259999999997</v>
      </c>
      <c r="K31" s="10">
        <v>246.80109999999999</v>
      </c>
      <c r="L31" s="10">
        <v>6775.0950000000003</v>
      </c>
      <c r="M31" s="10">
        <v>6537.0910000000003</v>
      </c>
      <c r="N31" s="22">
        <v>6950.8860000000004</v>
      </c>
      <c r="O31" s="22">
        <v>7950.1809999999996</v>
      </c>
      <c r="P31" s="22">
        <v>511.53829999999999</v>
      </c>
      <c r="Q31" s="22">
        <v>4999.7950000000001</v>
      </c>
      <c r="R31" s="10">
        <v>250.2286</v>
      </c>
      <c r="S31" s="10">
        <v>16774.919999999998</v>
      </c>
      <c r="T31" s="10">
        <v>0.03</v>
      </c>
      <c r="U31" s="10">
        <v>3.64</v>
      </c>
      <c r="V31" s="10">
        <v>96.33</v>
      </c>
      <c r="W31" s="21">
        <v>350</v>
      </c>
      <c r="X31" s="21">
        <v>400</v>
      </c>
      <c r="Y31" s="21">
        <v>30</v>
      </c>
      <c r="Z31" s="21">
        <v>350</v>
      </c>
      <c r="AA31" s="21">
        <v>400</v>
      </c>
      <c r="AB31" s="21">
        <v>2.6</v>
      </c>
      <c r="AC31" s="21">
        <v>0.1</v>
      </c>
      <c r="AD31" s="21">
        <v>0.83</v>
      </c>
      <c r="AE31" s="9">
        <v>0.05</v>
      </c>
      <c r="AF31" s="9">
        <v>0.05</v>
      </c>
      <c r="AG31" s="21">
        <v>0.04</v>
      </c>
      <c r="AH31" s="21">
        <v>1.4916828217400001E-2</v>
      </c>
      <c r="AI31" s="21">
        <v>3.5000000000000003E-2</v>
      </c>
      <c r="AJ31" s="21">
        <v>0.21129999999999999</v>
      </c>
      <c r="AK31" s="21">
        <v>3.7999999999999999E-2</v>
      </c>
      <c r="AL31" s="96">
        <v>3.2441680000000002</v>
      </c>
      <c r="AM31" s="21">
        <v>0.56999999999999995</v>
      </c>
      <c r="AN31" s="21">
        <v>0.56999999999999995</v>
      </c>
      <c r="AO31" s="21">
        <v>0.56999999999999995</v>
      </c>
      <c r="AP31" s="21">
        <v>0.56999999999999995</v>
      </c>
      <c r="AQ31" s="21">
        <v>0.56999999999999995</v>
      </c>
      <c r="AR31" s="21">
        <v>0.56999999999999995</v>
      </c>
      <c r="AS31" s="21">
        <v>0</v>
      </c>
      <c r="AT31" s="21">
        <v>0.33719704952581664</v>
      </c>
      <c r="AU31" s="21">
        <v>350</v>
      </c>
      <c r="AV31" s="21">
        <v>0.38988408851422551</v>
      </c>
      <c r="AW31" s="21">
        <v>400</v>
      </c>
      <c r="AX31" s="21">
        <v>0.33719704952581664</v>
      </c>
      <c r="AY31" s="21">
        <v>190</v>
      </c>
      <c r="AZ31" s="21">
        <v>0.38988408851422551</v>
      </c>
      <c r="BA31" s="21">
        <v>215</v>
      </c>
      <c r="BB31" s="21">
        <v>0.33719704952581664</v>
      </c>
      <c r="BC31" s="21">
        <v>190</v>
      </c>
      <c r="BD31" s="21">
        <v>0.38988408851422551</v>
      </c>
      <c r="BE31" s="21">
        <v>215</v>
      </c>
      <c r="BF31" s="21">
        <v>0.95</v>
      </c>
      <c r="BG31" s="21">
        <v>0.74434999999999996</v>
      </c>
      <c r="BI31">
        <f t="shared" si="0"/>
        <v>16326197.599967999</v>
      </c>
    </row>
    <row r="32" spans="1:61" ht="14.45">
      <c r="A32" s="37">
        <v>2020</v>
      </c>
      <c r="B32" s="9" t="s">
        <v>41</v>
      </c>
      <c r="C32" s="9" t="s">
        <v>70</v>
      </c>
      <c r="D32" s="22">
        <v>10726.93</v>
      </c>
      <c r="E32" s="22">
        <v>32030.06</v>
      </c>
      <c r="F32" s="22">
        <v>2044.7940000000001</v>
      </c>
      <c r="G32" s="10">
        <v>1863.076</v>
      </c>
      <c r="H32" s="10">
        <v>2044.7940000000001</v>
      </c>
      <c r="I32" s="10">
        <v>1863.076</v>
      </c>
      <c r="J32" s="10">
        <v>244.18350000000001</v>
      </c>
      <c r="K32" s="10">
        <v>2230.069</v>
      </c>
      <c r="L32" s="10">
        <v>3739.8989999999999</v>
      </c>
      <c r="M32" s="10">
        <v>5840.1509999999998</v>
      </c>
      <c r="N32" s="22">
        <v>6521.9759999999997</v>
      </c>
      <c r="O32" s="22">
        <v>7189.5439999999999</v>
      </c>
      <c r="P32" s="22">
        <v>3510.2339999999999</v>
      </c>
      <c r="Q32" s="22">
        <v>7983.1369999999997</v>
      </c>
      <c r="R32" s="10">
        <v>694.71789999999999</v>
      </c>
      <c r="S32" s="10">
        <v>16857.38</v>
      </c>
      <c r="T32" s="10">
        <v>0.63</v>
      </c>
      <c r="U32" s="10">
        <v>0</v>
      </c>
      <c r="V32" s="10">
        <v>99.37</v>
      </c>
      <c r="W32" s="21">
        <v>350</v>
      </c>
      <c r="X32" s="21">
        <v>400</v>
      </c>
      <c r="Y32" s="21">
        <v>30</v>
      </c>
      <c r="Z32" s="21">
        <v>350</v>
      </c>
      <c r="AA32" s="21">
        <v>400</v>
      </c>
      <c r="AB32" s="21">
        <v>2.6</v>
      </c>
      <c r="AC32" s="21">
        <v>0.1</v>
      </c>
      <c r="AD32" s="21">
        <v>0.83</v>
      </c>
      <c r="AE32" s="9">
        <v>0.05</v>
      </c>
      <c r="AF32" s="9">
        <v>0.05</v>
      </c>
      <c r="AG32" s="21">
        <v>0.04</v>
      </c>
      <c r="AH32" s="21">
        <v>4.1211499058599999E-2</v>
      </c>
      <c r="AI32" s="21">
        <v>3.5000000000000003E-2</v>
      </c>
      <c r="AJ32" s="21">
        <v>0.21129999999999999</v>
      </c>
      <c r="AK32" s="21">
        <v>3.7999999999999999E-2</v>
      </c>
      <c r="AL32" s="96">
        <v>4.0638059999999996</v>
      </c>
      <c r="AM32" s="21">
        <v>0.56999999999999995</v>
      </c>
      <c r="AN32" s="21">
        <v>0.56999999999999995</v>
      </c>
      <c r="AO32" s="21">
        <v>0.56999999999999995</v>
      </c>
      <c r="AP32" s="21">
        <v>0.56999999999999995</v>
      </c>
      <c r="AQ32" s="21">
        <v>0.56999999999999995</v>
      </c>
      <c r="AR32" s="21">
        <v>0.56999999999999995</v>
      </c>
      <c r="AS32" s="21">
        <v>0</v>
      </c>
      <c r="AT32" s="21">
        <v>0.33719704952581664</v>
      </c>
      <c r="AU32" s="21">
        <v>350</v>
      </c>
      <c r="AV32" s="21">
        <v>0.38988408851422551</v>
      </c>
      <c r="AW32" s="21">
        <v>400</v>
      </c>
      <c r="AX32" s="21">
        <v>0.33719704952581664</v>
      </c>
      <c r="AY32" s="21">
        <v>190</v>
      </c>
      <c r="AZ32" s="21">
        <v>0.38988408851422551</v>
      </c>
      <c r="BA32" s="21">
        <v>215</v>
      </c>
      <c r="BB32" s="21">
        <v>0.33719704952581664</v>
      </c>
      <c r="BC32" s="21">
        <v>190</v>
      </c>
      <c r="BD32" s="21">
        <v>0.38988408851422551</v>
      </c>
      <c r="BE32" s="21">
        <v>215</v>
      </c>
      <c r="BF32" s="21">
        <v>0.95</v>
      </c>
      <c r="BG32" s="21">
        <v>0.58038000000000001</v>
      </c>
      <c r="BI32">
        <f t="shared" si="0"/>
        <v>20551536.596483998</v>
      </c>
    </row>
    <row r="33" spans="1:61" ht="14.45">
      <c r="A33" s="37">
        <v>2020</v>
      </c>
      <c r="B33" s="9" t="s">
        <v>52</v>
      </c>
      <c r="C33" s="9" t="s">
        <v>71</v>
      </c>
      <c r="D33" s="22">
        <v>3197.085</v>
      </c>
      <c r="E33" s="22">
        <v>7208.2579999999998</v>
      </c>
      <c r="F33" s="22">
        <v>224.9212</v>
      </c>
      <c r="G33" s="10">
        <v>303.87580000000003</v>
      </c>
      <c r="H33" s="10">
        <v>224.9212</v>
      </c>
      <c r="I33" s="10">
        <v>303.87580000000003</v>
      </c>
      <c r="J33" s="10">
        <v>0</v>
      </c>
      <c r="K33" s="10">
        <v>0</v>
      </c>
      <c r="L33" s="10">
        <v>644.86519999999996</v>
      </c>
      <c r="M33" s="10">
        <v>640.24689999999998</v>
      </c>
      <c r="N33" s="22">
        <v>2061.0320000000002</v>
      </c>
      <c r="O33" s="22">
        <v>1873.3720000000001</v>
      </c>
      <c r="P33" s="22">
        <v>536.6413</v>
      </c>
      <c r="Q33" s="22">
        <v>1623.2260000000001</v>
      </c>
      <c r="R33" s="10">
        <v>599.41219999999998</v>
      </c>
      <c r="S33" s="10">
        <v>3711.66</v>
      </c>
      <c r="T33" s="10">
        <v>0</v>
      </c>
      <c r="U33" s="10">
        <v>0</v>
      </c>
      <c r="V33" s="10">
        <v>100</v>
      </c>
      <c r="W33" s="21">
        <v>350</v>
      </c>
      <c r="X33" s="21">
        <v>400</v>
      </c>
      <c r="Y33" s="21">
        <v>30</v>
      </c>
      <c r="Z33" s="21">
        <v>350</v>
      </c>
      <c r="AA33" s="21">
        <v>400</v>
      </c>
      <c r="AB33" s="21">
        <v>2.6</v>
      </c>
      <c r="AC33" s="21">
        <v>0.1</v>
      </c>
      <c r="AD33" s="21">
        <v>0.83</v>
      </c>
      <c r="AE33" s="9">
        <v>0.05</v>
      </c>
      <c r="AF33" s="9">
        <v>0.05</v>
      </c>
      <c r="AG33" s="21">
        <v>0</v>
      </c>
      <c r="AH33" s="21">
        <v>0.16149437179100001</v>
      </c>
      <c r="AI33" s="21">
        <v>3.5000000000000003E-2</v>
      </c>
      <c r="AJ33" s="21">
        <v>0.21129999999999999</v>
      </c>
      <c r="AK33" s="21">
        <v>3.7999999999999999E-2</v>
      </c>
      <c r="AL33" s="96">
        <v>2.7419509999999998</v>
      </c>
      <c r="AM33" s="21">
        <v>0.56999999999999995</v>
      </c>
      <c r="AN33" s="21">
        <v>0.56999999999999995</v>
      </c>
      <c r="AO33" s="21">
        <v>0.56999999999999995</v>
      </c>
      <c r="AP33" s="21">
        <v>0.56999999999999995</v>
      </c>
      <c r="AQ33" s="21">
        <v>0.56999999999999995</v>
      </c>
      <c r="AR33" s="21">
        <v>0.56999999999999995</v>
      </c>
      <c r="AS33" s="21">
        <v>0</v>
      </c>
      <c r="AT33" s="21">
        <v>0.33719704952581664</v>
      </c>
      <c r="AU33" s="21">
        <v>350</v>
      </c>
      <c r="AV33" s="21">
        <v>0.38988408851422551</v>
      </c>
      <c r="AW33" s="21">
        <v>400</v>
      </c>
      <c r="AX33" s="21">
        <v>0.33719704952581664</v>
      </c>
      <c r="AY33" s="21">
        <v>190</v>
      </c>
      <c r="AZ33" s="21">
        <v>0.38988408851422551</v>
      </c>
      <c r="BA33" s="21">
        <v>215</v>
      </c>
      <c r="BB33" s="21">
        <v>0.33719704952581664</v>
      </c>
      <c r="BC33" s="21">
        <v>190</v>
      </c>
      <c r="BD33" s="21">
        <v>0.38988408851422551</v>
      </c>
      <c r="BE33" s="21">
        <v>215</v>
      </c>
      <c r="BF33" s="21">
        <v>0.95</v>
      </c>
      <c r="BG33" s="21">
        <v>0.57359000000000004</v>
      </c>
      <c r="BI33">
        <f t="shared" si="0"/>
        <v>3053156.9545979993</v>
      </c>
    </row>
    <row r="34" spans="1:61" ht="14.45">
      <c r="A34" s="37">
        <v>2020</v>
      </c>
      <c r="B34" s="9" t="s">
        <v>52</v>
      </c>
      <c r="C34" s="9" t="s">
        <v>72</v>
      </c>
      <c r="D34" s="22">
        <v>6885.5870000000004</v>
      </c>
      <c r="E34" s="22">
        <v>21829.360000000001</v>
      </c>
      <c r="F34" s="22">
        <v>632.42729999999995</v>
      </c>
      <c r="G34" s="10">
        <v>423.35140000000001</v>
      </c>
      <c r="H34" s="10">
        <v>632.42729999999995</v>
      </c>
      <c r="I34" s="10">
        <v>423.35140000000001</v>
      </c>
      <c r="J34" s="10">
        <v>5</v>
      </c>
      <c r="K34" s="10">
        <v>13</v>
      </c>
      <c r="L34" s="10">
        <v>2947.0569999999998</v>
      </c>
      <c r="M34" s="10">
        <v>3997.97</v>
      </c>
      <c r="N34" s="22">
        <v>5068.3209999999999</v>
      </c>
      <c r="O34" s="22">
        <v>6751.5829999999996</v>
      </c>
      <c r="P34" s="22">
        <v>1335.075</v>
      </c>
      <c r="Q34" s="22">
        <v>3767.3310000000001</v>
      </c>
      <c r="R34" s="10">
        <v>482.19040000000001</v>
      </c>
      <c r="S34" s="10">
        <v>11310.44</v>
      </c>
      <c r="T34" s="10">
        <v>2.66</v>
      </c>
      <c r="U34" s="10">
        <v>4.9800000000000004</v>
      </c>
      <c r="V34" s="10">
        <v>92.35</v>
      </c>
      <c r="W34" s="21">
        <v>350</v>
      </c>
      <c r="X34" s="21">
        <v>400</v>
      </c>
      <c r="Y34" s="21">
        <v>30</v>
      </c>
      <c r="Z34" s="21">
        <v>350</v>
      </c>
      <c r="AA34" s="21">
        <v>400</v>
      </c>
      <c r="AB34" s="21">
        <v>2.6</v>
      </c>
      <c r="AC34" s="21">
        <v>0.1</v>
      </c>
      <c r="AD34" s="21">
        <v>0.83</v>
      </c>
      <c r="AE34" s="9">
        <v>0.05</v>
      </c>
      <c r="AF34" s="9">
        <v>0.05</v>
      </c>
      <c r="AG34" s="21">
        <v>0</v>
      </c>
      <c r="AH34" s="21">
        <v>4.2632329069400003E-2</v>
      </c>
      <c r="AI34" s="21">
        <v>3.5000000000000003E-2</v>
      </c>
      <c r="AJ34" s="21">
        <v>0.21129999999999999</v>
      </c>
      <c r="AK34" s="21">
        <v>3.7999999999999999E-2</v>
      </c>
      <c r="AL34" s="96">
        <v>3.193098</v>
      </c>
      <c r="AM34" s="21">
        <v>0.56999999999999995</v>
      </c>
      <c r="AN34" s="21">
        <v>0.56999999999999995</v>
      </c>
      <c r="AO34" s="21">
        <v>0.56999999999999995</v>
      </c>
      <c r="AP34" s="21">
        <v>0.56999999999999995</v>
      </c>
      <c r="AQ34" s="21">
        <v>0.56999999999999995</v>
      </c>
      <c r="AR34" s="21">
        <v>0.56999999999999995</v>
      </c>
      <c r="AS34" s="21">
        <v>0</v>
      </c>
      <c r="AT34" s="21">
        <v>0.33719704952581664</v>
      </c>
      <c r="AU34" s="21">
        <v>350</v>
      </c>
      <c r="AV34" s="21">
        <v>0.38988408851422551</v>
      </c>
      <c r="AW34" s="21">
        <v>400</v>
      </c>
      <c r="AX34" s="21">
        <v>0.33719704952581664</v>
      </c>
      <c r="AY34" s="21">
        <v>190</v>
      </c>
      <c r="AZ34" s="21">
        <v>0.38988408851422551</v>
      </c>
      <c r="BA34" s="21">
        <v>215</v>
      </c>
      <c r="BB34" s="21">
        <v>0.33719704952581664</v>
      </c>
      <c r="BC34" s="21">
        <v>190</v>
      </c>
      <c r="BD34" s="21">
        <v>0.38988408851422551</v>
      </c>
      <c r="BE34" s="21">
        <v>215</v>
      </c>
      <c r="BF34" s="21">
        <v>0.95</v>
      </c>
      <c r="BG34" s="21">
        <v>0.66944999999999999</v>
      </c>
      <c r="BI34">
        <f t="shared" si="0"/>
        <v>10834603.002936</v>
      </c>
    </row>
    <row r="35" spans="1:61" ht="14.45">
      <c r="A35" s="37">
        <v>2020</v>
      </c>
      <c r="B35" s="9" t="s">
        <v>39</v>
      </c>
      <c r="C35" s="9" t="s">
        <v>73</v>
      </c>
      <c r="D35" s="22">
        <v>3991.4479999999999</v>
      </c>
      <c r="E35" s="22">
        <v>24167.69</v>
      </c>
      <c r="F35" s="22">
        <v>326.52999999999997</v>
      </c>
      <c r="G35" s="10">
        <v>1872.6890000000001</v>
      </c>
      <c r="H35" s="10">
        <v>326.52999999999997</v>
      </c>
      <c r="I35" s="10">
        <v>1872.6890000000001</v>
      </c>
      <c r="J35" s="10">
        <v>576.17629999999997</v>
      </c>
      <c r="K35" s="10">
        <v>1450.5070000000001</v>
      </c>
      <c r="L35" s="10">
        <v>4351.7950000000001</v>
      </c>
      <c r="M35" s="10">
        <v>4505.8389999999999</v>
      </c>
      <c r="N35" s="22">
        <v>2926.3180000000002</v>
      </c>
      <c r="O35" s="22">
        <v>5700.924</v>
      </c>
      <c r="P35" s="22">
        <v>1052.1300000000001</v>
      </c>
      <c r="Q35" s="22">
        <v>5285.3689999999997</v>
      </c>
      <c r="R35" s="10">
        <v>13</v>
      </c>
      <c r="S35" s="10">
        <v>13181.39</v>
      </c>
      <c r="T35" s="10">
        <v>0.13</v>
      </c>
      <c r="U35" s="10">
        <v>0</v>
      </c>
      <c r="V35" s="10">
        <v>99.87</v>
      </c>
      <c r="W35" s="21">
        <v>350</v>
      </c>
      <c r="X35" s="21">
        <v>400</v>
      </c>
      <c r="Y35" s="21">
        <v>30</v>
      </c>
      <c r="Z35" s="21">
        <v>350</v>
      </c>
      <c r="AA35" s="21">
        <v>400</v>
      </c>
      <c r="AB35" s="21">
        <v>2.6</v>
      </c>
      <c r="AC35" s="21">
        <v>0.1</v>
      </c>
      <c r="AD35" s="21">
        <v>0.83</v>
      </c>
      <c r="AE35" s="9">
        <v>0.05</v>
      </c>
      <c r="AF35" s="9">
        <v>0.05</v>
      </c>
      <c r="AG35" s="21">
        <v>0.08</v>
      </c>
      <c r="AH35" s="21">
        <v>9.8623893231299998E-4</v>
      </c>
      <c r="AI35" s="21">
        <v>3.5000000000000003E-2</v>
      </c>
      <c r="AJ35" s="21">
        <v>0.21129999999999999</v>
      </c>
      <c r="AK35" s="21">
        <v>3.7999999999999999E-2</v>
      </c>
      <c r="AL35" s="96">
        <v>4.7644120000000001</v>
      </c>
      <c r="AM35" s="21">
        <v>0.56999999999999995</v>
      </c>
      <c r="AN35" s="21">
        <v>0.56999999999999995</v>
      </c>
      <c r="AO35" s="21">
        <v>0.56999999999999995</v>
      </c>
      <c r="AP35" s="21">
        <v>0.56999999999999995</v>
      </c>
      <c r="AQ35" s="21">
        <v>0.56999999999999995</v>
      </c>
      <c r="AR35" s="21">
        <v>0.56999999999999995</v>
      </c>
      <c r="AS35" s="21">
        <v>0</v>
      </c>
      <c r="AT35" s="21">
        <v>0.33719704952581664</v>
      </c>
      <c r="AU35" s="21">
        <v>350</v>
      </c>
      <c r="AV35" s="21">
        <v>0.38988408851422551</v>
      </c>
      <c r="AW35" s="21">
        <v>400</v>
      </c>
      <c r="AX35" s="21">
        <v>0.33719704952581664</v>
      </c>
      <c r="AY35" s="21">
        <v>190</v>
      </c>
      <c r="AZ35" s="21">
        <v>0.38988408851422551</v>
      </c>
      <c r="BA35" s="21">
        <v>215</v>
      </c>
      <c r="BB35" s="21">
        <v>0.33719704952581664</v>
      </c>
      <c r="BC35" s="21">
        <v>190</v>
      </c>
      <c r="BD35" s="21">
        <v>0.38988408851422551</v>
      </c>
      <c r="BE35" s="21">
        <v>215</v>
      </c>
      <c r="BF35" s="21">
        <v>0.95</v>
      </c>
      <c r="BG35" s="21">
        <v>0.67486999999999997</v>
      </c>
      <c r="BI35">
        <f t="shared" si="0"/>
        <v>18840471.807804</v>
      </c>
    </row>
    <row r="36" spans="1:61" ht="14.45">
      <c r="D36" s="156">
        <f>SUM(D6:D35)</f>
        <v>234634.3058</v>
      </c>
      <c r="E36" s="156">
        <f>SUM(E6:E35)</f>
        <v>731603.02500000002</v>
      </c>
      <c r="S36" s="76">
        <f>SUM(S6:S35)</f>
        <v>390809.59399999992</v>
      </c>
      <c r="AE36">
        <f>AVERAGE(AE6:AE35)</f>
        <v>5.0000000000000024E-2</v>
      </c>
      <c r="AF36">
        <f t="shared" ref="AF36:AG36" si="1">AVERAGE(AF6:AF35)</f>
        <v>5.0000000000000024E-2</v>
      </c>
      <c r="AG36" s="150">
        <f t="shared" si="1"/>
        <v>3.4666666666666686E-2</v>
      </c>
      <c r="AL36" s="149">
        <f>AVERAGE(AL6:AL35)</f>
        <v>3.4483267666666668</v>
      </c>
      <c r="BI36" s="140">
        <f>SUM(BI6:BI35)</f>
        <v>401347777.09729528</v>
      </c>
    </row>
    <row r="37" spans="1:61" ht="14.45">
      <c r="S37" s="76"/>
    </row>
    <row r="38" spans="1:61" ht="14.45">
      <c r="S38" s="76"/>
      <c r="AL38" s="131"/>
    </row>
    <row r="39" spans="1:61" ht="14.45">
      <c r="S39" s="76"/>
    </row>
    <row r="40" spans="1:61" ht="14.45">
      <c r="S40" s="76"/>
    </row>
    <row r="41" spans="1:61" ht="14.45">
      <c r="S41" s="76"/>
    </row>
    <row r="42" spans="1:61" ht="14.45">
      <c r="S42" s="76"/>
    </row>
    <row r="43" spans="1:61" ht="14.45">
      <c r="S43" s="76"/>
    </row>
    <row r="44" spans="1:61" ht="14.45">
      <c r="S44" s="76"/>
    </row>
  </sheetData>
  <sortState xmlns:xlrd2="http://schemas.microsoft.com/office/spreadsheetml/2017/richdata2" ref="A6:BG35">
    <sortCondition ref="C6:C35"/>
  </sortState>
  <mergeCells count="9">
    <mergeCell ref="N4:O4"/>
    <mergeCell ref="P4:Q4"/>
    <mergeCell ref="R4:S4"/>
    <mergeCell ref="T4:V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E15"/>
  <sheetViews>
    <sheetView workbookViewId="0">
      <selection activeCell="B21" sqref="B21"/>
    </sheetView>
  </sheetViews>
  <sheetFormatPr defaultColWidth="8.85546875" defaultRowHeight="14.45"/>
  <cols>
    <col min="1" max="1" width="47.28515625" bestFit="1" customWidth="1"/>
    <col min="2" max="2" width="42.85546875" style="8" bestFit="1" customWidth="1"/>
    <col min="3" max="3" width="14.140625" bestFit="1" customWidth="1"/>
    <col min="4" max="4" width="31" customWidth="1"/>
  </cols>
  <sheetData>
    <row r="2" spans="1:5">
      <c r="A2" s="17" t="s">
        <v>250</v>
      </c>
      <c r="B2" s="25">
        <v>0.56999999999999995</v>
      </c>
      <c r="D2" t="s">
        <v>128</v>
      </c>
    </row>
    <row r="3" spans="1:5">
      <c r="A3" s="17" t="s">
        <v>234</v>
      </c>
      <c r="B3" s="25" t="s">
        <v>251</v>
      </c>
      <c r="C3" t="s">
        <v>236</v>
      </c>
      <c r="D3" t="s">
        <v>115</v>
      </c>
      <c r="E3" s="20" t="s">
        <v>116</v>
      </c>
    </row>
    <row r="4" spans="1:5">
      <c r="A4" s="17" t="s">
        <v>203</v>
      </c>
      <c r="B4" s="25">
        <v>400</v>
      </c>
      <c r="C4" t="s">
        <v>114</v>
      </c>
      <c r="D4" t="s">
        <v>115</v>
      </c>
      <c r="E4" s="20" t="s">
        <v>116</v>
      </c>
    </row>
    <row r="5" spans="1:5">
      <c r="A5" s="17" t="s">
        <v>204</v>
      </c>
      <c r="B5" s="11">
        <v>450</v>
      </c>
      <c r="C5" t="s">
        <v>114</v>
      </c>
      <c r="D5" t="s">
        <v>115</v>
      </c>
      <c r="E5" s="20" t="s">
        <v>116</v>
      </c>
    </row>
    <row r="6" spans="1:5">
      <c r="A6" s="17" t="s">
        <v>245</v>
      </c>
      <c r="B6" s="11">
        <v>35</v>
      </c>
      <c r="C6" t="s">
        <v>114</v>
      </c>
      <c r="D6" t="s">
        <v>115</v>
      </c>
      <c r="E6" s="20" t="s">
        <v>116</v>
      </c>
    </row>
    <row r="7" spans="1:5">
      <c r="A7" s="17" t="s">
        <v>237</v>
      </c>
      <c r="B7" s="28" t="s">
        <v>238</v>
      </c>
    </row>
    <row r="8" spans="1:5">
      <c r="A8" s="18" t="s">
        <v>109</v>
      </c>
      <c r="B8" s="27">
        <v>3.5</v>
      </c>
      <c r="C8" t="s">
        <v>128</v>
      </c>
    </row>
    <row r="9" spans="1:5">
      <c r="A9" s="18" t="s">
        <v>111</v>
      </c>
      <c r="B9" s="27">
        <v>3.8</v>
      </c>
      <c r="C9" t="s">
        <v>128</v>
      </c>
    </row>
    <row r="10" spans="1:5">
      <c r="A10" s="18" t="s">
        <v>129</v>
      </c>
      <c r="B10" s="37" t="s">
        <v>130</v>
      </c>
      <c r="C10" t="s">
        <v>131</v>
      </c>
    </row>
    <row r="11" spans="1:5">
      <c r="A11" s="18" t="s">
        <v>132</v>
      </c>
      <c r="B11" s="37" t="s">
        <v>133</v>
      </c>
      <c r="C11" t="s">
        <v>131</v>
      </c>
    </row>
    <row r="12" spans="1:5">
      <c r="A12" s="17" t="s">
        <v>121</v>
      </c>
      <c r="B12" s="40">
        <v>0.05</v>
      </c>
      <c r="C12" t="s">
        <v>241</v>
      </c>
    </row>
    <row r="13" spans="1:5">
      <c r="A13" s="17" t="s">
        <v>123</v>
      </c>
      <c r="B13" s="40">
        <v>0.05</v>
      </c>
      <c r="C13" t="s">
        <v>241</v>
      </c>
    </row>
    <row r="15" spans="1:5">
      <c r="B15" s="41"/>
    </row>
  </sheetData>
  <hyperlinks>
    <hyperlink ref="E5" r:id="rId1" xr:uid="{00000000-0004-0000-0700-000000000000}"/>
    <hyperlink ref="E6" r:id="rId2" xr:uid="{00000000-0004-0000-0700-000001000000}"/>
    <hyperlink ref="E4" r:id="rId3" xr:uid="{00000000-0004-0000-0700-000002000000}"/>
    <hyperlink ref="E3" r:id="rId4" xr:uid="{00000000-0004-0000-0700-000003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andtime xmlns="505ccb20-7403-45a6-b481-ca1dd862337d" xsi:nil="true"/>
    <TaxCatchAll xmlns="e5565b3b-de73-408f-92ec-2a950ff896c8" xsi:nil="true"/>
    <lcf76f155ced4ddcb4097134ff3c332f xmlns="505ccb20-7403-45a6-b481-ca1dd862337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E8E24-B604-43EF-9F73-543A020B9C75}"/>
</file>

<file path=customXml/itemProps2.xml><?xml version="1.0" encoding="utf-8"?>
<ds:datastoreItem xmlns:ds="http://schemas.openxmlformats.org/officeDocument/2006/customXml" ds:itemID="{697CBF3A-8094-4B03-B95F-9C3C561DA15E}"/>
</file>

<file path=customXml/itemProps3.xml><?xml version="1.0" encoding="utf-8"?>
<ds:datastoreItem xmlns:ds="http://schemas.openxmlformats.org/officeDocument/2006/customXml" ds:itemID="{1F32110C-C7FA-46BF-ACC3-0CD1DA5882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FAO of the UN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Rulli, Monica (AGAL)</dc:creator>
  <cp:keywords/>
  <dc:description/>
  <cp:lastModifiedBy>Vallet, Julien (CFIA)</cp:lastModifiedBy>
  <cp:revision/>
  <dcterms:created xsi:type="dcterms:W3CDTF">2022-09-20T14:08:52Z</dcterms:created>
  <dcterms:modified xsi:type="dcterms:W3CDTF">2025-03-05T09:06:32Z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  <property fmtid="{D5CDD505-2E9C-101B-9397-08002B2CF9AE}" pid="4" name="Order">
    <vt:r8>6100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