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comments7.xml" ContentType="application/vnd.openxmlformats-officedocument.spreadsheetml.comments+xml"/>
  <Override PartName="/xl/threadedComments/threadedComment6.xml" ContentType="application/vnd.ms-excel.threadedcomments+xml"/>
  <Override PartName="/xl/comments8.xml" ContentType="application/vnd.openxmlformats-officedocument.spreadsheetml.comments+xml"/>
  <Override PartName="/xl/threadedComments/threadedComment7.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defaultThemeVersion="166925"/>
  <mc:AlternateContent xmlns:mc="http://schemas.openxmlformats.org/markup-compatibility/2006">
    <mc:Choice Requires="x15">
      <x15ac:absPath xmlns:x15ac="http://schemas.microsoft.com/office/spreadsheetml/2010/11/ac" url="https://ifad.sharepoint.com/sites/IFAD-DaIMAGCF/Shared Documents/Funding Proposal/IDR1/Annex 22 Assessment of GHG Emission Reductions/"/>
    </mc:Choice>
  </mc:AlternateContent>
  <xr:revisionPtr revIDLastSave="34" documentId="13_ncr:1_{CE686DFF-10BE-4644-9E86-2735B53D70DF}" xr6:coauthVersionLast="47" xr6:coauthVersionMax="47" xr10:uidLastSave="{C40A5677-02F7-42F1-AE70-B90FB6072A5C}"/>
  <bookViews>
    <workbookView xWindow="-120" yWindow="-120" windowWidth="29040" windowHeight="15840" tabRatio="877" firstSheet="9" xr2:uid="{A9F4E3EA-0CF4-4C54-BF62-0FB30E4FFF38}"/>
  </bookViews>
  <sheets>
    <sheet name="Summary Tables_New target" sheetId="19" r:id="rId1"/>
    <sheet name="Raw Results_new target" sheetId="16" r:id="rId2"/>
    <sheet name="Data Inputs - UG_New target" sheetId="15" r:id="rId3"/>
    <sheet name="Feuil3" sheetId="26" state="hidden" r:id="rId4"/>
    <sheet name="Assumptions_Feed" sheetId="22" state="hidden" r:id="rId5"/>
    <sheet name="Feuil2" sheetId="24" state="hidden" r:id="rId6"/>
    <sheet name="Feuil1" sheetId="23" state="hidden" r:id="rId7"/>
    <sheet name="Feed intake" sheetId="25" state="hidden" r:id="rId8"/>
    <sheet name="Animal &amp; HH Numbers 2008" sheetId="4" state="hidden" r:id="rId9"/>
    <sheet name="Animal &amp; HH Numbers Baseline" sheetId="12" r:id="rId10"/>
    <sheet name="Animal &amp; HH Numbers WOP" sheetId="13" state="hidden" r:id="rId11"/>
    <sheet name="Animal &amp; HH Numbers WP" sheetId="14" state="hidden" r:id="rId12"/>
    <sheet name="Herd_2020_PS" sheetId="1" state="hidden" r:id="rId13"/>
    <sheet name="Uganda_herd2020" sheetId="2" state="hidden" r:id="rId14"/>
    <sheet name="Data Inputs - UG" sheetId="3" state="hidden" r:id="rId15"/>
  </sheets>
  <externalReferences>
    <externalReference r:id="rId16"/>
    <externalReference r:id="rId17"/>
    <externalReference r:id="rId18"/>
    <externalReference r:id="rId19"/>
    <externalReference r:id="rId20"/>
  </externalReferences>
  <definedNames>
    <definedName name="_xlnm._FilterDatabase" localSheetId="8" hidden="1">'Animal &amp; HH Numbers 2008'!$C$33:$D$68</definedName>
    <definedName name="_xlnm._FilterDatabase" localSheetId="9" hidden="1">'Animal &amp; HH Numbers Baseline'!$C$33:$D$68</definedName>
    <definedName name="_xlnm._FilterDatabase" localSheetId="10" hidden="1">'Animal &amp; HH Numbers WOP'!$C$33:$D$68</definedName>
    <definedName name="_xlnm._FilterDatabase" localSheetId="11" hidden="1">'Animal &amp; HH Numbers WP'!$C$33:$D$68</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8" i="14" l="1"/>
  <c r="P17" i="2"/>
  <c r="AL12" i="19"/>
  <c r="AL13" i="19"/>
  <c r="AL14" i="19"/>
  <c r="AL15" i="19"/>
  <c r="AL16" i="19"/>
  <c r="AL17" i="19"/>
  <c r="AL18" i="19"/>
  <c r="AL19" i="19"/>
  <c r="AL20" i="19"/>
  <c r="AL21" i="19"/>
  <c r="AL22" i="19"/>
  <c r="AL23" i="19"/>
  <c r="AL24" i="19"/>
  <c r="AL25" i="19"/>
  <c r="AL26" i="19"/>
  <c r="AL27" i="19"/>
  <c r="AL28" i="19"/>
  <c r="AL29" i="19"/>
  <c r="AL30" i="19"/>
  <c r="AL31" i="19"/>
  <c r="AL11" i="19"/>
  <c r="AD25" i="19"/>
  <c r="AC25" i="19"/>
  <c r="AH4" i="19"/>
  <c r="AG4" i="19"/>
  <c r="E91" i="15"/>
  <c r="F91" i="15"/>
  <c r="D91" i="15"/>
  <c r="F17" i="26"/>
  <c r="F14" i="26"/>
  <c r="E14" i="26"/>
  <c r="T20" i="13"/>
  <c r="T20" i="4"/>
  <c r="T20" i="12"/>
  <c r="U20" i="4"/>
  <c r="U20" i="13"/>
  <c r="U20" i="12"/>
  <c r="H34" i="12"/>
  <c r="D50" i="25"/>
  <c r="F50" i="25"/>
  <c r="F51" i="25"/>
  <c r="G50" i="25"/>
  <c r="H50" i="25"/>
  <c r="I50" i="25"/>
  <c r="J50" i="25"/>
  <c r="J51" i="25"/>
  <c r="K50" i="25"/>
  <c r="K52" i="25"/>
  <c r="K54" i="25"/>
  <c r="K58" i="25"/>
  <c r="L50" i="25"/>
  <c r="L51" i="25"/>
  <c r="M50" i="25"/>
  <c r="M51" i="25"/>
  <c r="N50" i="25"/>
  <c r="N51" i="25"/>
  <c r="O50" i="25"/>
  <c r="O51" i="25"/>
  <c r="P50" i="25"/>
  <c r="D51" i="25"/>
  <c r="G51" i="25"/>
  <c r="H51" i="25"/>
  <c r="I51" i="25"/>
  <c r="K51" i="25"/>
  <c r="P51" i="25"/>
  <c r="D52" i="25"/>
  <c r="F52" i="25"/>
  <c r="F54" i="25"/>
  <c r="F58" i="25"/>
  <c r="G52" i="25"/>
  <c r="G54" i="25"/>
  <c r="G58" i="25"/>
  <c r="H52" i="25"/>
  <c r="H54" i="25"/>
  <c r="H58" i="25"/>
  <c r="I52" i="25"/>
  <c r="I54" i="25"/>
  <c r="I58" i="25"/>
  <c r="N52" i="25"/>
  <c r="O52" i="25"/>
  <c r="P52" i="25"/>
  <c r="D53" i="25"/>
  <c r="F53" i="25"/>
  <c r="G53" i="25"/>
  <c r="H53" i="25"/>
  <c r="I53" i="25"/>
  <c r="J53" i="25"/>
  <c r="K53" i="25"/>
  <c r="L53" i="25"/>
  <c r="M53" i="25"/>
  <c r="N53" i="25"/>
  <c r="O53" i="25"/>
  <c r="P53" i="25"/>
  <c r="D54" i="25"/>
  <c r="D58" i="25"/>
  <c r="C58" i="25"/>
  <c r="C54" i="25"/>
  <c r="C53" i="25"/>
  <c r="C52" i="25"/>
  <c r="C51" i="25"/>
  <c r="C50" i="25"/>
  <c r="D49" i="25"/>
  <c r="E49" i="25"/>
  <c r="E50" i="25"/>
  <c r="F49" i="25"/>
  <c r="G49" i="25"/>
  <c r="H49" i="25"/>
  <c r="I49" i="25"/>
  <c r="J49" i="25"/>
  <c r="K49" i="25"/>
  <c r="L49" i="25"/>
  <c r="M49" i="25"/>
  <c r="N49" i="25"/>
  <c r="O49" i="25"/>
  <c r="P49" i="25"/>
  <c r="Q49" i="25"/>
  <c r="Q50" i="25"/>
  <c r="C49" i="25"/>
  <c r="I43" i="25"/>
  <c r="I44" i="25"/>
  <c r="J43" i="25"/>
  <c r="J44" i="25"/>
  <c r="K43" i="25"/>
  <c r="K44" i="25"/>
  <c r="L43" i="25"/>
  <c r="L44" i="25"/>
  <c r="M43" i="25"/>
  <c r="M44" i="25"/>
  <c r="N43" i="25"/>
  <c r="N44" i="25"/>
  <c r="O43" i="25"/>
  <c r="O44" i="25"/>
  <c r="P43" i="25"/>
  <c r="P44" i="25"/>
  <c r="Q43" i="25"/>
  <c r="Q44" i="25"/>
  <c r="H43" i="25"/>
  <c r="D43" i="25"/>
  <c r="D44" i="25"/>
  <c r="E43" i="25"/>
  <c r="E44" i="25"/>
  <c r="F43" i="25"/>
  <c r="F44" i="25"/>
  <c r="G43" i="25"/>
  <c r="G44" i="25"/>
  <c r="H44" i="25"/>
  <c r="C43" i="25"/>
  <c r="C44" i="25"/>
  <c r="Q53" i="25"/>
  <c r="Q51" i="25"/>
  <c r="Q52" i="25"/>
  <c r="Q54" i="25"/>
  <c r="Q58" i="25"/>
  <c r="E51" i="25"/>
  <c r="E52" i="25"/>
  <c r="E53" i="25"/>
  <c r="O54" i="25"/>
  <c r="O58" i="25"/>
  <c r="N54" i="25"/>
  <c r="N58" i="25"/>
  <c r="P54" i="25"/>
  <c r="P58" i="25"/>
  <c r="M52" i="25"/>
  <c r="M54" i="25"/>
  <c r="M58" i="25"/>
  <c r="L52" i="25"/>
  <c r="L54" i="25"/>
  <c r="L58" i="25"/>
  <c r="J52" i="25"/>
  <c r="J54" i="25"/>
  <c r="J58" i="25"/>
  <c r="D22" i="25"/>
  <c r="E22" i="25"/>
  <c r="F22" i="25"/>
  <c r="G22" i="25"/>
  <c r="H22" i="25"/>
  <c r="D23" i="25"/>
  <c r="E23" i="25"/>
  <c r="F23" i="25"/>
  <c r="G23" i="25"/>
  <c r="H23" i="25"/>
  <c r="C23" i="25"/>
  <c r="C22" i="25"/>
  <c r="C25" i="25"/>
  <c r="C29" i="25"/>
  <c r="H25" i="25"/>
  <c r="G25" i="25"/>
  <c r="G29" i="25"/>
  <c r="F25" i="25"/>
  <c r="F29" i="25"/>
  <c r="E25" i="25"/>
  <c r="D25" i="25"/>
  <c r="D29" i="25"/>
  <c r="G32" i="25"/>
  <c r="G31" i="25"/>
  <c r="G26" i="25"/>
  <c r="G30" i="25"/>
  <c r="F32" i="25"/>
  <c r="F31" i="25"/>
  <c r="F26" i="25"/>
  <c r="F30" i="25"/>
  <c r="D32" i="25"/>
  <c r="C32" i="25"/>
  <c r="D31" i="25"/>
  <c r="C31" i="25"/>
  <c r="D26" i="25"/>
  <c r="D30" i="25"/>
  <c r="C26" i="25"/>
  <c r="C30" i="25"/>
  <c r="E54" i="25"/>
  <c r="E58" i="25"/>
  <c r="C60" i="25"/>
  <c r="C27" i="25"/>
  <c r="C28" i="25"/>
  <c r="D27" i="25"/>
  <c r="D28" i="25"/>
  <c r="G27" i="25"/>
  <c r="G28" i="25"/>
  <c r="F27" i="25"/>
  <c r="F28" i="25"/>
  <c r="H32" i="25"/>
  <c r="E32" i="25"/>
  <c r="H31" i="25"/>
  <c r="E31" i="25"/>
  <c r="H26" i="25"/>
  <c r="H30" i="25"/>
  <c r="E26" i="25"/>
  <c r="E30" i="25"/>
  <c r="H29" i="25"/>
  <c r="H21" i="25"/>
  <c r="G21" i="25"/>
  <c r="G33" i="25"/>
  <c r="G34" i="25"/>
  <c r="G38" i="25"/>
  <c r="F21" i="25"/>
  <c r="F33" i="25"/>
  <c r="F34" i="25"/>
  <c r="F38" i="25"/>
  <c r="E21" i="25"/>
  <c r="D21" i="25"/>
  <c r="D33" i="25"/>
  <c r="D34" i="25"/>
  <c r="D38" i="25"/>
  <c r="C21" i="25"/>
  <c r="C33" i="25"/>
  <c r="C34" i="25"/>
  <c r="C38" i="25"/>
  <c r="C39" i="25"/>
  <c r="C40" i="25"/>
  <c r="C35" i="25"/>
  <c r="D39" i="25"/>
  <c r="D40" i="25"/>
  <c r="D35" i="25"/>
  <c r="F39" i="25"/>
  <c r="F40" i="25"/>
  <c r="F35" i="25"/>
  <c r="G35" i="25"/>
  <c r="G39" i="25"/>
  <c r="G40" i="25"/>
  <c r="E33" i="25"/>
  <c r="E34" i="25"/>
  <c r="H33" i="25"/>
  <c r="H34" i="25"/>
  <c r="E27" i="25"/>
  <c r="E28" i="25"/>
  <c r="H27" i="25"/>
  <c r="H28" i="25"/>
  <c r="E29" i="25"/>
  <c r="H38" i="25"/>
  <c r="H39" i="25"/>
  <c r="H40" i="25"/>
  <c r="E38" i="25"/>
  <c r="E39" i="25"/>
  <c r="E40" i="25"/>
  <c r="E35" i="25"/>
  <c r="H35" i="25"/>
  <c r="K91" i="15"/>
  <c r="L91" i="15"/>
  <c r="J91" i="15"/>
  <c r="R91" i="15"/>
  <c r="Q91" i="15"/>
  <c r="P91" i="15"/>
  <c r="O91" i="15"/>
  <c r="N91" i="15"/>
  <c r="M91" i="15"/>
  <c r="I50" i="15"/>
  <c r="Z21" i="16"/>
  <c r="Z22" i="16"/>
  <c r="Z23" i="16"/>
  <c r="Z24" i="16"/>
  <c r="Z25" i="16"/>
  <c r="Z26" i="16"/>
  <c r="Z27" i="16"/>
  <c r="Z28" i="16"/>
  <c r="Z29" i="16"/>
  <c r="Z30" i="16"/>
  <c r="Z31" i="16"/>
  <c r="Z32" i="16"/>
  <c r="Z33" i="16"/>
  <c r="Z34" i="16"/>
  <c r="Z35" i="16"/>
  <c r="Z36" i="16"/>
  <c r="Z37" i="16"/>
  <c r="Z38" i="16"/>
  <c r="Z39" i="1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V3" i="16"/>
  <c r="V4" i="16"/>
  <c r="V5" i="16"/>
  <c r="V6" i="16"/>
  <c r="V7" i="16"/>
  <c r="V8" i="16"/>
  <c r="V9" i="16"/>
  <c r="V10" i="16"/>
  <c r="V11" i="16"/>
  <c r="V12" i="16"/>
  <c r="V13" i="16"/>
  <c r="V14" i="16"/>
  <c r="V15" i="16"/>
  <c r="V16" i="16"/>
  <c r="V17" i="16"/>
  <c r="V18" i="16"/>
  <c r="V19" i="16"/>
  <c r="V20" i="16"/>
  <c r="V21" i="16"/>
  <c r="V22" i="16"/>
  <c r="V23" i="16"/>
  <c r="V24" i="16"/>
  <c r="V25" i="16"/>
  <c r="V26" i="16"/>
  <c r="V27" i="16"/>
  <c r="V28" i="16"/>
  <c r="V29" i="16"/>
  <c r="V30" i="16"/>
  <c r="V31" i="16"/>
  <c r="V32" i="16"/>
  <c r="V33" i="16"/>
  <c r="V34" i="16"/>
  <c r="V35" i="16"/>
  <c r="V36" i="16"/>
  <c r="V37" i="16"/>
  <c r="V38" i="16"/>
  <c r="V39" i="16"/>
  <c r="V40" i="16"/>
  <c r="V41" i="16"/>
  <c r="V42" i="16"/>
  <c r="V43" i="16"/>
  <c r="V44" i="16"/>
  <c r="V45" i="16"/>
  <c r="V46" i="16"/>
  <c r="V47" i="16"/>
  <c r="V48" i="16"/>
  <c r="V49" i="16"/>
  <c r="V50" i="16"/>
  <c r="V51" i="16"/>
  <c r="V52" i="16"/>
  <c r="V53" i="16"/>
  <c r="V54" i="16"/>
  <c r="V55" i="16"/>
  <c r="V56" i="16"/>
  <c r="V57" i="16"/>
  <c r="V58" i="16"/>
  <c r="V59" i="16"/>
  <c r="V60" i="16"/>
  <c r="V61" i="16"/>
  <c r="V62" i="16"/>
  <c r="V63" i="16"/>
  <c r="V64" i="16"/>
  <c r="V65" i="16"/>
  <c r="V66" i="16"/>
  <c r="V67" i="16"/>
  <c r="V68" i="16"/>
  <c r="V69" i="16"/>
  <c r="V2" i="16"/>
  <c r="R3" i="16"/>
  <c r="R4" i="16"/>
  <c r="R5" i="16"/>
  <c r="R6" i="16"/>
  <c r="R7" i="16"/>
  <c r="R8" i="16"/>
  <c r="R9" i="16"/>
  <c r="R10" i="16"/>
  <c r="R11" i="16"/>
  <c r="R12" i="16"/>
  <c r="R13" i="16"/>
  <c r="R14" i="16"/>
  <c r="R15" i="16"/>
  <c r="R16" i="16"/>
  <c r="R17" i="16"/>
  <c r="R18" i="16"/>
  <c r="R19" i="16"/>
  <c r="R20" i="16"/>
  <c r="R21" i="16"/>
  <c r="R22" i="16"/>
  <c r="R23" i="16"/>
  <c r="R24" i="16"/>
  <c r="R25" i="16"/>
  <c r="R26" i="16"/>
  <c r="R27" i="16"/>
  <c r="R28" i="16"/>
  <c r="R29" i="16"/>
  <c r="R30" i="16"/>
  <c r="R31" i="16"/>
  <c r="R32" i="16"/>
  <c r="R33" i="16"/>
  <c r="R34" i="16"/>
  <c r="R35" i="16"/>
  <c r="R36" i="16"/>
  <c r="R37" i="16"/>
  <c r="R38" i="16"/>
  <c r="R39" i="16"/>
  <c r="R40" i="16"/>
  <c r="R41" i="16"/>
  <c r="R42" i="16"/>
  <c r="R43" i="16"/>
  <c r="R44" i="16"/>
  <c r="R45" i="16"/>
  <c r="R46" i="16"/>
  <c r="R47" i="16"/>
  <c r="R48" i="16"/>
  <c r="R49" i="16"/>
  <c r="R50" i="16"/>
  <c r="R51" i="16"/>
  <c r="R52" i="16"/>
  <c r="R53" i="16"/>
  <c r="R54" i="16"/>
  <c r="R55" i="16"/>
  <c r="R56" i="16"/>
  <c r="R57" i="16"/>
  <c r="R58" i="16"/>
  <c r="R59" i="16"/>
  <c r="R60" i="16"/>
  <c r="R61" i="16"/>
  <c r="R62" i="16"/>
  <c r="R63" i="16"/>
  <c r="R64" i="16"/>
  <c r="R65" i="16"/>
  <c r="R66" i="16"/>
  <c r="R67" i="16"/>
  <c r="R68" i="16"/>
  <c r="R69" i="16"/>
  <c r="R70" i="16"/>
  <c r="R71" i="16"/>
  <c r="R72" i="16"/>
  <c r="R73" i="16"/>
  <c r="R74" i="16"/>
  <c r="R75" i="16"/>
  <c r="R2" i="16"/>
  <c r="N3" i="16"/>
  <c r="N4" i="16"/>
  <c r="N5" i="16"/>
  <c r="N6" i="16"/>
  <c r="N7" i="16"/>
  <c r="N8" i="16"/>
  <c r="N9" i="16"/>
  <c r="N10" i="16"/>
  <c r="N11" i="16"/>
  <c r="N12" i="16"/>
  <c r="N13" i="16"/>
  <c r="N14" i="16"/>
  <c r="N15" i="16"/>
  <c r="N16" i="16"/>
  <c r="N17" i="16"/>
  <c r="N18" i="16"/>
  <c r="N19" i="16"/>
  <c r="N20" i="16"/>
  <c r="N21" i="16"/>
  <c r="N22" i="16"/>
  <c r="N23" i="16"/>
  <c r="N24" i="16"/>
  <c r="N25" i="16"/>
  <c r="N26" i="16"/>
  <c r="N27" i="16"/>
  <c r="N28" i="16"/>
  <c r="N29" i="16"/>
  <c r="N30" i="16"/>
  <c r="N31" i="16"/>
  <c r="N32" i="16"/>
  <c r="N33" i="16"/>
  <c r="N34" i="16"/>
  <c r="N35" i="16"/>
  <c r="N36" i="16"/>
  <c r="N37" i="16"/>
  <c r="N38" i="16"/>
  <c r="N39" i="16"/>
  <c r="N40" i="16"/>
  <c r="N41" i="16"/>
  <c r="N42" i="16"/>
  <c r="N43" i="16"/>
  <c r="N44" i="16"/>
  <c r="N45" i="16"/>
  <c r="N46" i="16"/>
  <c r="N47" i="16"/>
  <c r="N48" i="16"/>
  <c r="N49" i="16"/>
  <c r="N50" i="16"/>
  <c r="N51" i="16"/>
  <c r="N52" i="16"/>
  <c r="N53" i="16"/>
  <c r="N54" i="16"/>
  <c r="N55" i="16"/>
  <c r="N56" i="16"/>
  <c r="N57" i="16"/>
  <c r="N58" i="16"/>
  <c r="N59" i="16"/>
  <c r="N60" i="16"/>
  <c r="N61" i="16"/>
  <c r="N62" i="16"/>
  <c r="N63" i="16"/>
  <c r="N64" i="16"/>
  <c r="N65" i="16"/>
  <c r="N66" i="16"/>
  <c r="N67" i="16"/>
  <c r="N68" i="16"/>
  <c r="N69" i="16"/>
  <c r="N70" i="16"/>
  <c r="N71" i="16"/>
  <c r="N72" i="16"/>
  <c r="N73" i="16"/>
  <c r="N74" i="16"/>
  <c r="N75" i="16"/>
  <c r="N2" i="16"/>
  <c r="J3" i="16"/>
  <c r="J4" i="16"/>
  <c r="J5" i="16"/>
  <c r="J6" i="16"/>
  <c r="J7" i="16"/>
  <c r="J8" i="16"/>
  <c r="J9" i="16"/>
  <c r="J10" i="16"/>
  <c r="J11" i="16"/>
  <c r="J12" i="16"/>
  <c r="J13" i="16"/>
  <c r="J14" i="16"/>
  <c r="J15" i="16"/>
  <c r="J16" i="16"/>
  <c r="J17" i="16"/>
  <c r="J18" i="16"/>
  <c r="J19" i="16"/>
  <c r="J20" i="16"/>
  <c r="J21" i="16"/>
  <c r="J22" i="16"/>
  <c r="J23" i="16"/>
  <c r="J24" i="16"/>
  <c r="J25" i="16"/>
  <c r="J26" i="16"/>
  <c r="J27" i="16"/>
  <c r="J28" i="16"/>
  <c r="J29" i="16"/>
  <c r="J30" i="16"/>
  <c r="J31" i="16"/>
  <c r="J32" i="16"/>
  <c r="J33" i="16"/>
  <c r="J34" i="16"/>
  <c r="J35" i="16"/>
  <c r="J36" i="16"/>
  <c r="J37" i="16"/>
  <c r="J38" i="16"/>
  <c r="J39" i="16"/>
  <c r="J40" i="16"/>
  <c r="J41" i="16"/>
  <c r="J42" i="16"/>
  <c r="J43" i="16"/>
  <c r="J44" i="16"/>
  <c r="J45" i="16"/>
  <c r="J46" i="16"/>
  <c r="J47" i="16"/>
  <c r="J48" i="16"/>
  <c r="J49" i="16"/>
  <c r="J50" i="16"/>
  <c r="J51" i="16"/>
  <c r="J52" i="16"/>
  <c r="J53" i="16"/>
  <c r="J54" i="16"/>
  <c r="J55" i="16"/>
  <c r="J56" i="16"/>
  <c r="J57" i="16"/>
  <c r="J58" i="16"/>
  <c r="J59" i="16"/>
  <c r="J60" i="16"/>
  <c r="J61" i="16"/>
  <c r="J62" i="16"/>
  <c r="J63" i="16"/>
  <c r="J64" i="16"/>
  <c r="J65" i="16"/>
  <c r="J66" i="16"/>
  <c r="J67" i="16"/>
  <c r="J68" i="16"/>
  <c r="J69" i="16"/>
  <c r="J70" i="16"/>
  <c r="J71" i="16"/>
  <c r="J72" i="16"/>
  <c r="J73" i="16"/>
  <c r="J74" i="16"/>
  <c r="J75" i="16"/>
  <c r="J2" i="16"/>
  <c r="I14" i="15"/>
  <c r="H14" i="15"/>
  <c r="G14" i="15"/>
  <c r="F14" i="15"/>
  <c r="E14" i="15"/>
  <c r="D14" i="15"/>
  <c r="J80" i="15"/>
  <c r="R17" i="15"/>
  <c r="Q17" i="15"/>
  <c r="P17" i="15"/>
  <c r="O17" i="15"/>
  <c r="N17" i="15"/>
  <c r="M17" i="15"/>
  <c r="L17" i="15"/>
  <c r="K17" i="15"/>
  <c r="J17" i="15"/>
  <c r="I17" i="15"/>
  <c r="H17" i="15"/>
  <c r="G17" i="15"/>
  <c r="F17" i="15"/>
  <c r="E17" i="15"/>
  <c r="D17" i="15"/>
  <c r="F8" i="14"/>
  <c r="F8" i="12"/>
  <c r="U8" i="2"/>
  <c r="T8" i="2"/>
  <c r="J45" i="2"/>
  <c r="K45" i="2"/>
  <c r="L45" i="2"/>
  <c r="K17" i="19"/>
  <c r="K32" i="19"/>
  <c r="K18" i="19"/>
  <c r="K33" i="19"/>
  <c r="K19" i="19"/>
  <c r="K34" i="19"/>
  <c r="K20" i="19"/>
  <c r="K35" i="19"/>
  <c r="K21" i="19"/>
  <c r="K36" i="19"/>
  <c r="K22" i="19"/>
  <c r="K37" i="19"/>
  <c r="K23" i="19"/>
  <c r="K38" i="19"/>
  <c r="K24" i="19"/>
  <c r="K39" i="19"/>
  <c r="K25" i="19"/>
  <c r="K40" i="19"/>
  <c r="K26" i="19"/>
  <c r="K41" i="19"/>
  <c r="K27" i="19"/>
  <c r="K42" i="19"/>
  <c r="K3" i="19"/>
  <c r="K4" i="19"/>
  <c r="K5" i="19"/>
  <c r="K6" i="19"/>
  <c r="K7" i="19"/>
  <c r="K9" i="19"/>
  <c r="K10" i="19"/>
  <c r="K11" i="19"/>
  <c r="K12" i="19"/>
  <c r="L3" i="19"/>
  <c r="L4" i="19"/>
  <c r="L5" i="19"/>
  <c r="L6" i="19"/>
  <c r="L7" i="19"/>
  <c r="L9" i="19"/>
  <c r="L10" i="19"/>
  <c r="L11" i="19"/>
  <c r="L12" i="19"/>
  <c r="L17" i="19"/>
  <c r="L18" i="19"/>
  <c r="L33" i="19"/>
  <c r="L19" i="19"/>
  <c r="L34" i="19"/>
  <c r="L20" i="19"/>
  <c r="L35" i="19"/>
  <c r="L21" i="19"/>
  <c r="L36" i="19"/>
  <c r="L22" i="19"/>
  <c r="L37" i="19"/>
  <c r="L23" i="19"/>
  <c r="L38" i="19"/>
  <c r="L24" i="19"/>
  <c r="L39" i="19"/>
  <c r="L25" i="19"/>
  <c r="L40" i="19"/>
  <c r="L26" i="19"/>
  <c r="L41" i="19"/>
  <c r="L27" i="19"/>
  <c r="L42" i="19"/>
  <c r="M3" i="19"/>
  <c r="M4" i="19"/>
  <c r="M5" i="19"/>
  <c r="M6" i="19"/>
  <c r="M7" i="19"/>
  <c r="M9" i="19"/>
  <c r="M10" i="19"/>
  <c r="M11" i="19"/>
  <c r="M12" i="19"/>
  <c r="M17" i="19"/>
  <c r="M18" i="19"/>
  <c r="M33" i="19"/>
  <c r="M19" i="19"/>
  <c r="M34" i="19"/>
  <c r="M20" i="19"/>
  <c r="M35" i="19"/>
  <c r="M21" i="19"/>
  <c r="M36" i="19"/>
  <c r="M22" i="19"/>
  <c r="M37" i="19"/>
  <c r="M23" i="19"/>
  <c r="M38" i="19"/>
  <c r="M24" i="19"/>
  <c r="M39" i="19"/>
  <c r="M25" i="19"/>
  <c r="M40" i="19"/>
  <c r="M26" i="19"/>
  <c r="M41" i="19"/>
  <c r="M27" i="19"/>
  <c r="M42" i="19"/>
  <c r="G17" i="19"/>
  <c r="G32" i="19"/>
  <c r="G18" i="19"/>
  <c r="G33" i="19"/>
  <c r="G19" i="19"/>
  <c r="G34" i="19"/>
  <c r="G20" i="19"/>
  <c r="G35" i="19"/>
  <c r="G21" i="19"/>
  <c r="G36" i="19"/>
  <c r="G22" i="19"/>
  <c r="G37" i="19"/>
  <c r="G23" i="19"/>
  <c r="G38" i="19"/>
  <c r="G24" i="19"/>
  <c r="G39" i="19"/>
  <c r="G25" i="19"/>
  <c r="G40" i="19"/>
  <c r="G26" i="19"/>
  <c r="G41" i="19"/>
  <c r="G27" i="19"/>
  <c r="G42" i="19"/>
  <c r="G3" i="19"/>
  <c r="G4" i="19"/>
  <c r="G5" i="19"/>
  <c r="G6" i="19"/>
  <c r="G7" i="19"/>
  <c r="G9" i="19"/>
  <c r="G10" i="19"/>
  <c r="G11" i="19"/>
  <c r="G12" i="19"/>
  <c r="C17" i="19"/>
  <c r="C32" i="19"/>
  <c r="C18" i="19"/>
  <c r="C33" i="19"/>
  <c r="C19" i="19"/>
  <c r="C34" i="19"/>
  <c r="C20" i="19"/>
  <c r="C35" i="19"/>
  <c r="C21" i="19"/>
  <c r="C36" i="19"/>
  <c r="C22" i="19"/>
  <c r="C37" i="19"/>
  <c r="C23" i="19"/>
  <c r="C38" i="19"/>
  <c r="C24" i="19"/>
  <c r="C39" i="19"/>
  <c r="C25" i="19"/>
  <c r="C40" i="19"/>
  <c r="C26" i="19"/>
  <c r="C41" i="19"/>
  <c r="C27" i="19"/>
  <c r="C42" i="19"/>
  <c r="C3" i="19"/>
  <c r="C4" i="19"/>
  <c r="C5" i="19"/>
  <c r="C6" i="19"/>
  <c r="C7" i="19"/>
  <c r="C9" i="19"/>
  <c r="C10" i="19"/>
  <c r="C11" i="19"/>
  <c r="C12" i="19"/>
  <c r="S17" i="19"/>
  <c r="S18" i="19"/>
  <c r="S33" i="19"/>
  <c r="S19" i="19"/>
  <c r="S34" i="19"/>
  <c r="S20" i="19"/>
  <c r="S35" i="19"/>
  <c r="S21" i="19"/>
  <c r="S36" i="19"/>
  <c r="S22" i="19"/>
  <c r="S37" i="19"/>
  <c r="S23" i="19"/>
  <c r="S38" i="19"/>
  <c r="S24" i="19"/>
  <c r="S39" i="19"/>
  <c r="S25" i="19"/>
  <c r="S40" i="19"/>
  <c r="S26" i="19"/>
  <c r="S41" i="19"/>
  <c r="S27" i="19"/>
  <c r="S42" i="19"/>
  <c r="S3" i="19"/>
  <c r="S4" i="19"/>
  <c r="S5" i="19"/>
  <c r="S6" i="19"/>
  <c r="S7" i="19"/>
  <c r="S9" i="19"/>
  <c r="S10" i="19"/>
  <c r="S11" i="19"/>
  <c r="S12" i="19"/>
  <c r="AA3" i="16"/>
  <c r="AA4" i="16"/>
  <c r="AA5" i="16"/>
  <c r="AA6" i="16"/>
  <c r="AA7" i="16"/>
  <c r="AA8" i="16"/>
  <c r="AA9" i="16"/>
  <c r="AA10" i="16"/>
  <c r="AA11" i="16"/>
  <c r="AA12" i="16"/>
  <c r="AA13" i="16"/>
  <c r="AA14" i="16"/>
  <c r="AA15" i="16"/>
  <c r="AA16" i="16"/>
  <c r="AA17" i="16"/>
  <c r="AA18" i="16"/>
  <c r="AA19" i="16"/>
  <c r="AA20" i="16"/>
  <c r="AA21" i="16"/>
  <c r="W17" i="19"/>
  <c r="AA22" i="16"/>
  <c r="W18" i="19"/>
  <c r="W33" i="19"/>
  <c r="AA23" i="16"/>
  <c r="AA24" i="16"/>
  <c r="W19" i="19"/>
  <c r="W34" i="19"/>
  <c r="AA25" i="16"/>
  <c r="W20" i="19"/>
  <c r="W35" i="19"/>
  <c r="AA26" i="16"/>
  <c r="W21" i="19"/>
  <c r="W36" i="19"/>
  <c r="AA27" i="16"/>
  <c r="W22" i="19"/>
  <c r="W37" i="19"/>
  <c r="AA28" i="16"/>
  <c r="W23" i="19"/>
  <c r="W38" i="19"/>
  <c r="AA29" i="16"/>
  <c r="W24" i="19"/>
  <c r="W39" i="19"/>
  <c r="AA30" i="16"/>
  <c r="W25" i="19"/>
  <c r="W40" i="19"/>
  <c r="AA31" i="16"/>
  <c r="AA32" i="16"/>
  <c r="W4" i="19"/>
  <c r="AA33" i="16"/>
  <c r="W5" i="19"/>
  <c r="AA34" i="16"/>
  <c r="W9" i="19"/>
  <c r="AA35" i="16"/>
  <c r="AA36" i="16"/>
  <c r="AA37" i="16"/>
  <c r="AA38" i="16"/>
  <c r="AA39" i="16"/>
  <c r="W10" i="19"/>
  <c r="AA40" i="16"/>
  <c r="W7" i="19"/>
  <c r="AA41" i="16"/>
  <c r="W26" i="19"/>
  <c r="W41" i="19"/>
  <c r="AA42" i="16"/>
  <c r="W27" i="19"/>
  <c r="W42" i="19"/>
  <c r="AA43" i="16"/>
  <c r="AA44" i="16"/>
  <c r="AA45" i="16"/>
  <c r="AA46" i="16"/>
  <c r="AA47" i="16"/>
  <c r="AA48" i="16"/>
  <c r="AA49" i="16"/>
  <c r="W12" i="19"/>
  <c r="AA50" i="16"/>
  <c r="AA51" i="16"/>
  <c r="AA52" i="16"/>
  <c r="W6" i="19"/>
  <c r="AA53" i="16"/>
  <c r="AA54" i="16"/>
  <c r="AA55" i="16"/>
  <c r="AA56" i="16"/>
  <c r="AA57" i="16"/>
  <c r="AA58" i="16"/>
  <c r="AA59" i="16"/>
  <c r="W11" i="19"/>
  <c r="AA60" i="16"/>
  <c r="W3" i="19"/>
  <c r="AA61" i="16"/>
  <c r="AA62" i="16"/>
  <c r="AA63" i="16"/>
  <c r="AA64" i="16"/>
  <c r="AA65" i="16"/>
  <c r="AA66" i="16"/>
  <c r="AA67" i="16"/>
  <c r="AA68" i="16"/>
  <c r="AA69" i="16"/>
  <c r="AA70" i="16"/>
  <c r="AA71" i="16"/>
  <c r="AA72" i="16"/>
  <c r="AA73" i="16"/>
  <c r="AA74" i="16"/>
  <c r="AA75" i="16"/>
  <c r="AA2" i="16"/>
  <c r="O17" i="19"/>
  <c r="O18" i="19"/>
  <c r="O33" i="19"/>
  <c r="O19" i="19"/>
  <c r="O34" i="19"/>
  <c r="O20" i="19"/>
  <c r="O35" i="19"/>
  <c r="O21" i="19"/>
  <c r="O36" i="19"/>
  <c r="O22" i="19"/>
  <c r="O37" i="19"/>
  <c r="O23" i="19"/>
  <c r="O38" i="19"/>
  <c r="O24" i="19"/>
  <c r="O39" i="19"/>
  <c r="O25" i="19"/>
  <c r="O40" i="19"/>
  <c r="O26" i="19"/>
  <c r="O41" i="19"/>
  <c r="O27" i="19"/>
  <c r="O42" i="19"/>
  <c r="O3" i="19"/>
  <c r="O4" i="19"/>
  <c r="O5" i="19"/>
  <c r="O6" i="19"/>
  <c r="O7" i="19"/>
  <c r="O9" i="19"/>
  <c r="O10" i="19"/>
  <c r="O11" i="19"/>
  <c r="O12" i="19"/>
  <c r="H9" i="19"/>
  <c r="W16" i="19"/>
  <c r="R7" i="19"/>
  <c r="S13" i="19"/>
  <c r="C14" i="19"/>
  <c r="L13" i="19"/>
  <c r="K13" i="19"/>
  <c r="C13" i="19"/>
  <c r="M13" i="19"/>
  <c r="G13" i="19"/>
  <c r="S8" i="19"/>
  <c r="S14" i="19"/>
  <c r="K14" i="19"/>
  <c r="S32" i="19"/>
  <c r="M14" i="19"/>
  <c r="G14" i="19"/>
  <c r="K8" i="19"/>
  <c r="C8" i="19"/>
  <c r="L14" i="19"/>
  <c r="G8" i="19"/>
  <c r="M32" i="19"/>
  <c r="M8" i="19"/>
  <c r="L8" i="19"/>
  <c r="L32" i="19"/>
  <c r="W14" i="19"/>
  <c r="W32" i="19"/>
  <c r="W13" i="19"/>
  <c r="O13" i="19"/>
  <c r="O8" i="19"/>
  <c r="O14" i="19"/>
  <c r="O32" i="19"/>
  <c r="C49" i="15"/>
  <c r="P80" i="15"/>
  <c r="P49" i="15"/>
  <c r="P11" i="15"/>
  <c r="P10" i="15"/>
  <c r="P9" i="15"/>
  <c r="P8" i="15"/>
  <c r="P7" i="15"/>
  <c r="P6" i="15"/>
  <c r="P5" i="15"/>
  <c r="P4" i="15"/>
  <c r="P3" i="15"/>
  <c r="M80" i="15"/>
  <c r="M49" i="15"/>
  <c r="M11" i="15"/>
  <c r="M10" i="15"/>
  <c r="M9" i="15"/>
  <c r="M8" i="15"/>
  <c r="M7" i="15"/>
  <c r="M6" i="15"/>
  <c r="M5" i="15"/>
  <c r="M4" i="15"/>
  <c r="M3" i="15"/>
  <c r="J49" i="15"/>
  <c r="J18" i="15"/>
  <c r="J11" i="15"/>
  <c r="J10" i="15"/>
  <c r="J9" i="15"/>
  <c r="J8" i="15"/>
  <c r="J7" i="15"/>
  <c r="J6" i="15"/>
  <c r="J5" i="15"/>
  <c r="J4" i="15"/>
  <c r="J3" i="15"/>
  <c r="G49" i="15"/>
  <c r="G11" i="15"/>
  <c r="G10" i="15"/>
  <c r="G9" i="15"/>
  <c r="G8" i="15"/>
  <c r="G7" i="15"/>
  <c r="G6" i="15"/>
  <c r="G5" i="15"/>
  <c r="G4" i="15"/>
  <c r="G3" i="15"/>
  <c r="D80" i="15"/>
  <c r="W8" i="19"/>
  <c r="W15" i="19"/>
  <c r="R8" i="19"/>
  <c r="D49" i="15"/>
  <c r="D11" i="15"/>
  <c r="D10" i="15"/>
  <c r="D9" i="15"/>
  <c r="D8" i="15"/>
  <c r="D7" i="15"/>
  <c r="D6" i="15"/>
  <c r="D5" i="15"/>
  <c r="D4" i="15"/>
  <c r="D3" i="15"/>
  <c r="AC2" i="16"/>
  <c r="U17" i="19"/>
  <c r="U18" i="19"/>
  <c r="U19" i="19"/>
  <c r="U20" i="19"/>
  <c r="U21" i="19"/>
  <c r="U22" i="19"/>
  <c r="U23" i="19"/>
  <c r="U24" i="19"/>
  <c r="U25" i="19"/>
  <c r="U26" i="19"/>
  <c r="U27" i="19"/>
  <c r="U9" i="19"/>
  <c r="U10" i="19"/>
  <c r="U11" i="19"/>
  <c r="U12" i="19"/>
  <c r="U3" i="19"/>
  <c r="U4" i="19"/>
  <c r="U5" i="19"/>
  <c r="U6" i="19"/>
  <c r="U7" i="19"/>
  <c r="AB3" i="16"/>
  <c r="AC3" i="16"/>
  <c r="AB4" i="16"/>
  <c r="AC4" i="16"/>
  <c r="AB5" i="16"/>
  <c r="AC5" i="16"/>
  <c r="AB6" i="16"/>
  <c r="AC6" i="16"/>
  <c r="AB7" i="16"/>
  <c r="AC7" i="16"/>
  <c r="AB8" i="16"/>
  <c r="AC8" i="16"/>
  <c r="AB9" i="16"/>
  <c r="AC9" i="16"/>
  <c r="AB10" i="16"/>
  <c r="AC10" i="16"/>
  <c r="AB11" i="16"/>
  <c r="AC11" i="16"/>
  <c r="AB12" i="16"/>
  <c r="AC12" i="16"/>
  <c r="AB13" i="16"/>
  <c r="AC13" i="16"/>
  <c r="AB14" i="16"/>
  <c r="AC14" i="16"/>
  <c r="AB15" i="16"/>
  <c r="AC15" i="16"/>
  <c r="AB16" i="16"/>
  <c r="AC16" i="16"/>
  <c r="AB17" i="16"/>
  <c r="AC17" i="16"/>
  <c r="AB18" i="16"/>
  <c r="AC18" i="16"/>
  <c r="AB19" i="16"/>
  <c r="AC19" i="16"/>
  <c r="AB20" i="16"/>
  <c r="AC20" i="16"/>
  <c r="AB21" i="16"/>
  <c r="X17" i="19"/>
  <c r="X32" i="19"/>
  <c r="AC21" i="16"/>
  <c r="AB22" i="16"/>
  <c r="X18" i="19"/>
  <c r="X33" i="19"/>
  <c r="AC22" i="16"/>
  <c r="Y18" i="19"/>
  <c r="AB23" i="16"/>
  <c r="AC23" i="16"/>
  <c r="AB24" i="16"/>
  <c r="X19" i="19"/>
  <c r="X34" i="19"/>
  <c r="AC24" i="16"/>
  <c r="Y19" i="19"/>
  <c r="AB25" i="16"/>
  <c r="X20" i="19"/>
  <c r="X35" i="19"/>
  <c r="AC25" i="16"/>
  <c r="AB26" i="16"/>
  <c r="X21" i="19"/>
  <c r="X36" i="19"/>
  <c r="AC26" i="16"/>
  <c r="AB27" i="16"/>
  <c r="X22" i="19"/>
  <c r="X37" i="19"/>
  <c r="AC27" i="16"/>
  <c r="AB28" i="16"/>
  <c r="X23" i="19"/>
  <c r="X38" i="19"/>
  <c r="AC28" i="16"/>
  <c r="Y23" i="19"/>
  <c r="AB29" i="16"/>
  <c r="X24" i="19"/>
  <c r="X39" i="19"/>
  <c r="AC29" i="16"/>
  <c r="Y24" i="19"/>
  <c r="AB30" i="16"/>
  <c r="X25" i="19"/>
  <c r="X40" i="19"/>
  <c r="AC30" i="16"/>
  <c r="Y25" i="19"/>
  <c r="AB31" i="16"/>
  <c r="AC31" i="16"/>
  <c r="AB32" i="16"/>
  <c r="X4" i="19"/>
  <c r="AC32" i="16"/>
  <c r="AB33" i="16"/>
  <c r="X5" i="19"/>
  <c r="AC33" i="16"/>
  <c r="Y5" i="19"/>
  <c r="AB34" i="16"/>
  <c r="X9" i="19"/>
  <c r="AC34" i="16"/>
  <c r="Y9" i="19"/>
  <c r="AB35" i="16"/>
  <c r="AC35" i="16"/>
  <c r="AB36" i="16"/>
  <c r="AC36" i="16"/>
  <c r="AB37" i="16"/>
  <c r="AC37" i="16"/>
  <c r="AB38" i="16"/>
  <c r="AC38" i="16"/>
  <c r="AB39" i="16"/>
  <c r="X10" i="19"/>
  <c r="AC39" i="16"/>
  <c r="Y10" i="19"/>
  <c r="AB40" i="16"/>
  <c r="X7" i="19"/>
  <c r="AC40" i="16"/>
  <c r="Y7" i="19"/>
  <c r="AB41" i="16"/>
  <c r="X26" i="19"/>
  <c r="X41" i="19"/>
  <c r="AC41" i="16"/>
  <c r="Y26" i="19"/>
  <c r="AB42" i="16"/>
  <c r="X27" i="19"/>
  <c r="X42" i="19"/>
  <c r="AC42" i="16"/>
  <c r="Y27" i="19"/>
  <c r="AB43" i="16"/>
  <c r="AC43" i="16"/>
  <c r="AB44" i="16"/>
  <c r="AC44" i="16"/>
  <c r="AB45" i="16"/>
  <c r="AC45" i="16"/>
  <c r="AB46" i="16"/>
  <c r="AC46" i="16"/>
  <c r="AB47" i="16"/>
  <c r="AC47" i="16"/>
  <c r="AB48" i="16"/>
  <c r="AC48" i="16"/>
  <c r="AB49" i="16"/>
  <c r="X12" i="19"/>
  <c r="AC49" i="16"/>
  <c r="AB50" i="16"/>
  <c r="AC50" i="16"/>
  <c r="AB51" i="16"/>
  <c r="AC51" i="16"/>
  <c r="AB52" i="16"/>
  <c r="X6" i="19"/>
  <c r="AC52" i="16"/>
  <c r="Y6" i="19"/>
  <c r="AB53" i="16"/>
  <c r="AC53" i="16"/>
  <c r="AB54" i="16"/>
  <c r="AC54" i="16"/>
  <c r="AB55" i="16"/>
  <c r="AC55" i="16"/>
  <c r="AB56" i="16"/>
  <c r="AC56" i="16"/>
  <c r="AB57" i="16"/>
  <c r="AC57" i="16"/>
  <c r="AB58" i="16"/>
  <c r="AC58" i="16"/>
  <c r="AB59" i="16"/>
  <c r="AC59" i="16"/>
  <c r="AB60" i="16"/>
  <c r="X3" i="19"/>
  <c r="AC60" i="16"/>
  <c r="AB61" i="16"/>
  <c r="AC61" i="16"/>
  <c r="AB62" i="16"/>
  <c r="AC62" i="16"/>
  <c r="AB63" i="16"/>
  <c r="AC63" i="16"/>
  <c r="AB64" i="16"/>
  <c r="AC64" i="16"/>
  <c r="AB65" i="16"/>
  <c r="AC65" i="16"/>
  <c r="AB66" i="16"/>
  <c r="AC66" i="16"/>
  <c r="AB67" i="16"/>
  <c r="AC67" i="16"/>
  <c r="AB68" i="16"/>
  <c r="AC68" i="16"/>
  <c r="AB69" i="16"/>
  <c r="AC69" i="16"/>
  <c r="AB70" i="16"/>
  <c r="AC70" i="16"/>
  <c r="AB71" i="16"/>
  <c r="AC71" i="16"/>
  <c r="AB72" i="16"/>
  <c r="AC72" i="16"/>
  <c r="AB73" i="16"/>
  <c r="AC73" i="16"/>
  <c r="AB74" i="16"/>
  <c r="AC74" i="16"/>
  <c r="AB75" i="16"/>
  <c r="AC75" i="16"/>
  <c r="AB2" i="16"/>
  <c r="Q17" i="19"/>
  <c r="T17" i="19"/>
  <c r="Q18" i="19"/>
  <c r="T18" i="19"/>
  <c r="Q19" i="19"/>
  <c r="T19" i="19"/>
  <c r="Q20" i="19"/>
  <c r="T20" i="19"/>
  <c r="Q21" i="19"/>
  <c r="T21" i="19"/>
  <c r="Q22" i="19"/>
  <c r="T22" i="19"/>
  <c r="Q23" i="19"/>
  <c r="T23" i="19"/>
  <c r="Q24" i="19"/>
  <c r="T24" i="19"/>
  <c r="Q25" i="19"/>
  <c r="T25" i="19"/>
  <c r="Q26" i="19"/>
  <c r="T26" i="19"/>
  <c r="Q27" i="19"/>
  <c r="T27" i="19"/>
  <c r="Q9" i="19"/>
  <c r="T9" i="19"/>
  <c r="Q10" i="19"/>
  <c r="T10" i="19"/>
  <c r="Q11" i="19"/>
  <c r="T11" i="19"/>
  <c r="Q12" i="19"/>
  <c r="T12" i="19"/>
  <c r="T3" i="19"/>
  <c r="T4" i="19"/>
  <c r="T5" i="19"/>
  <c r="T6" i="19"/>
  <c r="T7" i="19"/>
  <c r="Q3" i="19"/>
  <c r="P17" i="19"/>
  <c r="P18" i="19"/>
  <c r="P33" i="19"/>
  <c r="P19" i="19"/>
  <c r="P34" i="19"/>
  <c r="P20" i="19"/>
  <c r="P35" i="19"/>
  <c r="P21" i="19"/>
  <c r="P36" i="19"/>
  <c r="P22" i="19"/>
  <c r="P37" i="19"/>
  <c r="P23" i="19"/>
  <c r="P38" i="19"/>
  <c r="P24" i="19"/>
  <c r="P39" i="19"/>
  <c r="P25" i="19"/>
  <c r="P40" i="19"/>
  <c r="P26" i="19"/>
  <c r="P41" i="19"/>
  <c r="P27" i="19"/>
  <c r="P42" i="19"/>
  <c r="P9" i="19"/>
  <c r="P10" i="19"/>
  <c r="P11" i="19"/>
  <c r="P12" i="19"/>
  <c r="P3" i="19"/>
  <c r="P4" i="19"/>
  <c r="Q4" i="19"/>
  <c r="P5" i="19"/>
  <c r="Q5" i="19"/>
  <c r="P6" i="19"/>
  <c r="Q6" i="19"/>
  <c r="P7" i="19"/>
  <c r="Q7" i="19"/>
  <c r="I17" i="19"/>
  <c r="I18" i="19"/>
  <c r="I19" i="19"/>
  <c r="I20" i="19"/>
  <c r="I21" i="19"/>
  <c r="I22" i="19"/>
  <c r="I23" i="19"/>
  <c r="I24" i="19"/>
  <c r="I25" i="19"/>
  <c r="I26" i="19"/>
  <c r="I27" i="19"/>
  <c r="I9" i="19"/>
  <c r="I10" i="19"/>
  <c r="I11" i="19"/>
  <c r="I12" i="19"/>
  <c r="I3" i="19"/>
  <c r="I4" i="19"/>
  <c r="N4" i="19"/>
  <c r="I5" i="19"/>
  <c r="I6" i="19"/>
  <c r="N6" i="19"/>
  <c r="I7" i="19"/>
  <c r="N7" i="19"/>
  <c r="Y16" i="19"/>
  <c r="X16" i="19"/>
  <c r="AD6" i="16"/>
  <c r="R11" i="19"/>
  <c r="N11" i="19"/>
  <c r="N26" i="19"/>
  <c r="N22" i="19"/>
  <c r="N18" i="19"/>
  <c r="AD14" i="16"/>
  <c r="AD8" i="16"/>
  <c r="Z7" i="19"/>
  <c r="Z6" i="19"/>
  <c r="AD49" i="16"/>
  <c r="AD43" i="16"/>
  <c r="AD37" i="16"/>
  <c r="AD25" i="16"/>
  <c r="AD19" i="16"/>
  <c r="AD13" i="16"/>
  <c r="AD7" i="16"/>
  <c r="AD48" i="16"/>
  <c r="AD65" i="16"/>
  <c r="AD53" i="16"/>
  <c r="N10" i="19"/>
  <c r="N5" i="19"/>
  <c r="R4" i="19"/>
  <c r="AD73" i="16"/>
  <c r="AD67" i="16"/>
  <c r="AD61" i="16"/>
  <c r="AD55" i="16"/>
  <c r="AD31" i="16"/>
  <c r="N25" i="19"/>
  <c r="N21" i="19"/>
  <c r="N17" i="19"/>
  <c r="Y40" i="19"/>
  <c r="Z40" i="19"/>
  <c r="Z25" i="19"/>
  <c r="Q42" i="19"/>
  <c r="R42" i="19"/>
  <c r="R27" i="19"/>
  <c r="R3" i="19"/>
  <c r="Q36" i="19"/>
  <c r="R36" i="19"/>
  <c r="R21" i="19"/>
  <c r="R5" i="19"/>
  <c r="AD74" i="16"/>
  <c r="AD68" i="16"/>
  <c r="AD62" i="16"/>
  <c r="AD56" i="16"/>
  <c r="AD50" i="16"/>
  <c r="AD44" i="16"/>
  <c r="AD38" i="16"/>
  <c r="AD32" i="16"/>
  <c r="AD26" i="16"/>
  <c r="AD20" i="16"/>
  <c r="V7" i="19"/>
  <c r="Q41" i="19"/>
  <c r="R41" i="19"/>
  <c r="R26" i="19"/>
  <c r="Q35" i="19"/>
  <c r="R35" i="19"/>
  <c r="R20" i="19"/>
  <c r="V6" i="19"/>
  <c r="U40" i="19"/>
  <c r="V25" i="19"/>
  <c r="V5" i="19"/>
  <c r="U39" i="19"/>
  <c r="V24" i="19"/>
  <c r="R12" i="19"/>
  <c r="Q40" i="19"/>
  <c r="R40" i="19"/>
  <c r="R25" i="19"/>
  <c r="Q34" i="19"/>
  <c r="R34" i="19"/>
  <c r="R19" i="19"/>
  <c r="V4" i="19"/>
  <c r="U38" i="19"/>
  <c r="V23" i="19"/>
  <c r="Y34" i="19"/>
  <c r="Z34" i="19"/>
  <c r="Z19" i="19"/>
  <c r="V3" i="19"/>
  <c r="U37" i="19"/>
  <c r="V22" i="19"/>
  <c r="Q39" i="19"/>
  <c r="R39" i="19"/>
  <c r="R24" i="19"/>
  <c r="V12" i="19"/>
  <c r="U36" i="19"/>
  <c r="V21" i="19"/>
  <c r="AF59" i="16"/>
  <c r="Y11" i="19"/>
  <c r="Y41" i="19"/>
  <c r="Z41" i="19"/>
  <c r="Z26" i="19"/>
  <c r="Y39" i="19"/>
  <c r="Z39" i="19"/>
  <c r="Z24" i="19"/>
  <c r="V11" i="19"/>
  <c r="U35" i="19"/>
  <c r="V20" i="19"/>
  <c r="Y42" i="19"/>
  <c r="Z42" i="19"/>
  <c r="Z27" i="19"/>
  <c r="Q33" i="19"/>
  <c r="R33" i="19"/>
  <c r="R18" i="19"/>
  <c r="N9" i="19"/>
  <c r="N24" i="19"/>
  <c r="N20" i="19"/>
  <c r="N3" i="19"/>
  <c r="R10" i="19"/>
  <c r="Q38" i="19"/>
  <c r="R38" i="19"/>
  <c r="R23" i="19"/>
  <c r="Q32" i="19"/>
  <c r="R17" i="19"/>
  <c r="X11" i="19"/>
  <c r="AE59" i="16"/>
  <c r="V10" i="19"/>
  <c r="U34" i="19"/>
  <c r="V19" i="19"/>
  <c r="Z9" i="19"/>
  <c r="Y38" i="19"/>
  <c r="Z38" i="19"/>
  <c r="Z23" i="19"/>
  <c r="Y33" i="19"/>
  <c r="Z33" i="19"/>
  <c r="Z18" i="19"/>
  <c r="V9" i="19"/>
  <c r="U33" i="19"/>
  <c r="V18" i="19"/>
  <c r="Q37" i="19"/>
  <c r="R37" i="19"/>
  <c r="R22" i="19"/>
  <c r="U42" i="19"/>
  <c r="V27" i="19"/>
  <c r="R9" i="19"/>
  <c r="N12" i="19"/>
  <c r="N27" i="19"/>
  <c r="N23" i="19"/>
  <c r="N19" i="19"/>
  <c r="R6" i="19"/>
  <c r="AD75" i="16"/>
  <c r="AD69" i="16"/>
  <c r="AD63" i="16"/>
  <c r="AD57" i="16"/>
  <c r="AD51" i="16"/>
  <c r="AD45" i="16"/>
  <c r="Z10" i="19"/>
  <c r="Z5" i="19"/>
  <c r="AD27" i="16"/>
  <c r="AD21" i="16"/>
  <c r="AD15" i="16"/>
  <c r="AD9" i="16"/>
  <c r="U41" i="19"/>
  <c r="V26" i="19"/>
  <c r="V17" i="19"/>
  <c r="U13" i="19"/>
  <c r="Y20" i="19"/>
  <c r="U14" i="19"/>
  <c r="Y21" i="19"/>
  <c r="Q13" i="19"/>
  <c r="Y4" i="19"/>
  <c r="Z4" i="19"/>
  <c r="AD17" i="16"/>
  <c r="AD47" i="16"/>
  <c r="Y17" i="19"/>
  <c r="U32" i="19"/>
  <c r="P14" i="19"/>
  <c r="T14" i="19"/>
  <c r="Y12" i="19"/>
  <c r="Z12" i="19"/>
  <c r="AD72" i="16"/>
  <c r="AD66" i="16"/>
  <c r="AD60" i="16"/>
  <c r="Y3" i="19"/>
  <c r="AD54" i="16"/>
  <c r="AD42" i="16"/>
  <c r="AD36" i="16"/>
  <c r="AD30" i="16"/>
  <c r="AD24" i="16"/>
  <c r="AD18" i="16"/>
  <c r="AD12" i="16"/>
  <c r="Y22" i="19"/>
  <c r="AD71" i="16"/>
  <c r="AD59" i="16"/>
  <c r="AD41" i="16"/>
  <c r="AD35" i="16"/>
  <c r="AD29" i="16"/>
  <c r="AD23" i="16"/>
  <c r="AD5" i="16"/>
  <c r="T13" i="19"/>
  <c r="T8" i="19"/>
  <c r="AD70" i="16"/>
  <c r="AD58" i="16"/>
  <c r="AD46" i="16"/>
  <c r="AD34" i="16"/>
  <c r="AD22" i="16"/>
  <c r="AD10" i="16"/>
  <c r="U8" i="19"/>
  <c r="P13" i="19"/>
  <c r="AD2" i="16"/>
  <c r="AD64" i="16"/>
  <c r="AD4" i="16"/>
  <c r="AD52" i="16"/>
  <c r="AD40" i="16"/>
  <c r="AD28" i="16"/>
  <c r="AD16" i="16"/>
  <c r="AD3" i="16"/>
  <c r="AD11" i="16"/>
  <c r="P8" i="19"/>
  <c r="P32" i="19"/>
  <c r="AD39" i="16"/>
  <c r="AD33" i="16"/>
  <c r="Q8" i="19"/>
  <c r="Q14" i="19"/>
  <c r="E27" i="19"/>
  <c r="H27" i="19"/>
  <c r="J27" i="19"/>
  <c r="E26" i="19"/>
  <c r="H26" i="19"/>
  <c r="J26" i="19"/>
  <c r="E25" i="19"/>
  <c r="H25" i="19"/>
  <c r="J25" i="19"/>
  <c r="E24" i="19"/>
  <c r="H24" i="19"/>
  <c r="J24" i="19"/>
  <c r="E23" i="19"/>
  <c r="H23" i="19"/>
  <c r="J23" i="19"/>
  <c r="E22" i="19"/>
  <c r="H22" i="19"/>
  <c r="J22" i="19"/>
  <c r="E21" i="19"/>
  <c r="H21" i="19"/>
  <c r="J21" i="19"/>
  <c r="E20" i="19"/>
  <c r="H20" i="19"/>
  <c r="J20" i="19"/>
  <c r="E19" i="19"/>
  <c r="H19" i="19"/>
  <c r="J19" i="19"/>
  <c r="E18" i="19"/>
  <c r="H18" i="19"/>
  <c r="J18" i="19"/>
  <c r="H17" i="19"/>
  <c r="J17" i="19"/>
  <c r="H12" i="19"/>
  <c r="J12" i="19"/>
  <c r="H11" i="19"/>
  <c r="J11" i="19"/>
  <c r="E10" i="19"/>
  <c r="H10" i="19"/>
  <c r="J10" i="19"/>
  <c r="J9" i="19"/>
  <c r="H7" i="19"/>
  <c r="J7" i="19"/>
  <c r="H6" i="19"/>
  <c r="J6" i="19"/>
  <c r="H5" i="19"/>
  <c r="J5" i="19"/>
  <c r="H4" i="19"/>
  <c r="J4" i="19"/>
  <c r="H3" i="19"/>
  <c r="J3" i="19"/>
  <c r="D27" i="19"/>
  <c r="D26" i="19"/>
  <c r="D25" i="19"/>
  <c r="D24" i="19"/>
  <c r="D23" i="19"/>
  <c r="D22" i="19"/>
  <c r="D21" i="19"/>
  <c r="D20" i="19"/>
  <c r="D19" i="19"/>
  <c r="D18" i="19"/>
  <c r="E17" i="19"/>
  <c r="D17" i="19"/>
  <c r="E12" i="19"/>
  <c r="D12" i="19"/>
  <c r="E11" i="19"/>
  <c r="D11" i="19"/>
  <c r="D10" i="19"/>
  <c r="E9" i="19"/>
  <c r="D9" i="19"/>
  <c r="E7" i="19"/>
  <c r="D7" i="19"/>
  <c r="E6" i="19"/>
  <c r="D6" i="19"/>
  <c r="E5" i="19"/>
  <c r="D5" i="19"/>
  <c r="E4" i="19"/>
  <c r="D4" i="19"/>
  <c r="E3" i="19"/>
  <c r="D3" i="19"/>
  <c r="Z16" i="19"/>
  <c r="R14" i="19"/>
  <c r="F5" i="19"/>
  <c r="F19" i="19"/>
  <c r="F6" i="19"/>
  <c r="F25" i="19"/>
  <c r="F7" i="19"/>
  <c r="F26" i="19"/>
  <c r="F21" i="19"/>
  <c r="F27" i="19"/>
  <c r="V13" i="19"/>
  <c r="Z11" i="19"/>
  <c r="Y36" i="19"/>
  <c r="Z36" i="19"/>
  <c r="Z21" i="19"/>
  <c r="V14" i="19"/>
  <c r="R32" i="19"/>
  <c r="F20" i="19"/>
  <c r="Y35" i="19"/>
  <c r="Z35" i="19"/>
  <c r="Z20" i="19"/>
  <c r="N13" i="19"/>
  <c r="F10" i="19"/>
  <c r="F22" i="19"/>
  <c r="F4" i="19"/>
  <c r="F23" i="19"/>
  <c r="F12" i="19"/>
  <c r="Y37" i="19"/>
  <c r="Z37" i="19"/>
  <c r="Z22" i="19"/>
  <c r="F9" i="19"/>
  <c r="F3" i="19"/>
  <c r="F11" i="19"/>
  <c r="Y32" i="19"/>
  <c r="Z32" i="19"/>
  <c r="Z17" i="19"/>
  <c r="F18" i="19"/>
  <c r="F24" i="19"/>
  <c r="F17" i="19"/>
  <c r="V8" i="19"/>
  <c r="AD4" i="19"/>
  <c r="Z3" i="19"/>
  <c r="R13" i="19"/>
  <c r="I39" i="19"/>
  <c r="I36" i="19"/>
  <c r="H36" i="19"/>
  <c r="I34" i="19"/>
  <c r="E34" i="19"/>
  <c r="T42" i="19"/>
  <c r="V42" i="19"/>
  <c r="I42" i="19"/>
  <c r="H42" i="19"/>
  <c r="T41" i="19"/>
  <c r="V41" i="19"/>
  <c r="I41" i="19"/>
  <c r="H41" i="19"/>
  <c r="T40" i="19"/>
  <c r="V40" i="19"/>
  <c r="I40" i="19"/>
  <c r="H40" i="19"/>
  <c r="E40" i="19"/>
  <c r="D40" i="19"/>
  <c r="T39" i="19"/>
  <c r="V39" i="19"/>
  <c r="H39" i="19"/>
  <c r="T38" i="19"/>
  <c r="V38" i="19"/>
  <c r="I38" i="19"/>
  <c r="H38" i="19"/>
  <c r="T37" i="19"/>
  <c r="V37" i="19"/>
  <c r="I37" i="19"/>
  <c r="H37" i="19"/>
  <c r="T36" i="19"/>
  <c r="V36" i="19"/>
  <c r="T35" i="19"/>
  <c r="V35" i="19"/>
  <c r="I35" i="19"/>
  <c r="H35" i="19"/>
  <c r="T34" i="19"/>
  <c r="V34" i="19"/>
  <c r="H34" i="19"/>
  <c r="D34" i="19"/>
  <c r="T33" i="19"/>
  <c r="V33" i="19"/>
  <c r="I33" i="19"/>
  <c r="H33" i="19"/>
  <c r="I32" i="19"/>
  <c r="H32" i="19"/>
  <c r="E14" i="19"/>
  <c r="D14" i="19"/>
  <c r="I14" i="19"/>
  <c r="AD64" i="19"/>
  <c r="AC64" i="19"/>
  <c r="AD45" i="19"/>
  <c r="AC45" i="19"/>
  <c r="I8" i="19"/>
  <c r="Y13" i="19"/>
  <c r="AC4" i="19"/>
  <c r="AJ3" i="19"/>
  <c r="AK11" i="19"/>
  <c r="H13" i="19"/>
  <c r="E13" i="19"/>
  <c r="D13" i="19"/>
  <c r="AJ5" i="19"/>
  <c r="AE4" i="19"/>
  <c r="F34" i="19"/>
  <c r="J34" i="19"/>
  <c r="J32" i="19"/>
  <c r="J40" i="19"/>
  <c r="J33" i="19"/>
  <c r="J38" i="19"/>
  <c r="N38" i="19"/>
  <c r="N33" i="19"/>
  <c r="J41" i="19"/>
  <c r="N32" i="19"/>
  <c r="N35" i="19"/>
  <c r="J35" i="19"/>
  <c r="J39" i="19"/>
  <c r="F13" i="19"/>
  <c r="N42" i="19"/>
  <c r="N40" i="19"/>
  <c r="N36" i="19"/>
  <c r="J36" i="19"/>
  <c r="N39" i="19"/>
  <c r="N41" i="19"/>
  <c r="J37" i="19"/>
  <c r="F14" i="19"/>
  <c r="N34" i="19"/>
  <c r="N37" i="19"/>
  <c r="F40" i="19"/>
  <c r="J42" i="19"/>
  <c r="D32" i="19"/>
  <c r="E32" i="19"/>
  <c r="D37" i="19"/>
  <c r="D41" i="19"/>
  <c r="C50" i="19"/>
  <c r="E37" i="19"/>
  <c r="E41" i="19"/>
  <c r="D35" i="19"/>
  <c r="I13" i="19"/>
  <c r="J13" i="19"/>
  <c r="D8" i="19"/>
  <c r="X8" i="19"/>
  <c r="H14" i="19"/>
  <c r="J14" i="19"/>
  <c r="N14" i="19"/>
  <c r="E8" i="19"/>
  <c r="Y8" i="19"/>
  <c r="Y15" i="19"/>
  <c r="N8" i="19"/>
  <c r="H8" i="19"/>
  <c r="J8" i="19"/>
  <c r="AE64" i="19"/>
  <c r="AE45" i="19"/>
  <c r="X13" i="19"/>
  <c r="E35" i="19"/>
  <c r="D38" i="19"/>
  <c r="D42" i="19"/>
  <c r="C51" i="19"/>
  <c r="X14" i="19"/>
  <c r="Y14" i="19"/>
  <c r="D39" i="19"/>
  <c r="AJ11" i="19"/>
  <c r="D36" i="19"/>
  <c r="E39" i="19"/>
  <c r="E33" i="19"/>
  <c r="T32" i="19"/>
  <c r="V32" i="19"/>
  <c r="E36" i="19"/>
  <c r="D33" i="19"/>
  <c r="C49" i="19"/>
  <c r="E38" i="19"/>
  <c r="E42" i="19"/>
  <c r="Z8" i="19"/>
  <c r="X15" i="19"/>
  <c r="Z15" i="19"/>
  <c r="F39" i="19"/>
  <c r="AJ12" i="19"/>
  <c r="AJ13" i="19"/>
  <c r="AJ14" i="19"/>
  <c r="AJ15" i="19"/>
  <c r="AJ16" i="19"/>
  <c r="AJ17" i="19"/>
  <c r="AJ18" i="19"/>
  <c r="AJ19" i="19"/>
  <c r="AJ20" i="19"/>
  <c r="AJ21" i="19"/>
  <c r="AJ22" i="19"/>
  <c r="AJ23" i="19"/>
  <c r="AJ24" i="19"/>
  <c r="AJ25" i="19"/>
  <c r="AJ26" i="19"/>
  <c r="AJ27" i="19"/>
  <c r="AJ28" i="19"/>
  <c r="AJ29" i="19"/>
  <c r="AJ30" i="19"/>
  <c r="AJ31" i="19"/>
  <c r="Z14" i="19"/>
  <c r="F36" i="19"/>
  <c r="F37" i="19"/>
  <c r="AE25" i="19"/>
  <c r="F35" i="19"/>
  <c r="F8" i="19"/>
  <c r="D50" i="19"/>
  <c r="F41" i="19"/>
  <c r="D48" i="19"/>
  <c r="F32" i="19"/>
  <c r="Z13" i="19"/>
  <c r="D49" i="19"/>
  <c r="F33" i="19"/>
  <c r="D51" i="19"/>
  <c r="F42" i="19"/>
  <c r="F38" i="19"/>
  <c r="C52" i="19"/>
  <c r="C48" i="19"/>
  <c r="C53" i="19"/>
  <c r="D53" i="19"/>
  <c r="AJ4" i="19"/>
  <c r="AK12" i="19"/>
  <c r="AK13" i="19"/>
  <c r="AK14" i="19"/>
  <c r="AK15" i="19"/>
  <c r="AK16" i="19"/>
  <c r="AK17" i="19"/>
  <c r="AK18" i="19"/>
  <c r="AK19" i="19"/>
  <c r="AK20" i="19"/>
  <c r="AK21" i="19"/>
  <c r="AK22" i="19"/>
  <c r="AK23" i="19"/>
  <c r="AK24" i="19"/>
  <c r="AK25" i="19"/>
  <c r="AK26" i="19"/>
  <c r="AK27" i="19"/>
  <c r="AK28" i="19"/>
  <c r="AK29" i="19"/>
  <c r="AK30" i="19"/>
  <c r="AK31" i="19"/>
  <c r="D52" i="19"/>
  <c r="C54" i="19"/>
  <c r="G53" i="19"/>
  <c r="AJ6" i="19"/>
  <c r="AJ7" i="19"/>
  <c r="D54" i="19"/>
  <c r="G52" i="19"/>
  <c r="G50" i="19"/>
  <c r="G51" i="19"/>
  <c r="G48" i="19"/>
  <c r="G49" i="19"/>
  <c r="H50" i="19"/>
  <c r="H48" i="19"/>
  <c r="H49" i="19"/>
  <c r="H51" i="19"/>
  <c r="H52" i="19"/>
  <c r="H53" i="19"/>
  <c r="Q49" i="15"/>
  <c r="R49" i="15"/>
  <c r="R11" i="15"/>
  <c r="Q11" i="15"/>
  <c r="R10" i="15"/>
  <c r="Q10" i="15"/>
  <c r="R9" i="15"/>
  <c r="Q9" i="15"/>
  <c r="R8" i="15"/>
  <c r="Q8" i="15"/>
  <c r="R7" i="15"/>
  <c r="Q7" i="15"/>
  <c r="Q6" i="15"/>
  <c r="R6" i="15"/>
  <c r="R5" i="15"/>
  <c r="Q5" i="15"/>
  <c r="R4" i="15"/>
  <c r="Q4" i="15"/>
  <c r="R3" i="15"/>
  <c r="Q3" i="15"/>
  <c r="O11" i="15"/>
  <c r="N11" i="15"/>
  <c r="O10" i="15"/>
  <c r="N10" i="15"/>
  <c r="O9" i="15"/>
  <c r="N9" i="15"/>
  <c r="O8" i="15"/>
  <c r="N8" i="15"/>
  <c r="O7" i="15"/>
  <c r="N7" i="15"/>
  <c r="O6" i="15"/>
  <c r="N6" i="15"/>
  <c r="O5" i="15"/>
  <c r="N5" i="15"/>
  <c r="O4" i="15"/>
  <c r="N4" i="15"/>
  <c r="O3" i="15"/>
  <c r="N3" i="15"/>
  <c r="L49" i="15"/>
  <c r="K49" i="15"/>
  <c r="K80" i="15"/>
  <c r="L80" i="15"/>
  <c r="N80" i="15"/>
  <c r="O80" i="15"/>
  <c r="Q80" i="15"/>
  <c r="R80" i="15"/>
  <c r="N49" i="15"/>
  <c r="O49" i="15"/>
  <c r="K18" i="15"/>
  <c r="K11" i="15"/>
  <c r="K10" i="15"/>
  <c r="K9" i="15"/>
  <c r="K8" i="15"/>
  <c r="L7" i="15"/>
  <c r="K7" i="15"/>
  <c r="L6" i="15"/>
  <c r="K6" i="15"/>
  <c r="L5" i="15"/>
  <c r="K5" i="15"/>
  <c r="L4" i="15"/>
  <c r="K4" i="15"/>
  <c r="L3" i="15"/>
  <c r="K3" i="15"/>
  <c r="I80" i="15"/>
  <c r="H80" i="15"/>
  <c r="I49" i="15"/>
  <c r="H49" i="15"/>
  <c r="I11" i="15"/>
  <c r="H11" i="15"/>
  <c r="I10" i="15"/>
  <c r="H10" i="15"/>
  <c r="I9" i="15"/>
  <c r="H9" i="15"/>
  <c r="I8" i="15"/>
  <c r="H8" i="15"/>
  <c r="I7" i="15"/>
  <c r="H7" i="15"/>
  <c r="I6" i="15"/>
  <c r="H6" i="15"/>
  <c r="I5" i="15"/>
  <c r="H5" i="15"/>
  <c r="I4" i="15"/>
  <c r="H4" i="15"/>
  <c r="I3" i="15"/>
  <c r="H3" i="15"/>
  <c r="F80" i="15"/>
  <c r="E80" i="15"/>
  <c r="W80" i="3"/>
  <c r="W81" i="3"/>
  <c r="W82" i="3"/>
  <c r="W83" i="3"/>
  <c r="W84" i="3"/>
  <c r="W85" i="3"/>
  <c r="W86" i="3"/>
  <c r="W87" i="3"/>
  <c r="F49" i="15"/>
  <c r="E49" i="15"/>
  <c r="F11" i="15"/>
  <c r="E11" i="15"/>
  <c r="F10" i="15"/>
  <c r="E10" i="15"/>
  <c r="F9" i="15"/>
  <c r="E9" i="15"/>
  <c r="F8" i="15"/>
  <c r="E8" i="15"/>
  <c r="F7" i="15"/>
  <c r="E7" i="15"/>
  <c r="F6" i="15"/>
  <c r="E6" i="15"/>
  <c r="F5" i="15"/>
  <c r="E5" i="15"/>
  <c r="F4" i="15"/>
  <c r="E4" i="15"/>
  <c r="F3" i="15"/>
  <c r="E3" i="15"/>
  <c r="F7" i="14"/>
  <c r="F3" i="14"/>
  <c r="F2" i="14"/>
  <c r="H38" i="14"/>
  <c r="I38" i="14"/>
  <c r="J38" i="14"/>
  <c r="K38" i="14"/>
  <c r="L38" i="14"/>
  <c r="M38" i="14"/>
  <c r="N38" i="14"/>
  <c r="O38" i="14"/>
  <c r="P38" i="14"/>
  <c r="Q38" i="14"/>
  <c r="R38" i="14"/>
  <c r="S38" i="14"/>
  <c r="T38" i="14"/>
  <c r="U38" i="14"/>
  <c r="V38" i="14"/>
  <c r="W38" i="14"/>
  <c r="X38" i="14"/>
  <c r="H37" i="14"/>
  <c r="I37" i="14"/>
  <c r="J37" i="14"/>
  <c r="K37" i="14"/>
  <c r="L37" i="14"/>
  <c r="M37" i="14"/>
  <c r="N37" i="14"/>
  <c r="O37" i="14"/>
  <c r="P37" i="14"/>
  <c r="Q37" i="14"/>
  <c r="R37" i="14"/>
  <c r="S37" i="14"/>
  <c r="T37" i="14"/>
  <c r="U37" i="14"/>
  <c r="V37" i="14"/>
  <c r="W37" i="14"/>
  <c r="X37" i="14"/>
  <c r="H36" i="14"/>
  <c r="I36" i="14"/>
  <c r="J36" i="14"/>
  <c r="K36" i="14"/>
  <c r="L36" i="14"/>
  <c r="M36" i="14"/>
  <c r="N36" i="14"/>
  <c r="O36" i="14"/>
  <c r="P36" i="14"/>
  <c r="Q36" i="14"/>
  <c r="R36" i="14"/>
  <c r="S36" i="14"/>
  <c r="T36" i="14"/>
  <c r="U36" i="14"/>
  <c r="V36" i="14"/>
  <c r="W36" i="14"/>
  <c r="X36" i="14"/>
  <c r="H35" i="14"/>
  <c r="I35" i="14"/>
  <c r="J35" i="14"/>
  <c r="K35" i="14"/>
  <c r="L35" i="14"/>
  <c r="M35" i="14"/>
  <c r="N35" i="14"/>
  <c r="O35" i="14"/>
  <c r="P35" i="14"/>
  <c r="Q35" i="14"/>
  <c r="R35" i="14"/>
  <c r="S35" i="14"/>
  <c r="T35" i="14"/>
  <c r="U35" i="14"/>
  <c r="V35" i="14"/>
  <c r="W35" i="14"/>
  <c r="X35" i="14"/>
  <c r="H34" i="14"/>
  <c r="I34" i="14"/>
  <c r="J34" i="14"/>
  <c r="K34" i="14"/>
  <c r="L34" i="14"/>
  <c r="M34" i="14"/>
  <c r="N34" i="14"/>
  <c r="O34" i="14"/>
  <c r="P34" i="14"/>
  <c r="Q34" i="14"/>
  <c r="R34" i="14"/>
  <c r="S34" i="14"/>
  <c r="T34" i="14"/>
  <c r="U34" i="14"/>
  <c r="V34" i="14"/>
  <c r="W34" i="14"/>
  <c r="X34" i="14"/>
  <c r="L25" i="14"/>
  <c r="L24" i="14"/>
  <c r="L23" i="14"/>
  <c r="L22" i="14"/>
  <c r="L21" i="14"/>
  <c r="J17" i="14"/>
  <c r="H17" i="14"/>
  <c r="F4" i="14"/>
  <c r="B17" i="14"/>
  <c r="D9" i="14"/>
  <c r="E5" i="14"/>
  <c r="K8" i="14"/>
  <c r="K7" i="14"/>
  <c r="E7" i="14"/>
  <c r="K6" i="14"/>
  <c r="L6" i="14"/>
  <c r="U4" i="14"/>
  <c r="K4" i="14"/>
  <c r="V3" i="14"/>
  <c r="E3" i="14"/>
  <c r="V2" i="14"/>
  <c r="V4" i="14"/>
  <c r="V5" i="14"/>
  <c r="V6" i="14"/>
  <c r="F8" i="13"/>
  <c r="L16" i="13"/>
  <c r="F7" i="13"/>
  <c r="F5" i="13"/>
  <c r="F3" i="13"/>
  <c r="F2" i="13"/>
  <c r="H38" i="13"/>
  <c r="I38" i="13"/>
  <c r="J38" i="13"/>
  <c r="K38" i="13"/>
  <c r="L38" i="13"/>
  <c r="M38" i="13"/>
  <c r="N38" i="13"/>
  <c r="O38" i="13"/>
  <c r="P38" i="13"/>
  <c r="Q38" i="13"/>
  <c r="R38" i="13"/>
  <c r="S38" i="13"/>
  <c r="T38" i="13"/>
  <c r="U38" i="13"/>
  <c r="V38" i="13"/>
  <c r="W38" i="13"/>
  <c r="X38" i="13"/>
  <c r="H37" i="13"/>
  <c r="I37" i="13"/>
  <c r="J37" i="13"/>
  <c r="K37" i="13"/>
  <c r="L37" i="13"/>
  <c r="M37" i="13"/>
  <c r="N37" i="13"/>
  <c r="O37" i="13"/>
  <c r="P37" i="13"/>
  <c r="Q37" i="13"/>
  <c r="R37" i="13"/>
  <c r="S37" i="13"/>
  <c r="T37" i="13"/>
  <c r="U37" i="13"/>
  <c r="V37" i="13"/>
  <c r="W37" i="13"/>
  <c r="X37" i="13"/>
  <c r="H36" i="13"/>
  <c r="I36" i="13"/>
  <c r="J36" i="13"/>
  <c r="K36" i="13"/>
  <c r="L36" i="13"/>
  <c r="M36" i="13"/>
  <c r="N36" i="13"/>
  <c r="O36" i="13"/>
  <c r="P36" i="13"/>
  <c r="Q36" i="13"/>
  <c r="R36" i="13"/>
  <c r="S36" i="13"/>
  <c r="T36" i="13"/>
  <c r="U36" i="13"/>
  <c r="V36" i="13"/>
  <c r="W36" i="13"/>
  <c r="X36" i="13"/>
  <c r="J35" i="13"/>
  <c r="K35" i="13"/>
  <c r="L35" i="13"/>
  <c r="M35" i="13"/>
  <c r="N35" i="13"/>
  <c r="O35" i="13"/>
  <c r="P35" i="13"/>
  <c r="Q35" i="13"/>
  <c r="R35" i="13"/>
  <c r="S35" i="13"/>
  <c r="T35" i="13"/>
  <c r="U35" i="13"/>
  <c r="V35" i="13"/>
  <c r="W35" i="13"/>
  <c r="X35" i="13"/>
  <c r="H35" i="13"/>
  <c r="I35" i="13"/>
  <c r="H34" i="13"/>
  <c r="I34" i="13"/>
  <c r="J34" i="13"/>
  <c r="K34" i="13"/>
  <c r="L34" i="13"/>
  <c r="M34" i="13"/>
  <c r="N34" i="13"/>
  <c r="O34" i="13"/>
  <c r="P34" i="13"/>
  <c r="Q34" i="13"/>
  <c r="R34" i="13"/>
  <c r="S34" i="13"/>
  <c r="T34" i="13"/>
  <c r="U34" i="13"/>
  <c r="V34" i="13"/>
  <c r="W34" i="13"/>
  <c r="X34" i="13"/>
  <c r="L25" i="13"/>
  <c r="L24" i="13"/>
  <c r="L23" i="13"/>
  <c r="L22" i="13"/>
  <c r="L21" i="13"/>
  <c r="J17" i="13"/>
  <c r="H17" i="13"/>
  <c r="B17" i="13"/>
  <c r="D9" i="13"/>
  <c r="K8" i="13"/>
  <c r="L8" i="13"/>
  <c r="E8" i="13"/>
  <c r="K7" i="13"/>
  <c r="E7" i="13"/>
  <c r="K6" i="13"/>
  <c r="L6" i="13"/>
  <c r="E6" i="13"/>
  <c r="E5" i="13"/>
  <c r="U4" i="13"/>
  <c r="K4" i="13"/>
  <c r="F4" i="13"/>
  <c r="E4" i="13"/>
  <c r="V3" i="13"/>
  <c r="V4" i="13"/>
  <c r="V5" i="13"/>
  <c r="V6" i="13"/>
  <c r="E3" i="13"/>
  <c r="E9" i="13"/>
  <c r="V2" i="13"/>
  <c r="E2" i="13"/>
  <c r="M51" i="12"/>
  <c r="N51" i="12"/>
  <c r="O51" i="12"/>
  <c r="P51" i="12"/>
  <c r="Q51" i="12"/>
  <c r="R51" i="12"/>
  <c r="S51" i="12"/>
  <c r="T51" i="12"/>
  <c r="U51" i="12"/>
  <c r="V51" i="12"/>
  <c r="W51" i="12"/>
  <c r="X51" i="12"/>
  <c r="Y51" i="12"/>
  <c r="Z51" i="12"/>
  <c r="AA51" i="12"/>
  <c r="M53" i="12"/>
  <c r="N53" i="12"/>
  <c r="O53" i="12"/>
  <c r="P53" i="12"/>
  <c r="Q53" i="12"/>
  <c r="R53" i="12"/>
  <c r="S53" i="12"/>
  <c r="T53" i="12"/>
  <c r="U53" i="12"/>
  <c r="V53" i="12"/>
  <c r="W53" i="12"/>
  <c r="X53" i="12"/>
  <c r="Y53" i="12"/>
  <c r="Z53" i="12"/>
  <c r="AA53" i="12"/>
  <c r="M54" i="12"/>
  <c r="N54" i="12"/>
  <c r="O54" i="12"/>
  <c r="P54" i="12"/>
  <c r="Q54" i="12"/>
  <c r="R54" i="12"/>
  <c r="S54" i="12"/>
  <c r="T54" i="12"/>
  <c r="U54" i="12"/>
  <c r="V54" i="12"/>
  <c r="W54" i="12"/>
  <c r="X54" i="12"/>
  <c r="Y54" i="12"/>
  <c r="Z54" i="12"/>
  <c r="AA54" i="12"/>
  <c r="J51" i="12"/>
  <c r="K51" i="12"/>
  <c r="L51" i="12"/>
  <c r="J53" i="12"/>
  <c r="K53" i="12"/>
  <c r="L53" i="12"/>
  <c r="J54" i="12"/>
  <c r="K54" i="12"/>
  <c r="L54" i="12"/>
  <c r="I54" i="12"/>
  <c r="I53" i="12"/>
  <c r="I52" i="12"/>
  <c r="J52" i="12"/>
  <c r="K52" i="12"/>
  <c r="L52" i="12"/>
  <c r="M52" i="12"/>
  <c r="N52" i="12"/>
  <c r="O52" i="12"/>
  <c r="P52" i="12"/>
  <c r="Q52" i="12"/>
  <c r="R52" i="12"/>
  <c r="S52" i="12"/>
  <c r="T52" i="12"/>
  <c r="U52" i="12"/>
  <c r="V52" i="12"/>
  <c r="W52" i="12"/>
  <c r="X52" i="12"/>
  <c r="Y52" i="12"/>
  <c r="Z52" i="12"/>
  <c r="AA52" i="12"/>
  <c r="I51" i="12"/>
  <c r="H51" i="12"/>
  <c r="H52" i="12"/>
  <c r="H53" i="12"/>
  <c r="H54" i="12"/>
  <c r="N44" i="12"/>
  <c r="O44" i="12"/>
  <c r="P44" i="12"/>
  <c r="Q44" i="12"/>
  <c r="R44" i="12"/>
  <c r="S44" i="12"/>
  <c r="T44" i="12"/>
  <c r="U44" i="12"/>
  <c r="V44" i="12"/>
  <c r="W44" i="12"/>
  <c r="X44" i="12"/>
  <c r="Y44" i="12"/>
  <c r="Z44" i="12"/>
  <c r="AA44" i="12"/>
  <c r="N45" i="12"/>
  <c r="O45" i="12"/>
  <c r="P45" i="12"/>
  <c r="Q45" i="12"/>
  <c r="R45" i="12"/>
  <c r="S45" i="12"/>
  <c r="T45" i="12"/>
  <c r="U45" i="12"/>
  <c r="V45" i="12"/>
  <c r="W45" i="12"/>
  <c r="X45" i="12"/>
  <c r="Y45" i="12"/>
  <c r="Z45" i="12"/>
  <c r="AA45" i="12"/>
  <c r="N46" i="12"/>
  <c r="O46" i="12"/>
  <c r="P46" i="12"/>
  <c r="Q46" i="12"/>
  <c r="R46" i="12"/>
  <c r="S46" i="12"/>
  <c r="T46" i="12"/>
  <c r="U46" i="12"/>
  <c r="V46" i="12"/>
  <c r="W46" i="12"/>
  <c r="X46" i="12"/>
  <c r="Y46" i="12"/>
  <c r="Z46" i="12"/>
  <c r="AA46" i="12"/>
  <c r="J44" i="12"/>
  <c r="K44" i="12"/>
  <c r="L44" i="12"/>
  <c r="M44" i="12"/>
  <c r="J45" i="12"/>
  <c r="K45" i="12"/>
  <c r="L45" i="12"/>
  <c r="M45" i="12"/>
  <c r="J46" i="12"/>
  <c r="K46" i="12"/>
  <c r="L46" i="12"/>
  <c r="M46" i="12"/>
  <c r="I46" i="12"/>
  <c r="I45" i="12"/>
  <c r="J43" i="12"/>
  <c r="K43" i="12"/>
  <c r="L43" i="12"/>
  <c r="M43" i="12"/>
  <c r="N43" i="12"/>
  <c r="O43" i="12"/>
  <c r="P43" i="12"/>
  <c r="Q43" i="12"/>
  <c r="R43" i="12"/>
  <c r="S43" i="12"/>
  <c r="T43" i="12"/>
  <c r="U43" i="12"/>
  <c r="V43" i="12"/>
  <c r="W43" i="12"/>
  <c r="X43" i="12"/>
  <c r="Y43" i="12"/>
  <c r="Z43" i="12"/>
  <c r="AA43" i="12"/>
  <c r="I43" i="12"/>
  <c r="I44" i="12"/>
  <c r="H46" i="12"/>
  <c r="H45" i="12"/>
  <c r="H44" i="12"/>
  <c r="H43" i="12"/>
  <c r="H38" i="12"/>
  <c r="I38" i="12"/>
  <c r="J38" i="12"/>
  <c r="K38" i="12"/>
  <c r="L38" i="12"/>
  <c r="M38" i="12"/>
  <c r="N38" i="12"/>
  <c r="O38" i="12"/>
  <c r="P38" i="12"/>
  <c r="Q38" i="12"/>
  <c r="R38" i="12"/>
  <c r="S38" i="12"/>
  <c r="T38" i="12"/>
  <c r="U38" i="12"/>
  <c r="V38" i="12"/>
  <c r="W38" i="12"/>
  <c r="X38" i="12"/>
  <c r="H37" i="12"/>
  <c r="H36" i="12"/>
  <c r="H35" i="12"/>
  <c r="I37" i="12"/>
  <c r="J37" i="12"/>
  <c r="K37" i="12"/>
  <c r="L37" i="12"/>
  <c r="M37" i="12"/>
  <c r="N37" i="12"/>
  <c r="O37" i="12"/>
  <c r="P37" i="12"/>
  <c r="Q37" i="12"/>
  <c r="R37" i="12"/>
  <c r="S37" i="12"/>
  <c r="T37" i="12"/>
  <c r="U37" i="12"/>
  <c r="V37" i="12"/>
  <c r="W37" i="12"/>
  <c r="X37" i="12"/>
  <c r="F7" i="12"/>
  <c r="I36" i="12"/>
  <c r="J36" i="12"/>
  <c r="K36" i="12"/>
  <c r="L36" i="12"/>
  <c r="M36" i="12"/>
  <c r="N36" i="12"/>
  <c r="O36" i="12"/>
  <c r="P36" i="12"/>
  <c r="Q36" i="12"/>
  <c r="R36" i="12"/>
  <c r="S36" i="12"/>
  <c r="T36" i="12"/>
  <c r="U36" i="12"/>
  <c r="V36" i="12"/>
  <c r="W36" i="12"/>
  <c r="X36" i="12"/>
  <c r="F5" i="12"/>
  <c r="I35" i="12"/>
  <c r="J35" i="12"/>
  <c r="K35" i="12"/>
  <c r="L35" i="12"/>
  <c r="M35" i="12"/>
  <c r="N35" i="12"/>
  <c r="O35" i="12"/>
  <c r="P35" i="12"/>
  <c r="Q35" i="12"/>
  <c r="R35" i="12"/>
  <c r="S35" i="12"/>
  <c r="T35" i="12"/>
  <c r="U35" i="12"/>
  <c r="V35" i="12"/>
  <c r="W35" i="12"/>
  <c r="X35" i="12"/>
  <c r="F3" i="12"/>
  <c r="H45" i="14"/>
  <c r="I45" i="14"/>
  <c r="J45" i="14"/>
  <c r="K45" i="14"/>
  <c r="L45" i="14"/>
  <c r="M45" i="14"/>
  <c r="N45" i="14"/>
  <c r="O45" i="14"/>
  <c r="P45" i="14"/>
  <c r="Q45" i="14"/>
  <c r="R45" i="14"/>
  <c r="S45" i="14"/>
  <c r="T45" i="14"/>
  <c r="U45" i="14"/>
  <c r="V45" i="14"/>
  <c r="W45" i="14"/>
  <c r="X45" i="14"/>
  <c r="Y45" i="14"/>
  <c r="Z45" i="14"/>
  <c r="AA45" i="14"/>
  <c r="H53" i="14"/>
  <c r="I53" i="14"/>
  <c r="J53" i="14"/>
  <c r="K53" i="14"/>
  <c r="L53" i="14"/>
  <c r="M53" i="14"/>
  <c r="N53" i="14"/>
  <c r="O53" i="14"/>
  <c r="P53" i="14"/>
  <c r="Q53" i="14"/>
  <c r="R53" i="14"/>
  <c r="S53" i="14"/>
  <c r="T53" i="14"/>
  <c r="U53" i="14"/>
  <c r="V53" i="14"/>
  <c r="W53" i="14"/>
  <c r="X53" i="14"/>
  <c r="Y53" i="14"/>
  <c r="Z53" i="14"/>
  <c r="AA53" i="14"/>
  <c r="H51" i="14"/>
  <c r="I51" i="14"/>
  <c r="J51" i="14"/>
  <c r="K51" i="14"/>
  <c r="L51" i="14"/>
  <c r="M51" i="14"/>
  <c r="N51" i="14"/>
  <c r="O51" i="14"/>
  <c r="P51" i="14"/>
  <c r="Q51" i="14"/>
  <c r="R51" i="14"/>
  <c r="S51" i="14"/>
  <c r="T51" i="14"/>
  <c r="U51" i="14"/>
  <c r="V51" i="14"/>
  <c r="W51" i="14"/>
  <c r="X51" i="14"/>
  <c r="Y51" i="14"/>
  <c r="Z51" i="14"/>
  <c r="AA51" i="14"/>
  <c r="H43" i="14"/>
  <c r="I43" i="14"/>
  <c r="J43" i="14"/>
  <c r="K43" i="14"/>
  <c r="L43" i="14"/>
  <c r="M43" i="14"/>
  <c r="N43" i="14"/>
  <c r="O43" i="14"/>
  <c r="P43" i="14"/>
  <c r="Q43" i="14"/>
  <c r="R43" i="14"/>
  <c r="S43" i="14"/>
  <c r="T43" i="14"/>
  <c r="U43" i="14"/>
  <c r="V43" i="14"/>
  <c r="W43" i="14"/>
  <c r="X43" i="14"/>
  <c r="Y43" i="14"/>
  <c r="Z43" i="14"/>
  <c r="AA43" i="14"/>
  <c r="H52" i="14"/>
  <c r="I52" i="14"/>
  <c r="J52" i="14"/>
  <c r="K52" i="14"/>
  <c r="L52" i="14"/>
  <c r="M52" i="14"/>
  <c r="N52" i="14"/>
  <c r="O52" i="14"/>
  <c r="P52" i="14"/>
  <c r="Q52" i="14"/>
  <c r="R52" i="14"/>
  <c r="S52" i="14"/>
  <c r="T52" i="14"/>
  <c r="U52" i="14"/>
  <c r="V52" i="14"/>
  <c r="W52" i="14"/>
  <c r="X52" i="14"/>
  <c r="Y52" i="14"/>
  <c r="Z52" i="14"/>
  <c r="AA52" i="14"/>
  <c r="F5" i="14"/>
  <c r="H44" i="14"/>
  <c r="I44" i="14"/>
  <c r="J44" i="14"/>
  <c r="K44" i="14"/>
  <c r="L44" i="14"/>
  <c r="M44" i="14"/>
  <c r="N44" i="14"/>
  <c r="O44" i="14"/>
  <c r="P44" i="14"/>
  <c r="Q44" i="14"/>
  <c r="R44" i="14"/>
  <c r="S44" i="14"/>
  <c r="T44" i="14"/>
  <c r="U44" i="14"/>
  <c r="V44" i="14"/>
  <c r="W44" i="14"/>
  <c r="X44" i="14"/>
  <c r="Y44" i="14"/>
  <c r="Z44" i="14"/>
  <c r="AA44" i="14"/>
  <c r="H42" i="14"/>
  <c r="I42" i="14"/>
  <c r="J42" i="14"/>
  <c r="K42" i="14"/>
  <c r="L42" i="14"/>
  <c r="M42" i="14"/>
  <c r="N42" i="14"/>
  <c r="O42" i="14"/>
  <c r="P42" i="14"/>
  <c r="Q42" i="14"/>
  <c r="R42" i="14"/>
  <c r="S42" i="14"/>
  <c r="T42" i="14"/>
  <c r="U42" i="14"/>
  <c r="V42" i="14"/>
  <c r="W42" i="14"/>
  <c r="X42" i="14"/>
  <c r="Y42" i="14"/>
  <c r="Z42" i="14"/>
  <c r="AA42" i="14"/>
  <c r="H50" i="14"/>
  <c r="I50" i="14"/>
  <c r="J50" i="14"/>
  <c r="K50" i="14"/>
  <c r="L50" i="14"/>
  <c r="M50" i="14"/>
  <c r="N50" i="14"/>
  <c r="O50" i="14"/>
  <c r="P50" i="14"/>
  <c r="Q50" i="14"/>
  <c r="R50" i="14"/>
  <c r="S50" i="14"/>
  <c r="T50" i="14"/>
  <c r="U50" i="14"/>
  <c r="V50" i="14"/>
  <c r="W50" i="14"/>
  <c r="X50" i="14"/>
  <c r="Y50" i="14"/>
  <c r="Z50" i="14"/>
  <c r="AA50" i="14"/>
  <c r="H54" i="14"/>
  <c r="I54" i="14"/>
  <c r="J54" i="14"/>
  <c r="K54" i="14"/>
  <c r="L54" i="14"/>
  <c r="M54" i="14"/>
  <c r="N54" i="14"/>
  <c r="O54" i="14"/>
  <c r="P54" i="14"/>
  <c r="Q54" i="14"/>
  <c r="R54" i="14"/>
  <c r="S54" i="14"/>
  <c r="T54" i="14"/>
  <c r="U54" i="14"/>
  <c r="V54" i="14"/>
  <c r="W54" i="14"/>
  <c r="X54" i="14"/>
  <c r="Y54" i="14"/>
  <c r="Z54" i="14"/>
  <c r="AA54" i="14"/>
  <c r="H46" i="14"/>
  <c r="I46" i="14"/>
  <c r="J46" i="14"/>
  <c r="K46" i="14"/>
  <c r="L46" i="14"/>
  <c r="M46" i="14"/>
  <c r="N46" i="14"/>
  <c r="O46" i="14"/>
  <c r="P46" i="14"/>
  <c r="Q46" i="14"/>
  <c r="R46" i="14"/>
  <c r="S46" i="14"/>
  <c r="T46" i="14"/>
  <c r="U46" i="14"/>
  <c r="V46" i="14"/>
  <c r="W46" i="14"/>
  <c r="X46" i="14"/>
  <c r="Y46" i="14"/>
  <c r="Z46" i="14"/>
  <c r="AA46" i="14"/>
  <c r="L4" i="14"/>
  <c r="E8" i="14"/>
  <c r="E6" i="14"/>
  <c r="E2" i="14"/>
  <c r="E4" i="14"/>
  <c r="L13" i="13"/>
  <c r="L14" i="13"/>
  <c r="L17" i="13"/>
  <c r="L15" i="13"/>
  <c r="H51" i="13"/>
  <c r="I51" i="13"/>
  <c r="J51" i="13"/>
  <c r="K51" i="13"/>
  <c r="L51" i="13"/>
  <c r="M51" i="13"/>
  <c r="N51" i="13"/>
  <c r="O51" i="13"/>
  <c r="P51" i="13"/>
  <c r="Q51" i="13"/>
  <c r="R51" i="13"/>
  <c r="S51" i="13"/>
  <c r="T51" i="13"/>
  <c r="U51" i="13"/>
  <c r="V51" i="13"/>
  <c r="W51" i="13"/>
  <c r="X51" i="13"/>
  <c r="Y51" i="13"/>
  <c r="Z51" i="13"/>
  <c r="AA51" i="13"/>
  <c r="H43" i="13"/>
  <c r="I43" i="13"/>
  <c r="J43" i="13"/>
  <c r="K43" i="13"/>
  <c r="L43" i="13"/>
  <c r="M43" i="13"/>
  <c r="N43" i="13"/>
  <c r="O43" i="13"/>
  <c r="P43" i="13"/>
  <c r="Q43" i="13"/>
  <c r="R43" i="13"/>
  <c r="S43" i="13"/>
  <c r="T43" i="13"/>
  <c r="U43" i="13"/>
  <c r="V43" i="13"/>
  <c r="W43" i="13"/>
  <c r="X43" i="13"/>
  <c r="Y43" i="13"/>
  <c r="Z43" i="13"/>
  <c r="AA43" i="13"/>
  <c r="H54" i="13"/>
  <c r="I54" i="13"/>
  <c r="J54" i="13"/>
  <c r="K54" i="13"/>
  <c r="L54" i="13"/>
  <c r="M54" i="13"/>
  <c r="N54" i="13"/>
  <c r="O54" i="13"/>
  <c r="P54" i="13"/>
  <c r="Q54" i="13"/>
  <c r="R54" i="13"/>
  <c r="S54" i="13"/>
  <c r="T54" i="13"/>
  <c r="U54" i="13"/>
  <c r="V54" i="13"/>
  <c r="W54" i="13"/>
  <c r="X54" i="13"/>
  <c r="Y54" i="13"/>
  <c r="Z54" i="13"/>
  <c r="AA54" i="13"/>
  <c r="H46" i="13"/>
  <c r="I46" i="13"/>
  <c r="J46" i="13"/>
  <c r="K46" i="13"/>
  <c r="L46" i="13"/>
  <c r="M46" i="13"/>
  <c r="N46" i="13"/>
  <c r="O46" i="13"/>
  <c r="P46" i="13"/>
  <c r="Q46" i="13"/>
  <c r="R46" i="13"/>
  <c r="S46" i="13"/>
  <c r="T46" i="13"/>
  <c r="U46" i="13"/>
  <c r="V46" i="13"/>
  <c r="W46" i="13"/>
  <c r="X46" i="13"/>
  <c r="Y46" i="13"/>
  <c r="Z46" i="13"/>
  <c r="AA46" i="13"/>
  <c r="H50" i="13"/>
  <c r="I50" i="13"/>
  <c r="J50" i="13"/>
  <c r="K50" i="13"/>
  <c r="L50" i="13"/>
  <c r="M50" i="13"/>
  <c r="N50" i="13"/>
  <c r="O50" i="13"/>
  <c r="P50" i="13"/>
  <c r="Q50" i="13"/>
  <c r="R50" i="13"/>
  <c r="S50" i="13"/>
  <c r="T50" i="13"/>
  <c r="U50" i="13"/>
  <c r="V50" i="13"/>
  <c r="W50" i="13"/>
  <c r="X50" i="13"/>
  <c r="Y50" i="13"/>
  <c r="Z50" i="13"/>
  <c r="AA50" i="13"/>
  <c r="H42" i="13"/>
  <c r="I42" i="13"/>
  <c r="J42" i="13"/>
  <c r="K42" i="13"/>
  <c r="L42" i="13"/>
  <c r="M42" i="13"/>
  <c r="N42" i="13"/>
  <c r="O42" i="13"/>
  <c r="P42" i="13"/>
  <c r="Q42" i="13"/>
  <c r="R42" i="13"/>
  <c r="S42" i="13"/>
  <c r="T42" i="13"/>
  <c r="U42" i="13"/>
  <c r="V42" i="13"/>
  <c r="W42" i="13"/>
  <c r="X42" i="13"/>
  <c r="Y42" i="13"/>
  <c r="Z42" i="13"/>
  <c r="AA42" i="13"/>
  <c r="H53" i="13"/>
  <c r="I53" i="13"/>
  <c r="J53" i="13"/>
  <c r="K53" i="13"/>
  <c r="L53" i="13"/>
  <c r="M53" i="13"/>
  <c r="N53" i="13"/>
  <c r="O53" i="13"/>
  <c r="P53" i="13"/>
  <c r="Q53" i="13"/>
  <c r="R53" i="13"/>
  <c r="S53" i="13"/>
  <c r="T53" i="13"/>
  <c r="U53" i="13"/>
  <c r="V53" i="13"/>
  <c r="W53" i="13"/>
  <c r="X53" i="13"/>
  <c r="Y53" i="13"/>
  <c r="Z53" i="13"/>
  <c r="AA53" i="13"/>
  <c r="H45" i="13"/>
  <c r="I45" i="13"/>
  <c r="J45" i="13"/>
  <c r="K45" i="13"/>
  <c r="L45" i="13"/>
  <c r="M45" i="13"/>
  <c r="N45" i="13"/>
  <c r="O45" i="13"/>
  <c r="P45" i="13"/>
  <c r="Q45" i="13"/>
  <c r="R45" i="13"/>
  <c r="S45" i="13"/>
  <c r="T45" i="13"/>
  <c r="U45" i="13"/>
  <c r="V45" i="13"/>
  <c r="W45" i="13"/>
  <c r="X45" i="13"/>
  <c r="Y45" i="13"/>
  <c r="Z45" i="13"/>
  <c r="AA45" i="13"/>
  <c r="H44" i="13"/>
  <c r="I44" i="13"/>
  <c r="J44" i="13"/>
  <c r="K44" i="13"/>
  <c r="L44" i="13"/>
  <c r="M44" i="13"/>
  <c r="N44" i="13"/>
  <c r="O44" i="13"/>
  <c r="P44" i="13"/>
  <c r="Q44" i="13"/>
  <c r="R44" i="13"/>
  <c r="S44" i="13"/>
  <c r="T44" i="13"/>
  <c r="U44" i="13"/>
  <c r="V44" i="13"/>
  <c r="W44" i="13"/>
  <c r="X44" i="13"/>
  <c r="Y44" i="13"/>
  <c r="Z44" i="13"/>
  <c r="AA44" i="13"/>
  <c r="H52" i="13"/>
  <c r="I52" i="13"/>
  <c r="J52" i="13"/>
  <c r="K52" i="13"/>
  <c r="L52" i="13"/>
  <c r="M52" i="13"/>
  <c r="N52" i="13"/>
  <c r="O52" i="13"/>
  <c r="P52" i="13"/>
  <c r="Q52" i="13"/>
  <c r="R52" i="13"/>
  <c r="S52" i="13"/>
  <c r="T52" i="13"/>
  <c r="U52" i="13"/>
  <c r="V52" i="13"/>
  <c r="W52" i="13"/>
  <c r="X52" i="13"/>
  <c r="Y52" i="13"/>
  <c r="Z52" i="13"/>
  <c r="AA52" i="13"/>
  <c r="L4" i="13"/>
  <c r="E9" i="14"/>
  <c r="L15" i="14"/>
  <c r="L16" i="14"/>
  <c r="L8" i="14"/>
  <c r="L14" i="14"/>
  <c r="G8" i="14"/>
  <c r="L13" i="14"/>
  <c r="K14" i="14"/>
  <c r="K15" i="14"/>
  <c r="K16" i="14"/>
  <c r="L7" i="14"/>
  <c r="K13" i="14"/>
  <c r="L2" i="14"/>
  <c r="F15" i="14"/>
  <c r="F9" i="14"/>
  <c r="F13" i="14"/>
  <c r="F14" i="14"/>
  <c r="F16" i="14"/>
  <c r="G13" i="14"/>
  <c r="G15" i="14"/>
  <c r="G16" i="14"/>
  <c r="G14" i="14"/>
  <c r="L3" i="14"/>
  <c r="I13" i="14"/>
  <c r="I14" i="14"/>
  <c r="I15" i="14"/>
  <c r="I16" i="14"/>
  <c r="L5" i="14"/>
  <c r="I13" i="13"/>
  <c r="I15" i="13"/>
  <c r="L5" i="13"/>
  <c r="I16" i="13"/>
  <c r="I14" i="13"/>
  <c r="G14" i="13"/>
  <c r="G16" i="13"/>
  <c r="L3" i="13"/>
  <c r="G13" i="13"/>
  <c r="G15" i="13"/>
  <c r="L2" i="13"/>
  <c r="F13" i="13"/>
  <c r="F15" i="13"/>
  <c r="F16" i="13"/>
  <c r="F9" i="13"/>
  <c r="G7" i="13"/>
  <c r="F14" i="13"/>
  <c r="K13" i="13"/>
  <c r="K14" i="13"/>
  <c r="K16" i="13"/>
  <c r="L7" i="13"/>
  <c r="K15" i="13"/>
  <c r="G6" i="14"/>
  <c r="M6" i="14"/>
  <c r="G4" i="14"/>
  <c r="M4" i="14"/>
  <c r="I17" i="14"/>
  <c r="E14" i="14"/>
  <c r="E13" i="14"/>
  <c r="F17" i="14"/>
  <c r="M8" i="14"/>
  <c r="U13" i="14"/>
  <c r="K17" i="14"/>
  <c r="G17" i="14"/>
  <c r="G7" i="14"/>
  <c r="M7" i="14"/>
  <c r="L17" i="14"/>
  <c r="G2" i="14"/>
  <c r="M2" i="14"/>
  <c r="O13" i="14"/>
  <c r="E15" i="14"/>
  <c r="G3" i="14"/>
  <c r="M3" i="14"/>
  <c r="P16" i="14"/>
  <c r="G5" i="14"/>
  <c r="M5" i="14"/>
  <c r="R15" i="14"/>
  <c r="E16" i="14"/>
  <c r="E14" i="13"/>
  <c r="G2" i="13"/>
  <c r="M2" i="13"/>
  <c r="M7" i="13"/>
  <c r="T14" i="13"/>
  <c r="K17" i="13"/>
  <c r="G8" i="13"/>
  <c r="M8" i="13"/>
  <c r="G6" i="13"/>
  <c r="M6" i="13"/>
  <c r="G4" i="13"/>
  <c r="M4" i="13"/>
  <c r="E16" i="13"/>
  <c r="E15" i="13"/>
  <c r="F17" i="13"/>
  <c r="E13" i="13"/>
  <c r="G5" i="13"/>
  <c r="M5" i="13"/>
  <c r="I17" i="13"/>
  <c r="G17" i="13"/>
  <c r="G3" i="13"/>
  <c r="M3" i="13"/>
  <c r="U16" i="14"/>
  <c r="U15" i="14"/>
  <c r="R16" i="14"/>
  <c r="O16" i="14"/>
  <c r="R14" i="14"/>
  <c r="O15" i="14"/>
  <c r="R13" i="14"/>
  <c r="T13" i="14"/>
  <c r="T15" i="14"/>
  <c r="T16" i="14"/>
  <c r="T14" i="14"/>
  <c r="M9" i="14"/>
  <c r="U14" i="14"/>
  <c r="O14" i="14"/>
  <c r="P14" i="14"/>
  <c r="P13" i="14"/>
  <c r="P15" i="14"/>
  <c r="E17" i="14"/>
  <c r="T16" i="13"/>
  <c r="T13" i="13"/>
  <c r="O15" i="13"/>
  <c r="O16" i="13"/>
  <c r="T15" i="13"/>
  <c r="T17" i="13"/>
  <c r="T18" i="13"/>
  <c r="M9" i="13"/>
  <c r="O14" i="13"/>
  <c r="O13" i="13"/>
  <c r="P13" i="13"/>
  <c r="P16" i="13"/>
  <c r="P14" i="13"/>
  <c r="P15" i="13"/>
  <c r="R14" i="13"/>
  <c r="R16" i="13"/>
  <c r="U14" i="13"/>
  <c r="U15" i="13"/>
  <c r="U13" i="13"/>
  <c r="U16" i="13"/>
  <c r="R13" i="13"/>
  <c r="E17" i="13"/>
  <c r="R15" i="13"/>
  <c r="L16" i="12"/>
  <c r="L15" i="12"/>
  <c r="L14" i="12"/>
  <c r="L13" i="12"/>
  <c r="K16" i="12"/>
  <c r="K15" i="12"/>
  <c r="K14" i="12"/>
  <c r="K13" i="12"/>
  <c r="I16" i="12"/>
  <c r="I15" i="12"/>
  <c r="I14" i="12"/>
  <c r="I13" i="12"/>
  <c r="Q42" i="1"/>
  <c r="Q39" i="1"/>
  <c r="Q40" i="1"/>
  <c r="Q41" i="1"/>
  <c r="Q38" i="1"/>
  <c r="Q30" i="1"/>
  <c r="Q26" i="1"/>
  <c r="Q27" i="1"/>
  <c r="Q28" i="1"/>
  <c r="Q29" i="1"/>
  <c r="Q25" i="1"/>
  <c r="H17" i="12"/>
  <c r="J17" i="12"/>
  <c r="G16" i="12"/>
  <c r="G15" i="12"/>
  <c r="G14" i="12"/>
  <c r="G13" i="12"/>
  <c r="T39" i="1"/>
  <c r="T40" i="1"/>
  <c r="T41" i="1"/>
  <c r="T42" i="1"/>
  <c r="T38" i="1"/>
  <c r="S42" i="1"/>
  <c r="S39" i="1"/>
  <c r="S40" i="1"/>
  <c r="S41" i="1"/>
  <c r="S38" i="1"/>
  <c r="P39" i="1"/>
  <c r="P40" i="1"/>
  <c r="P41" i="1"/>
  <c r="P38" i="1"/>
  <c r="O39" i="1"/>
  <c r="O40" i="1"/>
  <c r="O41" i="1"/>
  <c r="O38" i="1"/>
  <c r="N39" i="1"/>
  <c r="N40" i="1"/>
  <c r="N41" i="1"/>
  <c r="N38" i="1"/>
  <c r="D42" i="1"/>
  <c r="E42" i="1"/>
  <c r="P42" i="1"/>
  <c r="F42" i="1"/>
  <c r="G42" i="1"/>
  <c r="H42" i="1"/>
  <c r="I42" i="1"/>
  <c r="C42" i="1"/>
  <c r="O42" i="1"/>
  <c r="B42" i="1"/>
  <c r="B41" i="1"/>
  <c r="N42" i="1"/>
  <c r="P26" i="1"/>
  <c r="S26" i="1"/>
  <c r="T26" i="1"/>
  <c r="P27" i="1"/>
  <c r="S27" i="1"/>
  <c r="T27" i="1"/>
  <c r="P28" i="1"/>
  <c r="S28" i="1"/>
  <c r="T28" i="1"/>
  <c r="P29" i="1"/>
  <c r="S29" i="1"/>
  <c r="T29" i="1"/>
  <c r="P30" i="1"/>
  <c r="S30" i="1"/>
  <c r="T30" i="1"/>
  <c r="T25" i="1"/>
  <c r="S25" i="1"/>
  <c r="P25" i="1"/>
  <c r="O26" i="1"/>
  <c r="O27" i="1"/>
  <c r="O28" i="1"/>
  <c r="O29" i="1"/>
  <c r="O30" i="1"/>
  <c r="O25" i="1"/>
  <c r="N26" i="1"/>
  <c r="N27" i="1"/>
  <c r="N28" i="1"/>
  <c r="N29" i="1"/>
  <c r="N25" i="1"/>
  <c r="I34" i="12"/>
  <c r="J34" i="12"/>
  <c r="K34" i="12"/>
  <c r="L34" i="12"/>
  <c r="M34" i="12"/>
  <c r="N34" i="12"/>
  <c r="O34" i="12"/>
  <c r="P34" i="12"/>
  <c r="Q34" i="12"/>
  <c r="R34" i="12"/>
  <c r="S34" i="12"/>
  <c r="T34" i="12"/>
  <c r="U34" i="12"/>
  <c r="V34" i="12"/>
  <c r="W34" i="12"/>
  <c r="X34" i="12"/>
  <c r="L25" i="12"/>
  <c r="L24" i="12"/>
  <c r="L23" i="12"/>
  <c r="L22" i="12"/>
  <c r="L21" i="12"/>
  <c r="F4" i="12"/>
  <c r="L4" i="12"/>
  <c r="B17" i="12"/>
  <c r="D9" i="12"/>
  <c r="E8" i="12"/>
  <c r="K8" i="12"/>
  <c r="K7" i="12"/>
  <c r="E7" i="12"/>
  <c r="K6" i="12"/>
  <c r="L6" i="12"/>
  <c r="E6" i="12"/>
  <c r="E5" i="12"/>
  <c r="U4" i="12"/>
  <c r="K4" i="12"/>
  <c r="E4" i="12"/>
  <c r="V3" i="12"/>
  <c r="V2" i="12"/>
  <c r="E2" i="12"/>
  <c r="F2" i="12"/>
  <c r="F16" i="12"/>
  <c r="H42" i="12"/>
  <c r="I42" i="12"/>
  <c r="J42" i="12"/>
  <c r="K42" i="12"/>
  <c r="L42" i="12"/>
  <c r="M42" i="12"/>
  <c r="N42" i="12"/>
  <c r="O42" i="12"/>
  <c r="P42" i="12"/>
  <c r="Q42" i="12"/>
  <c r="R42" i="12"/>
  <c r="S42" i="12"/>
  <c r="T42" i="12"/>
  <c r="U42" i="12"/>
  <c r="V42" i="12"/>
  <c r="W42" i="12"/>
  <c r="X42" i="12"/>
  <c r="Y42" i="12"/>
  <c r="Z42" i="12"/>
  <c r="AA42" i="12"/>
  <c r="H50" i="12"/>
  <c r="I50" i="12"/>
  <c r="J50" i="12"/>
  <c r="K50" i="12"/>
  <c r="L50" i="12"/>
  <c r="M50" i="12"/>
  <c r="N50" i="12"/>
  <c r="O50" i="12"/>
  <c r="P50" i="12"/>
  <c r="Q50" i="12"/>
  <c r="R50" i="12"/>
  <c r="S50" i="12"/>
  <c r="T50" i="12"/>
  <c r="U50" i="12"/>
  <c r="V50" i="12"/>
  <c r="W50" i="12"/>
  <c r="X50" i="12"/>
  <c r="Y50" i="12"/>
  <c r="Z50" i="12"/>
  <c r="AA50" i="12"/>
  <c r="R17" i="14"/>
  <c r="R18" i="14"/>
  <c r="R20" i="14"/>
  <c r="R26" i="14"/>
  <c r="U17" i="14"/>
  <c r="U18" i="14"/>
  <c r="U20" i="14"/>
  <c r="O17" i="14"/>
  <c r="O18" i="14"/>
  <c r="P17" i="14"/>
  <c r="P18" i="14"/>
  <c r="P20" i="14"/>
  <c r="T17" i="14"/>
  <c r="T18" i="14"/>
  <c r="T20" i="14"/>
  <c r="O17" i="13"/>
  <c r="O18" i="13"/>
  <c r="U17" i="13"/>
  <c r="U18" i="13"/>
  <c r="U26" i="13"/>
  <c r="P17" i="13"/>
  <c r="P18" i="13"/>
  <c r="P20" i="13"/>
  <c r="P26" i="13"/>
  <c r="P25" i="13"/>
  <c r="R17" i="13"/>
  <c r="R18" i="13"/>
  <c r="R20" i="13"/>
  <c r="T25" i="13"/>
  <c r="T26" i="13"/>
  <c r="G17" i="12"/>
  <c r="F13" i="12"/>
  <c r="F14" i="12"/>
  <c r="F15" i="12"/>
  <c r="E15" i="12"/>
  <c r="E16" i="12"/>
  <c r="L17" i="12"/>
  <c r="E14" i="12"/>
  <c r="K17" i="12"/>
  <c r="I17" i="12"/>
  <c r="N30" i="1"/>
  <c r="V4" i="12"/>
  <c r="V5" i="12"/>
  <c r="V6" i="12"/>
  <c r="E3" i="12"/>
  <c r="E9" i="12"/>
  <c r="L2" i="12"/>
  <c r="L5" i="12"/>
  <c r="E13" i="12"/>
  <c r="R25" i="14"/>
  <c r="U25" i="14"/>
  <c r="U26" i="14"/>
  <c r="V17" i="14"/>
  <c r="O20" i="14"/>
  <c r="T26" i="14"/>
  <c r="T25" i="14"/>
  <c r="P26" i="14"/>
  <c r="P25" i="14"/>
  <c r="U25" i="13"/>
  <c r="V17" i="13"/>
  <c r="R25" i="13"/>
  <c r="R26" i="13"/>
  <c r="O20" i="13"/>
  <c r="V18" i="13"/>
  <c r="F17" i="12"/>
  <c r="E17" i="12"/>
  <c r="L3" i="12"/>
  <c r="L8" i="12"/>
  <c r="L7" i="12"/>
  <c r="F9" i="12"/>
  <c r="G8" i="12"/>
  <c r="O26" i="14"/>
  <c r="V20" i="14"/>
  <c r="O25" i="14"/>
  <c r="O25" i="13"/>
  <c r="V20" i="13"/>
  <c r="O26" i="13"/>
  <c r="G7" i="12"/>
  <c r="M7" i="12"/>
  <c r="M8" i="12"/>
  <c r="G6" i="12"/>
  <c r="M6" i="12"/>
  <c r="G2" i="12"/>
  <c r="M2" i="12"/>
  <c r="G5" i="12"/>
  <c r="M5" i="12"/>
  <c r="G4" i="12"/>
  <c r="M4" i="12"/>
  <c r="G3" i="12"/>
  <c r="M3" i="12"/>
  <c r="T16" i="12"/>
  <c r="T15" i="12"/>
  <c r="T14" i="12"/>
  <c r="T13" i="12"/>
  <c r="R15" i="12"/>
  <c r="O16" i="12"/>
  <c r="O15" i="12"/>
  <c r="R16" i="12"/>
  <c r="R13" i="12"/>
  <c r="R14" i="12"/>
  <c r="M9" i="12"/>
  <c r="O13" i="12"/>
  <c r="O14" i="12"/>
  <c r="U13" i="12"/>
  <c r="U16" i="12"/>
  <c r="U15" i="12"/>
  <c r="U14" i="12"/>
  <c r="P15" i="12"/>
  <c r="P14" i="12"/>
  <c r="P16" i="12"/>
  <c r="P13" i="12"/>
  <c r="T17" i="12"/>
  <c r="T18" i="12"/>
  <c r="O17" i="12"/>
  <c r="O18" i="12"/>
  <c r="R17" i="12"/>
  <c r="R18" i="12"/>
  <c r="R20" i="12"/>
  <c r="U17" i="12"/>
  <c r="U18" i="12"/>
  <c r="P17" i="12"/>
  <c r="P18" i="12"/>
  <c r="P20" i="12"/>
  <c r="T19" i="12"/>
  <c r="T25" i="12"/>
  <c r="T26" i="12"/>
  <c r="U25" i="12"/>
  <c r="U26" i="12"/>
  <c r="V17" i="12"/>
  <c r="P26" i="12"/>
  <c r="P25" i="12"/>
  <c r="R26" i="12"/>
  <c r="R25" i="12"/>
  <c r="O20" i="12"/>
  <c r="V18" i="12"/>
  <c r="O25" i="12"/>
  <c r="V20" i="12"/>
  <c r="O26" i="12"/>
  <c r="G14" i="4"/>
  <c r="I14" i="4"/>
  <c r="J14" i="4"/>
  <c r="K14" i="4"/>
  <c r="L14" i="4"/>
  <c r="G15" i="4"/>
  <c r="I15" i="4"/>
  <c r="J15" i="4"/>
  <c r="K15" i="4"/>
  <c r="L15" i="4"/>
  <c r="G16" i="4"/>
  <c r="I16" i="4"/>
  <c r="J16" i="4"/>
  <c r="K16" i="4"/>
  <c r="L16" i="4"/>
  <c r="F16" i="4"/>
  <c r="F15" i="4"/>
  <c r="F14" i="4"/>
  <c r="G13" i="4"/>
  <c r="I13" i="4"/>
  <c r="J13" i="4"/>
  <c r="K13" i="4"/>
  <c r="L13" i="4"/>
  <c r="F13" i="4"/>
  <c r="N15" i="1"/>
  <c r="O15" i="1"/>
  <c r="P15" i="1"/>
  <c r="Q15" i="1"/>
  <c r="R15" i="1"/>
  <c r="S15" i="1"/>
  <c r="N16" i="1"/>
  <c r="O16" i="1"/>
  <c r="P16" i="1"/>
  <c r="Q16" i="1"/>
  <c r="R16" i="1"/>
  <c r="S16" i="1"/>
  <c r="N17" i="1"/>
  <c r="O17" i="1"/>
  <c r="P17" i="1"/>
  <c r="Q17" i="1"/>
  <c r="R17" i="1"/>
  <c r="S17" i="1"/>
  <c r="N18" i="1"/>
  <c r="O18" i="1"/>
  <c r="P18" i="1"/>
  <c r="Q18" i="1"/>
  <c r="R18" i="1"/>
  <c r="S18" i="1"/>
  <c r="M18" i="1"/>
  <c r="M17" i="1"/>
  <c r="M16" i="1"/>
  <c r="M15" i="1"/>
  <c r="T17" i="1"/>
  <c r="N14" i="1"/>
  <c r="O14" i="1"/>
  <c r="P14" i="1"/>
  <c r="Q14" i="1"/>
  <c r="R14" i="1"/>
  <c r="S14" i="1"/>
  <c r="M14" i="1"/>
  <c r="T14" i="1"/>
  <c r="C20" i="1"/>
  <c r="L22" i="4"/>
  <c r="L23" i="4"/>
  <c r="L24" i="4"/>
  <c r="L25" i="4"/>
  <c r="L21" i="4"/>
  <c r="T16" i="1"/>
  <c r="T15" i="1"/>
  <c r="T18" i="1"/>
  <c r="B17" i="4"/>
  <c r="G17" i="4"/>
  <c r="F3" i="4"/>
  <c r="H17" i="4"/>
  <c r="F4" i="4"/>
  <c r="I17" i="4"/>
  <c r="J17" i="4"/>
  <c r="K17" i="4"/>
  <c r="F7" i="4"/>
  <c r="L17" i="4"/>
  <c r="F8" i="4"/>
  <c r="F17" i="4"/>
  <c r="F2" i="4"/>
  <c r="E16" i="4"/>
  <c r="E14" i="4"/>
  <c r="E15" i="4"/>
  <c r="E13" i="4"/>
  <c r="F5" i="4"/>
  <c r="E17" i="4"/>
  <c r="V3" i="4"/>
  <c r="V2" i="4"/>
  <c r="AD14" i="3"/>
  <c r="AB14" i="3"/>
  <c r="Z14" i="3"/>
  <c r="X14" i="3"/>
  <c r="M14" i="3"/>
  <c r="AB3" i="3"/>
  <c r="AC3" i="3"/>
  <c r="AD3" i="3"/>
  <c r="V4" i="4"/>
  <c r="AD4" i="3"/>
  <c r="AC4" i="3"/>
  <c r="AC5" i="3"/>
  <c r="AD5" i="3"/>
  <c r="AC6" i="3"/>
  <c r="AD6" i="3"/>
  <c r="X17" i="3"/>
  <c r="Z17" i="3"/>
  <c r="AB17" i="3"/>
  <c r="AD17" i="3"/>
  <c r="U4" i="3"/>
  <c r="R18" i="3"/>
  <c r="S18" i="3"/>
  <c r="AD18" i="3"/>
  <c r="AC18" i="3"/>
  <c r="S14" i="3"/>
  <c r="R14" i="3"/>
  <c r="AC14" i="3"/>
  <c r="Q14" i="3"/>
  <c r="P14" i="3"/>
  <c r="AA14" i="3"/>
  <c r="O14" i="3"/>
  <c r="N14" i="3"/>
  <c r="Y14" i="3"/>
  <c r="U4" i="4"/>
  <c r="V5" i="4"/>
  <c r="V6" i="4"/>
  <c r="R77" i="3"/>
  <c r="P77" i="3"/>
  <c r="N77" i="3"/>
  <c r="L77" i="3"/>
  <c r="R76" i="3"/>
  <c r="P76" i="3"/>
  <c r="N76" i="3"/>
  <c r="L76" i="3"/>
  <c r="R75" i="3"/>
  <c r="P75" i="3"/>
  <c r="N75" i="3"/>
  <c r="L75" i="3"/>
  <c r="R74" i="3"/>
  <c r="P74" i="3"/>
  <c r="N74" i="3"/>
  <c r="L74" i="3"/>
  <c r="R73" i="3"/>
  <c r="P73" i="3"/>
  <c r="N73" i="3"/>
  <c r="L73" i="3"/>
  <c r="R72" i="3"/>
  <c r="P72" i="3"/>
  <c r="N72" i="3"/>
  <c r="L72" i="3"/>
  <c r="R71" i="3"/>
  <c r="P71" i="3"/>
  <c r="N71" i="3"/>
  <c r="L71" i="3"/>
  <c r="R70" i="3"/>
  <c r="P70" i="3"/>
  <c r="N70" i="3"/>
  <c r="L70" i="3"/>
  <c r="R69" i="3"/>
  <c r="P69" i="3"/>
  <c r="N69" i="3"/>
  <c r="L69" i="3"/>
  <c r="R68" i="3"/>
  <c r="P68" i="3"/>
  <c r="N68" i="3"/>
  <c r="L68" i="3"/>
  <c r="P67" i="3"/>
  <c r="L67" i="3"/>
  <c r="I67" i="3"/>
  <c r="H67" i="3"/>
  <c r="R67" i="3"/>
  <c r="E67" i="3"/>
  <c r="D67" i="3"/>
  <c r="N67" i="3"/>
  <c r="R66" i="3"/>
  <c r="P66" i="3"/>
  <c r="N66" i="3"/>
  <c r="L66" i="3"/>
  <c r="R65" i="3"/>
  <c r="P65" i="3"/>
  <c r="N65" i="3"/>
  <c r="L65" i="3"/>
  <c r="R64" i="3"/>
  <c r="P64" i="3"/>
  <c r="N64" i="3"/>
  <c r="L64" i="3"/>
  <c r="R63" i="3"/>
  <c r="P63" i="3"/>
  <c r="N63" i="3"/>
  <c r="L63" i="3"/>
  <c r="P62" i="3"/>
  <c r="I62" i="3"/>
  <c r="H62" i="3"/>
  <c r="R62" i="3"/>
  <c r="E62" i="3"/>
  <c r="D62" i="3"/>
  <c r="N62" i="3"/>
  <c r="C62" i="3"/>
  <c r="L62" i="3"/>
  <c r="R61" i="3"/>
  <c r="P61" i="3"/>
  <c r="N61" i="3"/>
  <c r="L61" i="3"/>
  <c r="R60" i="3"/>
  <c r="AC60" i="3"/>
  <c r="P60" i="3"/>
  <c r="N60" i="3"/>
  <c r="L60" i="3"/>
  <c r="R59" i="3"/>
  <c r="P59" i="3"/>
  <c r="N59" i="3"/>
  <c r="L59" i="3"/>
  <c r="R58" i="3"/>
  <c r="P58" i="3"/>
  <c r="N58" i="3"/>
  <c r="L58" i="3"/>
  <c r="R57" i="3"/>
  <c r="P57" i="3"/>
  <c r="N57" i="3"/>
  <c r="L57" i="3"/>
  <c r="R56" i="3"/>
  <c r="P56" i="3"/>
  <c r="N56" i="3"/>
  <c r="L56" i="3"/>
  <c r="R55" i="3"/>
  <c r="P55" i="3"/>
  <c r="N55" i="3"/>
  <c r="L55" i="3"/>
  <c r="R54" i="3"/>
  <c r="P54" i="3"/>
  <c r="N54" i="3"/>
  <c r="L54" i="3"/>
  <c r="R53" i="3"/>
  <c r="P53" i="3"/>
  <c r="N53" i="3"/>
  <c r="L53" i="3"/>
  <c r="R52" i="3"/>
  <c r="P52" i="3"/>
  <c r="N52" i="3"/>
  <c r="L52" i="3"/>
  <c r="R51" i="3"/>
  <c r="P51" i="3"/>
  <c r="N51" i="3"/>
  <c r="L51" i="3"/>
  <c r="R50" i="3"/>
  <c r="P50" i="3"/>
  <c r="N50" i="3"/>
  <c r="L50" i="3"/>
  <c r="R49" i="3"/>
  <c r="P49" i="3"/>
  <c r="N49" i="3"/>
  <c r="L49" i="3"/>
  <c r="S5" i="3"/>
  <c r="S6" i="3"/>
  <c r="S4" i="3"/>
  <c r="S62" i="3"/>
  <c r="AD62" i="3"/>
  <c r="AC62" i="3"/>
  <c r="M53" i="3"/>
  <c r="X53" i="3"/>
  <c r="W53" i="3"/>
  <c r="O50" i="3"/>
  <c r="Z50" i="3"/>
  <c r="Y50" i="3"/>
  <c r="O53" i="3"/>
  <c r="Z53" i="3"/>
  <c r="Y53" i="3"/>
  <c r="O56" i="3"/>
  <c r="Z56" i="3"/>
  <c r="Y56" i="3"/>
  <c r="O59" i="3"/>
  <c r="Z59" i="3"/>
  <c r="Y59" i="3"/>
  <c r="M62" i="3"/>
  <c r="X62" i="3"/>
  <c r="W62" i="3"/>
  <c r="O64" i="3"/>
  <c r="Z64" i="3"/>
  <c r="Y64" i="3"/>
  <c r="S69" i="3"/>
  <c r="AD69" i="3"/>
  <c r="AC69" i="3"/>
  <c r="S72" i="3"/>
  <c r="AD72" i="3"/>
  <c r="AC72" i="3"/>
  <c r="S75" i="3"/>
  <c r="AD75" i="3"/>
  <c r="AC75" i="3"/>
  <c r="Q49" i="3"/>
  <c r="AB49" i="3"/>
  <c r="AA49" i="3"/>
  <c r="Q63" i="3"/>
  <c r="AB63" i="3"/>
  <c r="AA63" i="3"/>
  <c r="M69" i="3"/>
  <c r="X69" i="3"/>
  <c r="W69" i="3"/>
  <c r="M75" i="3"/>
  <c r="X75" i="3"/>
  <c r="W75" i="3"/>
  <c r="S52" i="3"/>
  <c r="AD52" i="3"/>
  <c r="AC52" i="3"/>
  <c r="S58" i="3"/>
  <c r="AD58" i="3"/>
  <c r="AC58" i="3"/>
  <c r="S66" i="3"/>
  <c r="AD66" i="3"/>
  <c r="AC66" i="3"/>
  <c r="O75" i="3"/>
  <c r="Z75" i="3"/>
  <c r="Y75" i="3"/>
  <c r="M64" i="3"/>
  <c r="X64" i="3"/>
  <c r="W64" i="3"/>
  <c r="Q72" i="3"/>
  <c r="AB72" i="3"/>
  <c r="AA72" i="3"/>
  <c r="Q53" i="3"/>
  <c r="AB53" i="3"/>
  <c r="AA53" i="3"/>
  <c r="Q56" i="3"/>
  <c r="AB56" i="3"/>
  <c r="AA56" i="3"/>
  <c r="Q59" i="3"/>
  <c r="AB59" i="3"/>
  <c r="AA59" i="3"/>
  <c r="O62" i="3"/>
  <c r="Z62" i="3"/>
  <c r="Y62" i="3"/>
  <c r="Q64" i="3"/>
  <c r="AB64" i="3"/>
  <c r="AA64" i="3"/>
  <c r="M70" i="3"/>
  <c r="X70" i="3"/>
  <c r="W70" i="3"/>
  <c r="M73" i="3"/>
  <c r="X73" i="3"/>
  <c r="W73" i="3"/>
  <c r="M76" i="3"/>
  <c r="X76" i="3"/>
  <c r="W76" i="3"/>
  <c r="S50" i="3"/>
  <c r="AD50" i="3"/>
  <c r="AC50" i="3"/>
  <c r="S53" i="3"/>
  <c r="AD53" i="3"/>
  <c r="AC53" i="3"/>
  <c r="S56" i="3"/>
  <c r="AD56" i="3"/>
  <c r="AC56" i="3"/>
  <c r="S59" i="3"/>
  <c r="AD59" i="3"/>
  <c r="AC59" i="3"/>
  <c r="S64" i="3"/>
  <c r="AD64" i="3"/>
  <c r="AC64" i="3"/>
  <c r="O70" i="3"/>
  <c r="Z70" i="3"/>
  <c r="Y70" i="3"/>
  <c r="O73" i="3"/>
  <c r="Z73" i="3"/>
  <c r="Y73" i="3"/>
  <c r="O76" i="3"/>
  <c r="Z76" i="3"/>
  <c r="Y76" i="3"/>
  <c r="O61" i="3"/>
  <c r="Z61" i="3"/>
  <c r="Y61" i="3"/>
  <c r="Q69" i="3"/>
  <c r="AB69" i="3"/>
  <c r="AA69" i="3"/>
  <c r="M54" i="3"/>
  <c r="X54" i="3"/>
  <c r="W54" i="3"/>
  <c r="Q70" i="3"/>
  <c r="AB70" i="3"/>
  <c r="AA70" i="3"/>
  <c r="Q76" i="3"/>
  <c r="AB76" i="3"/>
  <c r="AA76" i="3"/>
  <c r="Q58" i="3"/>
  <c r="AB58" i="3"/>
  <c r="AA58" i="3"/>
  <c r="Q66" i="3"/>
  <c r="AB66" i="3"/>
  <c r="AA66" i="3"/>
  <c r="M72" i="3"/>
  <c r="X72" i="3"/>
  <c r="W72" i="3"/>
  <c r="S55" i="3"/>
  <c r="AD55" i="3"/>
  <c r="AC55" i="3"/>
  <c r="Q61" i="3"/>
  <c r="AB61" i="3"/>
  <c r="AA61" i="3"/>
  <c r="O72" i="3"/>
  <c r="Z72" i="3"/>
  <c r="Y72" i="3"/>
  <c r="M59" i="3"/>
  <c r="X59" i="3"/>
  <c r="W59" i="3"/>
  <c r="Q75" i="3"/>
  <c r="AB75" i="3"/>
  <c r="AA75" i="3"/>
  <c r="Q50" i="3"/>
  <c r="AB50" i="3"/>
  <c r="AA50" i="3"/>
  <c r="S67" i="3"/>
  <c r="AD67" i="3"/>
  <c r="AC67" i="3"/>
  <c r="M51" i="3"/>
  <c r="X51" i="3"/>
  <c r="W51" i="3"/>
  <c r="M60" i="3"/>
  <c r="X60" i="3"/>
  <c r="W60" i="3"/>
  <c r="M65" i="3"/>
  <c r="X65" i="3"/>
  <c r="W65" i="3"/>
  <c r="M67" i="3"/>
  <c r="X67" i="3"/>
  <c r="W67" i="3"/>
  <c r="Q73" i="3"/>
  <c r="AB73" i="3"/>
  <c r="AA73" i="3"/>
  <c r="O51" i="3"/>
  <c r="Z51" i="3"/>
  <c r="Y51" i="3"/>
  <c r="O54" i="3"/>
  <c r="Z54" i="3"/>
  <c r="Y54" i="3"/>
  <c r="O57" i="3"/>
  <c r="Z57" i="3"/>
  <c r="Y57" i="3"/>
  <c r="O60" i="3"/>
  <c r="Z60" i="3"/>
  <c r="Y60" i="3"/>
  <c r="O65" i="3"/>
  <c r="Z65" i="3"/>
  <c r="Y65" i="3"/>
  <c r="Q67" i="3"/>
  <c r="AB67" i="3"/>
  <c r="AA67" i="3"/>
  <c r="S70" i="3"/>
  <c r="AD70" i="3"/>
  <c r="AC70" i="3"/>
  <c r="S73" i="3"/>
  <c r="AD73" i="3"/>
  <c r="AC73" i="3"/>
  <c r="S76" i="3"/>
  <c r="AD76" i="3"/>
  <c r="AC76" i="3"/>
  <c r="Q52" i="3"/>
  <c r="AB52" i="3"/>
  <c r="AA52" i="3"/>
  <c r="S61" i="3"/>
  <c r="AD61" i="3"/>
  <c r="AC61" i="3"/>
  <c r="M57" i="3"/>
  <c r="X57" i="3"/>
  <c r="W57" i="3"/>
  <c r="Q51" i="3"/>
  <c r="AB51" i="3"/>
  <c r="AA51" i="3"/>
  <c r="Q54" i="3"/>
  <c r="AB54" i="3"/>
  <c r="AA54" i="3"/>
  <c r="Q57" i="3"/>
  <c r="AB57" i="3"/>
  <c r="AA57" i="3"/>
  <c r="Q60" i="3"/>
  <c r="AB60" i="3"/>
  <c r="AA60" i="3"/>
  <c r="Q62" i="3"/>
  <c r="AB62" i="3"/>
  <c r="AA62" i="3"/>
  <c r="Q65" i="3"/>
  <c r="AB65" i="3"/>
  <c r="AA65" i="3"/>
  <c r="M68" i="3"/>
  <c r="X68" i="3"/>
  <c r="W68" i="3"/>
  <c r="M71" i="3"/>
  <c r="X71" i="3"/>
  <c r="W71" i="3"/>
  <c r="M74" i="3"/>
  <c r="X74" i="3"/>
  <c r="W74" i="3"/>
  <c r="M77" i="3"/>
  <c r="X77" i="3"/>
  <c r="W77" i="3"/>
  <c r="S63" i="3"/>
  <c r="AD63" i="3"/>
  <c r="AC63" i="3"/>
  <c r="M50" i="3"/>
  <c r="X50" i="3"/>
  <c r="W50" i="3"/>
  <c r="S54" i="3"/>
  <c r="AD54" i="3"/>
  <c r="AC54" i="3"/>
  <c r="S57" i="3"/>
  <c r="AD57" i="3"/>
  <c r="AC57" i="3"/>
  <c r="S65" i="3"/>
  <c r="AD65" i="3"/>
  <c r="AC65" i="3"/>
  <c r="O68" i="3"/>
  <c r="Z68" i="3"/>
  <c r="Y68" i="3"/>
  <c r="O71" i="3"/>
  <c r="Z71" i="3"/>
  <c r="Y71" i="3"/>
  <c r="O74" i="3"/>
  <c r="Z74" i="3"/>
  <c r="Y74" i="3"/>
  <c r="O77" i="3"/>
  <c r="Z77" i="3"/>
  <c r="Y77" i="3"/>
  <c r="S49" i="3"/>
  <c r="AD49" i="3"/>
  <c r="AC49" i="3"/>
  <c r="M56" i="3"/>
  <c r="X56" i="3"/>
  <c r="W56" i="3"/>
  <c r="S51" i="3"/>
  <c r="AD51" i="3"/>
  <c r="AC51" i="3"/>
  <c r="M49" i="3"/>
  <c r="X49" i="3"/>
  <c r="W49" i="3"/>
  <c r="M52" i="3"/>
  <c r="X52" i="3"/>
  <c r="W52" i="3"/>
  <c r="M55" i="3"/>
  <c r="X55" i="3"/>
  <c r="W55" i="3"/>
  <c r="M58" i="3"/>
  <c r="X58" i="3"/>
  <c r="W58" i="3"/>
  <c r="S60" i="3"/>
  <c r="AD60" i="3"/>
  <c r="M63" i="3"/>
  <c r="X63" i="3"/>
  <c r="W63" i="3"/>
  <c r="M66" i="3"/>
  <c r="X66" i="3"/>
  <c r="W66" i="3"/>
  <c r="Q68" i="3"/>
  <c r="AB68" i="3"/>
  <c r="AA68" i="3"/>
  <c r="Q71" i="3"/>
  <c r="AB71" i="3"/>
  <c r="AA71" i="3"/>
  <c r="Q74" i="3"/>
  <c r="AB74" i="3"/>
  <c r="AA74" i="3"/>
  <c r="Q77" i="3"/>
  <c r="AB77" i="3"/>
  <c r="AA77" i="3"/>
  <c r="Q55" i="3"/>
  <c r="AB55" i="3"/>
  <c r="AA55" i="3"/>
  <c r="O69" i="3"/>
  <c r="Z69" i="3"/>
  <c r="Y69" i="3"/>
  <c r="O67" i="3"/>
  <c r="Z67" i="3"/>
  <c r="Y67" i="3"/>
  <c r="O49" i="3"/>
  <c r="Z49" i="3"/>
  <c r="Y49" i="3"/>
  <c r="O52" i="3"/>
  <c r="Z52" i="3"/>
  <c r="Y52" i="3"/>
  <c r="O55" i="3"/>
  <c r="Z55" i="3"/>
  <c r="Y55" i="3"/>
  <c r="O58" i="3"/>
  <c r="Z58" i="3"/>
  <c r="Y58" i="3"/>
  <c r="M61" i="3"/>
  <c r="X61" i="3"/>
  <c r="W61" i="3"/>
  <c r="O63" i="3"/>
  <c r="Z63" i="3"/>
  <c r="Y63" i="3"/>
  <c r="O66" i="3"/>
  <c r="Z66" i="3"/>
  <c r="Y66" i="3"/>
  <c r="S68" i="3"/>
  <c r="AD68" i="3"/>
  <c r="AC68" i="3"/>
  <c r="S71" i="3"/>
  <c r="AD71" i="3"/>
  <c r="AC71" i="3"/>
  <c r="S74" i="3"/>
  <c r="AD74" i="3"/>
  <c r="AC74" i="3"/>
  <c r="S77" i="3"/>
  <c r="AD77" i="3"/>
  <c r="AC77" i="3"/>
  <c r="R7" i="3"/>
  <c r="R8" i="3"/>
  <c r="R9" i="3"/>
  <c r="R10" i="3"/>
  <c r="R11" i="3"/>
  <c r="R12" i="3"/>
  <c r="R13" i="3"/>
  <c r="R17" i="3"/>
  <c r="AC17" i="3"/>
  <c r="R20" i="3"/>
  <c r="R21" i="3"/>
  <c r="R22" i="3"/>
  <c r="R23" i="3"/>
  <c r="R24" i="3"/>
  <c r="R25" i="3"/>
  <c r="R26" i="3"/>
  <c r="R27" i="3"/>
  <c r="R28" i="3"/>
  <c r="R29" i="3"/>
  <c r="R30" i="3"/>
  <c r="R31" i="3"/>
  <c r="R32" i="3"/>
  <c r="R34" i="3"/>
  <c r="R35" i="3"/>
  <c r="R36" i="3"/>
  <c r="R37" i="3"/>
  <c r="R39" i="3"/>
  <c r="R40" i="3"/>
  <c r="R41" i="3"/>
  <c r="R42" i="3"/>
  <c r="R43" i="3"/>
  <c r="R44" i="3"/>
  <c r="R45" i="3"/>
  <c r="R46" i="3"/>
  <c r="R47" i="3"/>
  <c r="R48" i="3"/>
  <c r="R79" i="3"/>
  <c r="R80" i="3"/>
  <c r="R81" i="3"/>
  <c r="R82" i="3"/>
  <c r="R83" i="3"/>
  <c r="R84" i="3"/>
  <c r="R85" i="3"/>
  <c r="R86" i="3"/>
  <c r="R87" i="3"/>
  <c r="P4" i="3"/>
  <c r="P5" i="3"/>
  <c r="P6" i="3"/>
  <c r="P7" i="3"/>
  <c r="P8" i="3"/>
  <c r="P9" i="3"/>
  <c r="P10" i="3"/>
  <c r="P11" i="3"/>
  <c r="P12" i="3"/>
  <c r="P13" i="3"/>
  <c r="P17" i="3"/>
  <c r="AA17" i="3"/>
  <c r="P18"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79" i="3"/>
  <c r="P80" i="3"/>
  <c r="P81" i="3"/>
  <c r="P82" i="3"/>
  <c r="P83" i="3"/>
  <c r="P84" i="3"/>
  <c r="P85" i="3"/>
  <c r="P86" i="3"/>
  <c r="P87" i="3"/>
  <c r="N20" i="3"/>
  <c r="N21" i="3"/>
  <c r="N22" i="3"/>
  <c r="N23" i="3"/>
  <c r="N24" i="3"/>
  <c r="N25" i="3"/>
  <c r="N26" i="3"/>
  <c r="N27" i="3"/>
  <c r="N28" i="3"/>
  <c r="N29" i="3"/>
  <c r="N30" i="3"/>
  <c r="N31" i="3"/>
  <c r="N32" i="3"/>
  <c r="N34" i="3"/>
  <c r="N35" i="3"/>
  <c r="N36" i="3"/>
  <c r="N37" i="3"/>
  <c r="N39" i="3"/>
  <c r="N40" i="3"/>
  <c r="N41" i="3"/>
  <c r="N42" i="3"/>
  <c r="N43" i="3"/>
  <c r="N44" i="3"/>
  <c r="N45" i="3"/>
  <c r="N46" i="3"/>
  <c r="N47" i="3"/>
  <c r="N48" i="3"/>
  <c r="N79" i="3"/>
  <c r="N80" i="3"/>
  <c r="N81" i="3"/>
  <c r="N82" i="3"/>
  <c r="N83" i="3"/>
  <c r="N84" i="3"/>
  <c r="N85" i="3"/>
  <c r="N86" i="3"/>
  <c r="N87" i="3"/>
  <c r="N4" i="3"/>
  <c r="N5" i="3"/>
  <c r="N6" i="3"/>
  <c r="N7" i="3"/>
  <c r="N8" i="3"/>
  <c r="N9" i="3"/>
  <c r="Y9" i="3"/>
  <c r="N10" i="3"/>
  <c r="Y10" i="3"/>
  <c r="N11" i="3"/>
  <c r="N12" i="3"/>
  <c r="N13" i="3"/>
  <c r="N17" i="3"/>
  <c r="Y17" i="3"/>
  <c r="N18" i="3"/>
  <c r="L4" i="3"/>
  <c r="L5" i="3"/>
  <c r="L6" i="3"/>
  <c r="L7" i="3"/>
  <c r="L8" i="3"/>
  <c r="L9" i="3"/>
  <c r="L10" i="3"/>
  <c r="L11" i="3"/>
  <c r="L12" i="3"/>
  <c r="L13" i="3"/>
  <c r="L17" i="3"/>
  <c r="W17" i="3"/>
  <c r="L18" i="3"/>
  <c r="L20" i="3"/>
  <c r="L21" i="3"/>
  <c r="L22" i="3"/>
  <c r="L23" i="3"/>
  <c r="L24" i="3"/>
  <c r="L25" i="3"/>
  <c r="L26" i="3"/>
  <c r="L27" i="3"/>
  <c r="L28" i="3"/>
  <c r="L29" i="3"/>
  <c r="L30" i="3"/>
  <c r="L31" i="3"/>
  <c r="L32" i="3"/>
  <c r="L34" i="3"/>
  <c r="L35" i="3"/>
  <c r="L36" i="3"/>
  <c r="L37" i="3"/>
  <c r="L38" i="3"/>
  <c r="L39" i="3"/>
  <c r="L40" i="3"/>
  <c r="L41" i="3"/>
  <c r="L42" i="3"/>
  <c r="L43" i="3"/>
  <c r="L44" i="3"/>
  <c r="L45" i="3"/>
  <c r="L46" i="3"/>
  <c r="L47" i="3"/>
  <c r="L48" i="3"/>
  <c r="L79" i="3"/>
  <c r="L80" i="3"/>
  <c r="L81" i="3"/>
  <c r="L82" i="3"/>
  <c r="L83" i="3"/>
  <c r="L84" i="3"/>
  <c r="L85" i="3"/>
  <c r="L86" i="3"/>
  <c r="L87" i="3"/>
  <c r="D3" i="3"/>
  <c r="Q32" i="3"/>
  <c r="AB32" i="3"/>
  <c r="AA32" i="3"/>
  <c r="O29" i="3"/>
  <c r="Z29" i="3"/>
  <c r="Y29" i="3"/>
  <c r="Q84" i="3"/>
  <c r="AB84" i="3"/>
  <c r="AA84" i="3"/>
  <c r="M82" i="3"/>
  <c r="X82" i="3"/>
  <c r="M40" i="3"/>
  <c r="X40" i="3"/>
  <c r="W40" i="3"/>
  <c r="M27" i="3"/>
  <c r="X27" i="3"/>
  <c r="W27" i="3"/>
  <c r="M11" i="3"/>
  <c r="W11" i="3"/>
  <c r="O11" i="3"/>
  <c r="Y11" i="3"/>
  <c r="O83" i="3"/>
  <c r="Z83" i="3"/>
  <c r="Y83" i="3"/>
  <c r="O41" i="3"/>
  <c r="Z41" i="3"/>
  <c r="Y41" i="3"/>
  <c r="O27" i="3"/>
  <c r="Z27" i="3"/>
  <c r="Y27" i="3"/>
  <c r="Q83" i="3"/>
  <c r="AB83" i="3"/>
  <c r="AA83" i="3"/>
  <c r="Q41" i="3"/>
  <c r="AB41" i="3"/>
  <c r="AA41" i="3"/>
  <c r="Q29" i="3"/>
  <c r="AB29" i="3"/>
  <c r="AA29" i="3"/>
  <c r="Q13" i="3"/>
  <c r="AB13" i="3"/>
  <c r="AA13" i="3"/>
  <c r="S85" i="3"/>
  <c r="AD85" i="3"/>
  <c r="AC85" i="3"/>
  <c r="S43" i="3"/>
  <c r="AD43" i="3"/>
  <c r="AC43" i="3"/>
  <c r="S29" i="3"/>
  <c r="AD29" i="3"/>
  <c r="AC29" i="3"/>
  <c r="S12" i="3"/>
  <c r="AD12" i="3"/>
  <c r="AC12" i="3"/>
  <c r="M43" i="3"/>
  <c r="X43" i="3"/>
  <c r="W43" i="3"/>
  <c r="O44" i="3"/>
  <c r="Z44" i="3"/>
  <c r="Y44" i="3"/>
  <c r="Q44" i="3"/>
  <c r="AB44" i="3"/>
  <c r="AA44" i="3"/>
  <c r="S20" i="3"/>
  <c r="AD20" i="3"/>
  <c r="AC20" i="3"/>
  <c r="M84" i="3"/>
  <c r="X84" i="3"/>
  <c r="M42" i="3"/>
  <c r="X42" i="3"/>
  <c r="W42" i="3"/>
  <c r="M29" i="3"/>
  <c r="X29" i="3"/>
  <c r="W29" i="3"/>
  <c r="M13" i="3"/>
  <c r="X13" i="3"/>
  <c r="W13" i="3"/>
  <c r="O85" i="3"/>
  <c r="Z85" i="3"/>
  <c r="Y85" i="3"/>
  <c r="O43" i="3"/>
  <c r="Z43" i="3"/>
  <c r="Y43" i="3"/>
  <c r="Q85" i="3"/>
  <c r="AB85" i="3"/>
  <c r="AA85" i="3"/>
  <c r="Q43" i="3"/>
  <c r="AB43" i="3"/>
  <c r="AA43" i="3"/>
  <c r="S87" i="3"/>
  <c r="AD87" i="3"/>
  <c r="AC87" i="3"/>
  <c r="S31" i="3"/>
  <c r="AD31" i="3"/>
  <c r="AC31" i="3"/>
  <c r="M83" i="3"/>
  <c r="X83" i="3"/>
  <c r="M41" i="3"/>
  <c r="X41" i="3"/>
  <c r="W41" i="3"/>
  <c r="M28" i="3"/>
  <c r="X28" i="3"/>
  <c r="W28" i="3"/>
  <c r="M12" i="3"/>
  <c r="X12" i="3"/>
  <c r="W12" i="3"/>
  <c r="O84" i="3"/>
  <c r="Z84" i="3"/>
  <c r="Y84" i="3"/>
  <c r="Q42" i="3"/>
  <c r="AB42" i="3"/>
  <c r="AA42" i="3"/>
  <c r="S86" i="3"/>
  <c r="AD86" i="3"/>
  <c r="AC86" i="3"/>
  <c r="M26" i="3"/>
  <c r="X26" i="3"/>
  <c r="W26" i="3"/>
  <c r="M10" i="3"/>
  <c r="W10" i="3"/>
  <c r="O40" i="3"/>
  <c r="Z40" i="3"/>
  <c r="Y40" i="3"/>
  <c r="Q28" i="3"/>
  <c r="AB28" i="3"/>
  <c r="AA28" i="3"/>
  <c r="S42" i="3"/>
  <c r="AD42" i="3"/>
  <c r="AC42" i="3"/>
  <c r="S11" i="3"/>
  <c r="AD11" i="3"/>
  <c r="AC11" i="3"/>
  <c r="M38" i="3"/>
  <c r="X38" i="3"/>
  <c r="W38" i="3"/>
  <c r="M25" i="3"/>
  <c r="X25" i="3"/>
  <c r="W25" i="3"/>
  <c r="M9" i="3"/>
  <c r="X9" i="3"/>
  <c r="W9" i="3"/>
  <c r="O81" i="3"/>
  <c r="Z81" i="3"/>
  <c r="Y81" i="3"/>
  <c r="O39" i="3"/>
  <c r="Z39" i="3"/>
  <c r="Y39" i="3"/>
  <c r="O25" i="3"/>
  <c r="Z25" i="3"/>
  <c r="Y25" i="3"/>
  <c r="Q81" i="3"/>
  <c r="AB81" i="3"/>
  <c r="AA81" i="3"/>
  <c r="Q39" i="3"/>
  <c r="AB39" i="3"/>
  <c r="AA39" i="3"/>
  <c r="Q27" i="3"/>
  <c r="AB27" i="3"/>
  <c r="AA27" i="3"/>
  <c r="Q11" i="3"/>
  <c r="AB11" i="3"/>
  <c r="AA11" i="3"/>
  <c r="S83" i="3"/>
  <c r="AD83" i="3"/>
  <c r="AC83" i="3"/>
  <c r="S41" i="3"/>
  <c r="AD41" i="3"/>
  <c r="AC41" i="3"/>
  <c r="S27" i="3"/>
  <c r="AD27" i="3"/>
  <c r="AC27" i="3"/>
  <c r="S10" i="3"/>
  <c r="AD10" i="3"/>
  <c r="AC10" i="3"/>
  <c r="M85" i="3"/>
  <c r="X85" i="3"/>
  <c r="M30" i="3"/>
  <c r="X30" i="3"/>
  <c r="W30" i="3"/>
  <c r="O86" i="3"/>
  <c r="Z86" i="3"/>
  <c r="Y86" i="3"/>
  <c r="O30" i="3"/>
  <c r="Z30" i="3"/>
  <c r="Y30" i="3"/>
  <c r="Q20" i="3"/>
  <c r="AB20" i="3"/>
  <c r="AA20" i="3"/>
  <c r="O28" i="3"/>
  <c r="Z28" i="3"/>
  <c r="Y28" i="3"/>
  <c r="Q30" i="3"/>
  <c r="AB30" i="3"/>
  <c r="AA30" i="3"/>
  <c r="S30" i="3"/>
  <c r="AD30" i="3"/>
  <c r="AC30" i="3"/>
  <c r="M39" i="3"/>
  <c r="X39" i="3"/>
  <c r="W39" i="3"/>
  <c r="Q82" i="3"/>
  <c r="AB82" i="3"/>
  <c r="AA82" i="3"/>
  <c r="Q12" i="3"/>
  <c r="AB12" i="3"/>
  <c r="AA12" i="3"/>
  <c r="S28" i="3"/>
  <c r="AD28" i="3"/>
  <c r="AC28" i="3"/>
  <c r="M80" i="3"/>
  <c r="X80" i="3"/>
  <c r="M79" i="3"/>
  <c r="X79" i="3"/>
  <c r="W79" i="3"/>
  <c r="M37" i="3"/>
  <c r="X37" i="3"/>
  <c r="W37" i="3"/>
  <c r="M24" i="3"/>
  <c r="X24" i="3"/>
  <c r="W24" i="3"/>
  <c r="M8" i="3"/>
  <c r="X8" i="3"/>
  <c r="W8" i="3"/>
  <c r="O8" i="3"/>
  <c r="Z8" i="3"/>
  <c r="Y8" i="3"/>
  <c r="O80" i="3"/>
  <c r="Z80" i="3"/>
  <c r="Y80" i="3"/>
  <c r="O37" i="3"/>
  <c r="Z37" i="3"/>
  <c r="Y37" i="3"/>
  <c r="O24" i="3"/>
  <c r="Z24" i="3"/>
  <c r="Y24" i="3"/>
  <c r="Q80" i="3"/>
  <c r="AB80" i="3"/>
  <c r="AA80" i="3"/>
  <c r="Q38" i="3"/>
  <c r="AB38" i="3"/>
  <c r="AA38" i="3"/>
  <c r="Q26" i="3"/>
  <c r="AB26" i="3"/>
  <c r="AA26" i="3"/>
  <c r="Q10" i="3"/>
  <c r="AB10" i="3"/>
  <c r="AA10" i="3"/>
  <c r="S82" i="3"/>
  <c r="AD82" i="3"/>
  <c r="AC82" i="3"/>
  <c r="S40" i="3"/>
  <c r="AD40" i="3"/>
  <c r="AC40" i="3"/>
  <c r="S26" i="3"/>
  <c r="AD26" i="3"/>
  <c r="AC26" i="3"/>
  <c r="S9" i="3"/>
  <c r="AD9" i="3"/>
  <c r="AC9" i="3"/>
  <c r="Q4" i="3"/>
  <c r="AA4" i="3"/>
  <c r="AB4" i="3"/>
  <c r="O13" i="3"/>
  <c r="Z13" i="3"/>
  <c r="Y13" i="3"/>
  <c r="S44" i="3"/>
  <c r="AD44" i="3"/>
  <c r="AC44" i="3"/>
  <c r="O26" i="3"/>
  <c r="Z26" i="3"/>
  <c r="Y26" i="3"/>
  <c r="M48" i="3"/>
  <c r="X48" i="3"/>
  <c r="W48" i="3"/>
  <c r="M36" i="3"/>
  <c r="X36" i="3"/>
  <c r="W36" i="3"/>
  <c r="M23" i="3"/>
  <c r="X23" i="3"/>
  <c r="W23" i="3"/>
  <c r="M7" i="3"/>
  <c r="X7" i="3"/>
  <c r="W7" i="3"/>
  <c r="O7" i="3"/>
  <c r="Z7" i="3"/>
  <c r="Y7" i="3"/>
  <c r="O79" i="3"/>
  <c r="Z79" i="3"/>
  <c r="Y79" i="3"/>
  <c r="O36" i="3"/>
  <c r="Z36" i="3"/>
  <c r="Y36" i="3"/>
  <c r="O23" i="3"/>
  <c r="Z23" i="3"/>
  <c r="Y23" i="3"/>
  <c r="Q79" i="3"/>
  <c r="AB79" i="3"/>
  <c r="AA79" i="3"/>
  <c r="Q37" i="3"/>
  <c r="AB37" i="3"/>
  <c r="AA37" i="3"/>
  <c r="Q25" i="3"/>
  <c r="AB25" i="3"/>
  <c r="AA25" i="3"/>
  <c r="Q9" i="3"/>
  <c r="AB9" i="3"/>
  <c r="AA9" i="3"/>
  <c r="S81" i="3"/>
  <c r="AD81" i="3"/>
  <c r="AC81" i="3"/>
  <c r="S39" i="3"/>
  <c r="AD39" i="3"/>
  <c r="AC39" i="3"/>
  <c r="S25" i="3"/>
  <c r="AD25" i="3"/>
  <c r="AC25" i="3"/>
  <c r="S8" i="3"/>
  <c r="AD8" i="3"/>
  <c r="AC8" i="3"/>
  <c r="O12" i="3"/>
  <c r="Z12" i="3"/>
  <c r="Y12" i="3"/>
  <c r="O82" i="3"/>
  <c r="Z82" i="3"/>
  <c r="Y82" i="3"/>
  <c r="M47" i="3"/>
  <c r="X47" i="3"/>
  <c r="W47" i="3"/>
  <c r="M35" i="3"/>
  <c r="X35" i="3"/>
  <c r="W35" i="3"/>
  <c r="M22" i="3"/>
  <c r="X22" i="3"/>
  <c r="W22" i="3"/>
  <c r="M6" i="3"/>
  <c r="X6" i="3"/>
  <c r="W6" i="3"/>
  <c r="O6" i="3"/>
  <c r="Y6" i="3"/>
  <c r="Z6" i="3"/>
  <c r="O48" i="3"/>
  <c r="Z48" i="3"/>
  <c r="Y48" i="3"/>
  <c r="O35" i="3"/>
  <c r="Z35" i="3"/>
  <c r="Y35" i="3"/>
  <c r="O22" i="3"/>
  <c r="Z22" i="3"/>
  <c r="Y22" i="3"/>
  <c r="Q48" i="3"/>
  <c r="AB48" i="3"/>
  <c r="AA48" i="3"/>
  <c r="Q36" i="3"/>
  <c r="AB36" i="3"/>
  <c r="AA36" i="3"/>
  <c r="Q24" i="3"/>
  <c r="AB24" i="3"/>
  <c r="AA24" i="3"/>
  <c r="Q8" i="3"/>
  <c r="AB8" i="3"/>
  <c r="AA8" i="3"/>
  <c r="S80" i="3"/>
  <c r="AD80" i="3"/>
  <c r="AC80" i="3"/>
  <c r="S37" i="3"/>
  <c r="AD37" i="3"/>
  <c r="AC37" i="3"/>
  <c r="S24" i="3"/>
  <c r="AD24" i="3"/>
  <c r="AC24" i="3"/>
  <c r="S7" i="3"/>
  <c r="AD7" i="3"/>
  <c r="AC7" i="3"/>
  <c r="Q86" i="3"/>
  <c r="AB86" i="3"/>
  <c r="AA86" i="3"/>
  <c r="S45" i="3"/>
  <c r="AD45" i="3"/>
  <c r="AC45" i="3"/>
  <c r="S13" i="3"/>
  <c r="AD13" i="3"/>
  <c r="AC13" i="3"/>
  <c r="Q40" i="3"/>
  <c r="AB40" i="3"/>
  <c r="AA40" i="3"/>
  <c r="M46" i="3"/>
  <c r="X46" i="3"/>
  <c r="W46" i="3"/>
  <c r="M34" i="3"/>
  <c r="X34" i="3"/>
  <c r="W34" i="3"/>
  <c r="M21" i="3"/>
  <c r="X21" i="3"/>
  <c r="W21" i="3"/>
  <c r="M5" i="3"/>
  <c r="X5" i="3"/>
  <c r="W5" i="3"/>
  <c r="O5" i="3"/>
  <c r="Y5" i="3"/>
  <c r="Z5" i="3"/>
  <c r="O47" i="3"/>
  <c r="Z47" i="3"/>
  <c r="Y47" i="3"/>
  <c r="O34" i="3"/>
  <c r="Z34" i="3"/>
  <c r="Y34" i="3"/>
  <c r="O21" i="3"/>
  <c r="Z21" i="3"/>
  <c r="Y21" i="3"/>
  <c r="Q47" i="3"/>
  <c r="AB47" i="3"/>
  <c r="AA47" i="3"/>
  <c r="Q35" i="3"/>
  <c r="AB35" i="3"/>
  <c r="AA35" i="3"/>
  <c r="Q23" i="3"/>
  <c r="AB23" i="3"/>
  <c r="AA23" i="3"/>
  <c r="Q7" i="3"/>
  <c r="AB7" i="3"/>
  <c r="AA7" i="3"/>
  <c r="S79" i="3"/>
  <c r="AD79" i="3"/>
  <c r="AC79" i="3"/>
  <c r="S36" i="3"/>
  <c r="AD36" i="3"/>
  <c r="AC36" i="3"/>
  <c r="S23" i="3"/>
  <c r="AD23" i="3"/>
  <c r="AC23" i="3"/>
  <c r="O10" i="3"/>
  <c r="S46" i="3"/>
  <c r="AD46" i="3"/>
  <c r="AC46" i="3"/>
  <c r="Q18" i="3"/>
  <c r="AB18" i="3"/>
  <c r="AA18" i="3"/>
  <c r="O42" i="3"/>
  <c r="Z42" i="3"/>
  <c r="Y42" i="3"/>
  <c r="M81" i="3"/>
  <c r="X81" i="3"/>
  <c r="S84" i="3"/>
  <c r="AD84" i="3"/>
  <c r="AC84" i="3"/>
  <c r="M87" i="3"/>
  <c r="X87" i="3"/>
  <c r="M45" i="3"/>
  <c r="X45" i="3"/>
  <c r="W45" i="3"/>
  <c r="M32" i="3"/>
  <c r="X32" i="3"/>
  <c r="W32" i="3"/>
  <c r="M20" i="3"/>
  <c r="X20" i="3"/>
  <c r="W20" i="3"/>
  <c r="M4" i="3"/>
  <c r="X4" i="3"/>
  <c r="W4" i="3"/>
  <c r="O4" i="3"/>
  <c r="Y4" i="3"/>
  <c r="Z4" i="3"/>
  <c r="O46" i="3"/>
  <c r="Z46" i="3"/>
  <c r="Y46" i="3"/>
  <c r="O32" i="3"/>
  <c r="Z32" i="3"/>
  <c r="Y32" i="3"/>
  <c r="O20" i="3"/>
  <c r="Z20" i="3"/>
  <c r="Y20" i="3"/>
  <c r="Q46" i="3"/>
  <c r="AB46" i="3"/>
  <c r="AA46" i="3"/>
  <c r="Q34" i="3"/>
  <c r="AB34" i="3"/>
  <c r="AA34" i="3"/>
  <c r="Q22" i="3"/>
  <c r="AB22" i="3"/>
  <c r="AA22" i="3"/>
  <c r="Q6" i="3"/>
  <c r="AA6" i="3"/>
  <c r="AB6" i="3"/>
  <c r="S48" i="3"/>
  <c r="AD48" i="3"/>
  <c r="AC48" i="3"/>
  <c r="S35" i="3"/>
  <c r="AD35" i="3"/>
  <c r="AC35" i="3"/>
  <c r="S22" i="3"/>
  <c r="AD22" i="3"/>
  <c r="AC22" i="3"/>
  <c r="O9" i="3"/>
  <c r="Z9" i="3"/>
  <c r="S32" i="3"/>
  <c r="AD32" i="3"/>
  <c r="AC32" i="3"/>
  <c r="Q31" i="3"/>
  <c r="AB31" i="3"/>
  <c r="AA31" i="3"/>
  <c r="M86" i="3"/>
  <c r="X86" i="3"/>
  <c r="M44" i="3"/>
  <c r="X44" i="3"/>
  <c r="W44" i="3"/>
  <c r="M31" i="3"/>
  <c r="X31" i="3"/>
  <c r="W31" i="3"/>
  <c r="M18" i="3"/>
  <c r="X18" i="3"/>
  <c r="W18" i="3"/>
  <c r="O18" i="3"/>
  <c r="Z18" i="3"/>
  <c r="Y18" i="3"/>
  <c r="O87" i="3"/>
  <c r="Z87" i="3"/>
  <c r="Y87" i="3"/>
  <c r="O45" i="3"/>
  <c r="Z45" i="3"/>
  <c r="Y45" i="3"/>
  <c r="O31" i="3"/>
  <c r="Z31" i="3"/>
  <c r="Y31" i="3"/>
  <c r="Q87" i="3"/>
  <c r="AB87" i="3"/>
  <c r="AA87" i="3"/>
  <c r="Q45" i="3"/>
  <c r="AB45" i="3"/>
  <c r="AA45" i="3"/>
  <c r="Q33" i="3"/>
  <c r="AB33" i="3"/>
  <c r="AA33" i="3"/>
  <c r="Q21" i="3"/>
  <c r="AB21" i="3"/>
  <c r="AA21" i="3"/>
  <c r="Q5" i="3"/>
  <c r="AA5" i="3"/>
  <c r="AB5" i="3"/>
  <c r="S47" i="3"/>
  <c r="AD47" i="3"/>
  <c r="AC47" i="3"/>
  <c r="S34" i="3"/>
  <c r="AD34" i="3"/>
  <c r="AC34" i="3"/>
  <c r="S21" i="3"/>
  <c r="AD21" i="3"/>
  <c r="AC21" i="3"/>
  <c r="I3" i="3"/>
  <c r="I14" i="3"/>
  <c r="I33" i="3"/>
  <c r="I38" i="3"/>
  <c r="K3" i="1"/>
  <c r="K4" i="1"/>
  <c r="K5" i="1"/>
  <c r="K6" i="1"/>
  <c r="K7" i="1"/>
  <c r="K8" i="1"/>
  <c r="K2" i="1"/>
  <c r="K4" i="4"/>
  <c r="L4" i="4"/>
  <c r="L3" i="4"/>
  <c r="L2" i="4"/>
  <c r="L5" i="4"/>
  <c r="F9" i="4"/>
  <c r="G2" i="4"/>
  <c r="G6" i="4"/>
  <c r="M2" i="4"/>
  <c r="O13" i="4"/>
  <c r="G4" i="4"/>
  <c r="M4" i="4"/>
  <c r="G3" i="4"/>
  <c r="M3" i="4"/>
  <c r="P16" i="4"/>
  <c r="P14" i="4"/>
  <c r="P13" i="4"/>
  <c r="P15" i="4"/>
  <c r="O14" i="4"/>
  <c r="G7" i="4"/>
  <c r="K8" i="4"/>
  <c r="G8" i="4"/>
  <c r="K7" i="4"/>
  <c r="K6" i="4"/>
  <c r="L6" i="4"/>
  <c r="G5" i="4"/>
  <c r="M5" i="4"/>
  <c r="B28" i="1"/>
  <c r="B39" i="1"/>
  <c r="P17" i="4"/>
  <c r="P18" i="4"/>
  <c r="P20" i="4"/>
  <c r="O15" i="4"/>
  <c r="R13" i="4"/>
  <c r="O16" i="4"/>
  <c r="R14" i="4"/>
  <c r="M6" i="4"/>
  <c r="R16" i="4"/>
  <c r="R15" i="4"/>
  <c r="L7" i="4"/>
  <c r="M7" i="4"/>
  <c r="L8" i="4"/>
  <c r="M8" i="4"/>
  <c r="U13" i="4"/>
  <c r="H38" i="3"/>
  <c r="R38" i="3"/>
  <c r="E38" i="3"/>
  <c r="D38" i="3"/>
  <c r="N38" i="3"/>
  <c r="H33" i="3"/>
  <c r="R33" i="3"/>
  <c r="E33" i="3"/>
  <c r="D33" i="3"/>
  <c r="N33" i="3"/>
  <c r="C33" i="3"/>
  <c r="L33" i="3"/>
  <c r="H14" i="3"/>
  <c r="G14" i="3"/>
  <c r="F14" i="3"/>
  <c r="E14" i="3"/>
  <c r="D14" i="3"/>
  <c r="C14" i="3"/>
  <c r="L14" i="3"/>
  <c r="W14" i="3"/>
  <c r="H3" i="3"/>
  <c r="R3" i="3"/>
  <c r="G3" i="3"/>
  <c r="F3" i="3"/>
  <c r="P3" i="3"/>
  <c r="E3" i="3"/>
  <c r="N3" i="3"/>
  <c r="C3" i="3"/>
  <c r="L3" i="3"/>
  <c r="P25" i="4"/>
  <c r="P26" i="4"/>
  <c r="O17" i="4"/>
  <c r="O18" i="4"/>
  <c r="O20" i="4"/>
  <c r="Q3" i="3"/>
  <c r="AA3" i="3"/>
  <c r="O33" i="3"/>
  <c r="Z33" i="3"/>
  <c r="Y33" i="3"/>
  <c r="O38" i="3"/>
  <c r="Z38" i="3"/>
  <c r="Y38" i="3"/>
  <c r="M3" i="3"/>
  <c r="X3" i="3"/>
  <c r="W3" i="3"/>
  <c r="S3" i="3"/>
  <c r="M33" i="3"/>
  <c r="X33" i="3"/>
  <c r="W33" i="3"/>
  <c r="O3" i="3"/>
  <c r="Z3" i="3"/>
  <c r="Y3" i="3"/>
  <c r="S33" i="3"/>
  <c r="AD33" i="3"/>
  <c r="AC33" i="3"/>
  <c r="S38" i="3"/>
  <c r="AD38" i="3"/>
  <c r="AC38" i="3"/>
  <c r="R17" i="4"/>
  <c r="M9" i="4"/>
  <c r="E16" i="3"/>
  <c r="E15" i="3"/>
  <c r="U16" i="4"/>
  <c r="U15" i="4"/>
  <c r="U14" i="4"/>
  <c r="T16" i="4"/>
  <c r="T15" i="4"/>
  <c r="T14" i="4"/>
  <c r="T13" i="4"/>
  <c r="I21" i="2"/>
  <c r="M26" i="2"/>
  <c r="N26" i="2"/>
  <c r="I3" i="2"/>
  <c r="I4" i="2"/>
  <c r="I5" i="2"/>
  <c r="I6" i="2"/>
  <c r="I7" i="2"/>
  <c r="B8" i="2"/>
  <c r="C8" i="2"/>
  <c r="D8" i="2"/>
  <c r="E8" i="2"/>
  <c r="F8" i="2"/>
  <c r="G8" i="2"/>
  <c r="H8" i="2"/>
  <c r="M8" i="2"/>
  <c r="N8" i="2"/>
  <c r="I12" i="2"/>
  <c r="I13" i="2"/>
  <c r="I17" i="2"/>
  <c r="I14" i="2"/>
  <c r="I15" i="2"/>
  <c r="I16" i="2"/>
  <c r="B17" i="2"/>
  <c r="C17" i="2"/>
  <c r="D17" i="2"/>
  <c r="E17" i="2"/>
  <c r="F17" i="2"/>
  <c r="G17" i="2"/>
  <c r="H17" i="2"/>
  <c r="M17" i="2"/>
  <c r="N17" i="2"/>
  <c r="I22" i="2"/>
  <c r="I23" i="2"/>
  <c r="I24" i="2"/>
  <c r="I25" i="2"/>
  <c r="B26" i="2"/>
  <c r="C26" i="2"/>
  <c r="D26" i="2"/>
  <c r="E26" i="2"/>
  <c r="F26" i="2"/>
  <c r="G26" i="2"/>
  <c r="H26" i="2"/>
  <c r="I30" i="2"/>
  <c r="I31" i="2"/>
  <c r="I32" i="2"/>
  <c r="I33" i="2"/>
  <c r="I34" i="2"/>
  <c r="B35" i="2"/>
  <c r="C35" i="2"/>
  <c r="D35" i="2"/>
  <c r="E35" i="2"/>
  <c r="F35" i="2"/>
  <c r="G35" i="2"/>
  <c r="H35" i="2"/>
  <c r="M35" i="2"/>
  <c r="N35" i="2"/>
  <c r="I39" i="2"/>
  <c r="I40" i="2"/>
  <c r="I41" i="2"/>
  <c r="I42" i="2"/>
  <c r="I43" i="2"/>
  <c r="B44" i="2"/>
  <c r="C44" i="2"/>
  <c r="D44" i="2"/>
  <c r="E44" i="2"/>
  <c r="F44" i="2"/>
  <c r="G44" i="2"/>
  <c r="H44" i="2"/>
  <c r="M44" i="2"/>
  <c r="N44" i="2"/>
  <c r="I48" i="2"/>
  <c r="I49" i="2"/>
  <c r="I50" i="2"/>
  <c r="I51" i="2"/>
  <c r="I52" i="2"/>
  <c r="B53" i="2"/>
  <c r="C53" i="2"/>
  <c r="D53" i="2"/>
  <c r="E53" i="2"/>
  <c r="F53" i="2"/>
  <c r="G53" i="2"/>
  <c r="H53" i="2"/>
  <c r="M53" i="2"/>
  <c r="N53" i="2"/>
  <c r="I57" i="2"/>
  <c r="I58" i="2"/>
  <c r="I59" i="2"/>
  <c r="I60" i="2"/>
  <c r="I61" i="2"/>
  <c r="B62" i="2"/>
  <c r="C62" i="2"/>
  <c r="D62" i="2"/>
  <c r="E62" i="2"/>
  <c r="F62" i="2"/>
  <c r="G62" i="2"/>
  <c r="H62" i="2"/>
  <c r="M62" i="2"/>
  <c r="N62" i="2"/>
  <c r="B68" i="2"/>
  <c r="B69" i="2"/>
  <c r="B70" i="2"/>
  <c r="B71" i="2"/>
  <c r="B72" i="2"/>
  <c r="C81" i="2"/>
  <c r="D81" i="2"/>
  <c r="E81" i="2"/>
  <c r="F81" i="2"/>
  <c r="G81" i="2"/>
  <c r="H81" i="2"/>
  <c r="I81" i="2"/>
  <c r="B30" i="1"/>
  <c r="B40" i="1"/>
  <c r="D20" i="1"/>
  <c r="E20" i="1"/>
  <c r="F20" i="1"/>
  <c r="G20" i="1"/>
  <c r="H20" i="1"/>
  <c r="I20" i="1"/>
  <c r="B26" i="1"/>
  <c r="B27" i="1"/>
  <c r="B38" i="1"/>
  <c r="B29" i="1"/>
  <c r="B25" i="1"/>
  <c r="F45" i="2"/>
  <c r="I53" i="2"/>
  <c r="I26" i="2"/>
  <c r="E45" i="2"/>
  <c r="B80" i="2"/>
  <c r="B78" i="2"/>
  <c r="V17" i="2"/>
  <c r="O17" i="2"/>
  <c r="V53" i="2"/>
  <c r="O53" i="2"/>
  <c r="P53" i="2"/>
  <c r="V26" i="2"/>
  <c r="O26" i="2"/>
  <c r="P26" i="2"/>
  <c r="C45" i="2"/>
  <c r="B45" i="2"/>
  <c r="H45" i="2"/>
  <c r="D45" i="2"/>
  <c r="G45" i="2"/>
  <c r="O25" i="4"/>
  <c r="O26" i="4"/>
  <c r="G15" i="3"/>
  <c r="R18" i="4"/>
  <c r="R20" i="4"/>
  <c r="T17" i="4"/>
  <c r="U17" i="4"/>
  <c r="U18" i="4"/>
  <c r="B76" i="2"/>
  <c r="B73" i="2"/>
  <c r="I62" i="2"/>
  <c r="I44" i="2"/>
  <c r="I35" i="2"/>
  <c r="B77" i="2"/>
  <c r="N63" i="2"/>
  <c r="I8" i="2"/>
  <c r="I64" i="2"/>
  <c r="J66" i="2"/>
  <c r="B79" i="2"/>
  <c r="M63" i="2"/>
  <c r="I9" i="1"/>
  <c r="R26" i="2"/>
  <c r="R53" i="2"/>
  <c r="R17" i="2"/>
  <c r="V8" i="2"/>
  <c r="Q8" i="2"/>
  <c r="O8" i="2"/>
  <c r="V62" i="2"/>
  <c r="O62" i="2"/>
  <c r="T21" i="13"/>
  <c r="Q15" i="15"/>
  <c r="T21" i="14"/>
  <c r="R15" i="15"/>
  <c r="T21" i="12"/>
  <c r="P15" i="15"/>
  <c r="V35" i="2"/>
  <c r="V45" i="2"/>
  <c r="I45" i="2"/>
  <c r="O45" i="2"/>
  <c r="P45" i="2"/>
  <c r="R21" i="4"/>
  <c r="F15" i="3"/>
  <c r="P15" i="3"/>
  <c r="O35" i="2"/>
  <c r="P22" i="13"/>
  <c r="H16" i="15"/>
  <c r="P22" i="14"/>
  <c r="I16" i="15"/>
  <c r="P22" i="12"/>
  <c r="G16" i="15"/>
  <c r="P22" i="4"/>
  <c r="D16" i="3"/>
  <c r="N16" i="3"/>
  <c r="Y16" i="3"/>
  <c r="V44" i="2"/>
  <c r="O44" i="2"/>
  <c r="T22" i="13"/>
  <c r="Q16" i="15"/>
  <c r="T22" i="14"/>
  <c r="R16" i="15"/>
  <c r="T22" i="12"/>
  <c r="P16" i="15"/>
  <c r="P21" i="13"/>
  <c r="H15" i="15"/>
  <c r="P21" i="14"/>
  <c r="I15" i="15"/>
  <c r="P21" i="12"/>
  <c r="G15" i="15"/>
  <c r="P21" i="4"/>
  <c r="D15" i="3"/>
  <c r="N15" i="3"/>
  <c r="Y15" i="3"/>
  <c r="U26" i="4"/>
  <c r="U25" i="4"/>
  <c r="R26" i="4"/>
  <c r="R25" i="4"/>
  <c r="J3" i="1"/>
  <c r="J2" i="1"/>
  <c r="G16" i="3"/>
  <c r="V17" i="4"/>
  <c r="T18" i="4"/>
  <c r="B81" i="2"/>
  <c r="J6" i="1"/>
  <c r="J5" i="1"/>
  <c r="J4" i="1"/>
  <c r="J8" i="1"/>
  <c r="J7" i="1"/>
  <c r="O16" i="3"/>
  <c r="Z16" i="3"/>
  <c r="R45" i="2"/>
  <c r="P35" i="2"/>
  <c r="R35" i="2"/>
  <c r="O15" i="3"/>
  <c r="Z15" i="3"/>
  <c r="R22" i="13"/>
  <c r="K16" i="15"/>
  <c r="R22" i="14"/>
  <c r="L16" i="15"/>
  <c r="R22" i="12"/>
  <c r="J16" i="15"/>
  <c r="P62" i="2"/>
  <c r="R62" i="2"/>
  <c r="R21" i="14"/>
  <c r="R21" i="13"/>
  <c r="K15" i="15"/>
  <c r="R21" i="12"/>
  <c r="J15" i="15"/>
  <c r="R22" i="4"/>
  <c r="F16" i="3"/>
  <c r="P16" i="3"/>
  <c r="Q16" i="3"/>
  <c r="AB16" i="3"/>
  <c r="P8" i="2"/>
  <c r="R8" i="2"/>
  <c r="P44" i="2"/>
  <c r="R44" i="2"/>
  <c r="S8" i="2"/>
  <c r="V20" i="4"/>
  <c r="T26" i="4"/>
  <c r="T25" i="4"/>
  <c r="V18" i="4"/>
  <c r="AA15" i="3"/>
  <c r="Q15" i="3"/>
  <c r="AB15" i="3"/>
  <c r="T21" i="4"/>
  <c r="H15" i="3"/>
  <c r="T22" i="4"/>
  <c r="H16" i="3"/>
  <c r="F82" i="2"/>
  <c r="I82" i="2"/>
  <c r="C82" i="2"/>
  <c r="G82" i="2"/>
  <c r="E82" i="2"/>
  <c r="H82" i="2"/>
  <c r="J76" i="2"/>
  <c r="J78" i="2"/>
  <c r="J80" i="2"/>
  <c r="D82" i="2"/>
  <c r="J77" i="2"/>
  <c r="J79" i="2"/>
  <c r="U21" i="14"/>
  <c r="O15" i="15"/>
  <c r="U21" i="13"/>
  <c r="N15" i="15"/>
  <c r="U21" i="12"/>
  <c r="M15" i="15"/>
  <c r="U21" i="4"/>
  <c r="I15" i="3"/>
  <c r="R15" i="3"/>
  <c r="U22" i="14"/>
  <c r="O16" i="15"/>
  <c r="U22" i="13"/>
  <c r="N16" i="15"/>
  <c r="U22" i="12"/>
  <c r="M16" i="15"/>
  <c r="U22" i="4"/>
  <c r="I16" i="3"/>
  <c r="R16" i="3"/>
  <c r="O22" i="14"/>
  <c r="O22" i="13"/>
  <c r="O22" i="12"/>
  <c r="O22" i="4"/>
  <c r="C16" i="3"/>
  <c r="L16" i="3"/>
  <c r="O21" i="14"/>
  <c r="O21" i="13"/>
  <c r="O21" i="12"/>
  <c r="O21" i="4"/>
  <c r="C15" i="3"/>
  <c r="L15" i="3"/>
  <c r="AA16" i="3"/>
  <c r="V21" i="4"/>
  <c r="V22" i="4"/>
  <c r="AC16" i="3"/>
  <c r="S16" i="3"/>
  <c r="AD16" i="3"/>
  <c r="AC15" i="3"/>
  <c r="S15" i="3"/>
  <c r="AD15" i="3"/>
  <c r="V22" i="14"/>
  <c r="F16" i="15"/>
  <c r="V22" i="13"/>
  <c r="E16" i="15"/>
  <c r="M15" i="3"/>
  <c r="X15" i="3"/>
  <c r="W15" i="3"/>
  <c r="V21" i="12"/>
  <c r="D15" i="15"/>
  <c r="V21" i="13"/>
  <c r="E15" i="15"/>
  <c r="V21" i="14"/>
  <c r="F15" i="15"/>
  <c r="M16" i="3"/>
  <c r="X16" i="3"/>
  <c r="W16" i="3"/>
  <c r="V22" i="12"/>
  <c r="D16" i="15"/>
  <c r="D9" i="4"/>
  <c r="E7" i="4"/>
  <c r="E3" i="4"/>
  <c r="E6" i="4"/>
  <c r="E4" i="4"/>
  <c r="E5" i="4"/>
  <c r="E8" i="4"/>
  <c r="E2" i="4"/>
  <c r="E9" i="4"/>
  <c r="L11" i="15"/>
  <c r="L9" i="15"/>
  <c r="L8" i="15"/>
  <c r="L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tc={7C9902E8-4683-49C7-BF41-5D07E163EFDE}</author>
    <author>tc={4F249759-67B1-4172-B1BC-50492451F874}</author>
    <author>tc={A0BB583C-108F-4931-8B69-44EBEB0F65FB}</author>
  </authors>
  <commentList>
    <comment ref="O14" authorId="0" shapeId="0" xr:uid="{7C9902E8-4683-49C7-BF41-5D07E163EFDE}">
      <text>
        <t xml:space="preserve">[Threaded comment]
Your version of Excel allows you to read this threaded comment; however, any edits to it will get removed if the file is opened in a newer version of Excel. Learn more: https://go.microsoft.com/fwlink/?linkid=870924
Comment:
    546 </t>
      </text>
    </comment>
    <comment ref="F24" authorId="1" shapeId="0" xr:uid="{4F249759-67B1-4172-B1BC-50492451F874}">
      <text>
        <t>[Threaded comment]
Your version of Excel allows you to read this threaded comment; however, any edits to it will get removed if the file is opened in a newer version of Excel. Learn more: https://go.microsoft.com/fwlink/?linkid=870924
Comment:
    Reduire de moitié par le fourrage cultivé nappier, légumineuses</t>
      </text>
    </comment>
    <comment ref="I24" authorId="2" shapeId="0" xr:uid="{A0BB583C-108F-4931-8B69-44EBEB0F65FB}">
      <text>
        <t>[Threaded comment]
Your version of Excel allows you to read this threaded comment; however, any edits to it will get removed if the file is opened in a newer version of Excel. Learn more: https://go.microsoft.com/fwlink/?linkid=870924
Comment:
    Reduire de moitié par le fourrage cultivé nappier, légumineuses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tc={C3498902-DFE0-4DE4-A19A-BE2418375205}</author>
    <author>tc={FAB0D029-8182-4B38-93DD-2253FCF7B7E2}</author>
    <author>tc={2A6C4F24-5808-4D13-B35E-F2029A733767}</author>
    <author>tc={227DCF0D-2190-46AA-878D-ACC2307F7715}</author>
    <author>tc={D190DE9B-785F-410B-9102-25A0A649F706}</author>
  </authors>
  <commentList>
    <comment ref="D1" authorId="0" shapeId="0" xr:uid="{C3498902-DFE0-4DE4-A19A-BE2418375205}">
      <text>
        <t xml:space="preserve">[Threaded comment]
Your version of Excel allows you to read this threaded comment; however, any edits to it will get removed if the file is opened in a newer version of Excel. Learn more: https://go.microsoft.com/fwlink/?linkid=870924
Comment:
    Taking into account the national share of each system </t>
      </text>
    </comment>
    <comment ref="L1" authorId="1" shapeId="0" xr:uid="{FAB0D029-8182-4B38-93DD-2253FCF7B7E2}">
      <text>
        <t>[Threaded comment]
Your version of Excel allows you to read this threaded comment; however, any edits to it will get removed if the file is opened in a newer version of Excel. Learn more: https://go.microsoft.com/fwlink/?linkid=870924
Comment:
    Nombre de menage possedant des bovins de ce systeme de production</t>
      </text>
    </comment>
    <comment ref="M1" authorId="2" shapeId="0" xr:uid="{2A6C4F24-5808-4D13-B35E-F2029A733767}">
      <text>
        <t>[Threaded comment]
Your version of Excel allows you to read this threaded comment; however, any edits to it will get removed if the file is opened in a newer version of Excel. Learn more: https://go.microsoft.com/fwlink/?linkid=870924
Comment:
    Nombre de ménage ayant bovin correspondant à ce LPS</t>
      </text>
    </comment>
    <comment ref="Q12" authorId="3" shapeId="0" xr:uid="{227DCF0D-2190-46AA-878D-ACC2307F7715}">
      <text>
        <t>[Threaded comment]
Your version of Excel allows you to read this threaded comment; however, any edits to it will get removed if the file is opened in a newer version of Excel. Learn more: https://go.microsoft.com/fwlink/?linkid=870924
Comment:
    Out</t>
      </text>
    </comment>
    <comment ref="R12" authorId="4" shapeId="0" xr:uid="{D190DE9B-785F-410B-9102-25A0A649F706}">
      <text>
        <t>[Threaded comment]
Your version of Excel allows you to read this threaded comment; however, any edits to it will get removed if the file is opened in a newer version of Excel. Learn more: https://go.microsoft.com/fwlink/?linkid=870924
Comment:
    Merged because of the small scale of number of animnals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tc={9BA7076B-3180-45F6-B07F-0DE397AEF9FA}</author>
    <author>tc={118F148D-908F-4CFE-A67E-126D3A07A19F}</author>
    <author>tc={D0FF9D13-3263-4D20-8D47-5CD600928B86}</author>
    <author>tc={1A09D6E5-4EBD-4AE9-87BE-59BFEDED98A9}</author>
    <author>tc={74B9CFAA-977A-4063-B709-488EC7C85A75}</author>
    <author>tc={90171140-75F4-4A16-94EE-4D98E4979E89}</author>
    <author>tc={C59BEB9E-1440-402E-B2F4-D3B4D667D9B3}</author>
    <author>tc={F504340B-76CE-4694-ADDE-3B681EE85995}</author>
  </authors>
  <commentList>
    <comment ref="D1" authorId="0" shapeId="0" xr:uid="{9BA7076B-3180-45F6-B07F-0DE397AEF9FA}">
      <text>
        <t xml:space="preserve">[Threaded comment]
Your version of Excel allows you to read this threaded comment; however, any edits to it will get removed if the file is opened in a newer version of Excel. Learn more: https://go.microsoft.com/fwlink/?linkid=870924
Comment:
    Taking into account the national share of each system </t>
      </text>
    </comment>
    <comment ref="L1" authorId="1" shapeId="0" xr:uid="{118F148D-908F-4CFE-A67E-126D3A07A19F}">
      <text>
        <t>[Threaded comment]
Your version of Excel allows you to read this threaded comment; however, any edits to it will get removed if the file is opened in a newer version of Excel. Learn more: https://go.microsoft.com/fwlink/?linkid=870924
Comment:
    Nombre de menage possedant des bovins de ce systeme de production</t>
      </text>
    </comment>
    <comment ref="M1" authorId="2" shapeId="0" xr:uid="{D0FF9D13-3263-4D20-8D47-5CD600928B86}">
      <text>
        <t>[Threaded comment]
Your version of Excel allows you to read this threaded comment; however, any edits to it will get removed if the file is opened in a newer version of Excel. Learn more: https://go.microsoft.com/fwlink/?linkid=870924
Comment:
    Nombre de ménage ayant bovin correspondant à ce LPS</t>
      </text>
    </comment>
    <comment ref="B12" authorId="3" shapeId="0" xr:uid="{1A09D6E5-4EBD-4AE9-87BE-59BFEDED98A9}">
      <text>
        <t>[Threaded comment]
Your version of Excel allows you to read this threaded comment; however, any edits to it will get removed if the file is opened in a newer version of Excel. Learn more: https://go.microsoft.com/fwlink/?linkid=870924
Comment:
    Venant du fichier new target et cattle population of 2008</t>
      </text>
    </comment>
    <comment ref="H12" authorId="4" shapeId="0" xr:uid="{74B9CFAA-977A-4063-B709-488EC7C85A75}">
      <text>
        <t>[Threaded comment]
Your version of Excel allows you to read this threaded comment; however, any edits to it will get removed if the file is opened in a newer version of Excel. Learn more: https://go.microsoft.com/fwlink/?linkid=870924
Comment:
    out</t>
      </text>
    </comment>
    <comment ref="I12" authorId="5" shapeId="0" xr:uid="{90171140-75F4-4A16-94EE-4D98E4979E89}">
      <text>
        <t>[Threaded comment]
Your version of Excel allows you to read this threaded comment; however, any edits to it will get removed if the file is opened in a newer version of Excel. Learn more: https://go.microsoft.com/fwlink/?linkid=870924
Comment:
    Merged because of the small scale of number of animnals</t>
      </text>
    </comment>
    <comment ref="Q12" authorId="6" shapeId="0" xr:uid="{C59BEB9E-1440-402E-B2F4-D3B4D667D9B3}">
      <text>
        <t>[Threaded comment]
Your version of Excel allows you to read this threaded comment; however, any edits to it will get removed if the file is opened in a newer version of Excel. Learn more: https://go.microsoft.com/fwlink/?linkid=870924
Comment:
    Out</t>
      </text>
    </comment>
    <comment ref="R12" authorId="7" shapeId="0" xr:uid="{F504340B-76CE-4694-ADDE-3B681EE85995}">
      <text>
        <t>[Threaded comment]
Your version of Excel allows you to read this threaded comment; however, any edits to it will get removed if the file is opened in a newer version of Excel. Learn more: https://go.microsoft.com/fwlink/?linkid=870924
Comment:
    Merged because of the small scale of number of animnals</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tc={6B692BE5-0F2F-42BC-9979-38D501322F6C}</author>
    <author>tc={3667CF9C-2362-43D0-8072-4E18D94FA0CB}</author>
    <author>tc={B0F7B30A-595A-45AF-8F52-FB90F259AE94}</author>
    <author>tc={C94C7E7F-7FE7-409C-B1EE-DDF28F162FD5}</author>
    <author>tc={E25CB2E9-621C-4E17-B10F-28171D1568F7}</author>
    <author>tc={37E80B29-7245-4DB0-A634-BE65EBD6EB42}</author>
    <author>tc={B26D4754-3BD2-4162-BDA8-9EEC69715054}</author>
    <author>tc={0A37C404-BBC8-4148-8B4A-4E627AB90BBD}</author>
  </authors>
  <commentList>
    <comment ref="D1" authorId="0" shapeId="0" xr:uid="{6B692BE5-0F2F-42BC-9979-38D501322F6C}">
      <text>
        <t xml:space="preserve">[Threaded comment]
Your version of Excel allows you to read this threaded comment; however, any edits to it will get removed if the file is opened in a newer version of Excel. Learn more: https://go.microsoft.com/fwlink/?linkid=870924
Comment:
    Taking into account the national share of each system </t>
      </text>
    </comment>
    <comment ref="L1" authorId="1" shapeId="0" xr:uid="{3667CF9C-2362-43D0-8072-4E18D94FA0CB}">
      <text>
        <t>[Threaded comment]
Your version of Excel allows you to read this threaded comment; however, any edits to it will get removed if the file is opened in a newer version of Excel. Learn more: https://go.microsoft.com/fwlink/?linkid=870924
Comment:
    Nombre de menage possedant des bovins de ce systeme de production</t>
      </text>
    </comment>
    <comment ref="M1" authorId="2" shapeId="0" xr:uid="{B0F7B30A-595A-45AF-8F52-FB90F259AE94}">
      <text>
        <t>[Threaded comment]
Your version of Excel allows you to read this threaded comment; however, any edits to it will get removed if the file is opened in a newer version of Excel. Learn more: https://go.microsoft.com/fwlink/?linkid=870924
Comment:
    Nombre de ménage ayant bovin correspondant à ce LPS</t>
      </text>
    </comment>
    <comment ref="B12" authorId="3" shapeId="0" xr:uid="{C94C7E7F-7FE7-409C-B1EE-DDF28F162FD5}">
      <text>
        <t>[Threaded comment]
Your version of Excel allows you to read this threaded comment; however, any edits to it will get removed if the file is opened in a newer version of Excel. Learn more: https://go.microsoft.com/fwlink/?linkid=870924
Comment:
    Venant du fichier new target et cattle population of 2008</t>
      </text>
    </comment>
    <comment ref="H12" authorId="4" shapeId="0" xr:uid="{E25CB2E9-621C-4E17-B10F-28171D1568F7}">
      <text>
        <t>[Threaded comment]
Your version of Excel allows you to read this threaded comment; however, any edits to it will get removed if the file is opened in a newer version of Excel. Learn more: https://go.microsoft.com/fwlink/?linkid=870924
Comment:
    out</t>
      </text>
    </comment>
    <comment ref="I12" authorId="5" shapeId="0" xr:uid="{37E80B29-7245-4DB0-A634-BE65EBD6EB42}">
      <text>
        <t>[Threaded comment]
Your version of Excel allows you to read this threaded comment; however, any edits to it will get removed if the file is opened in a newer version of Excel. Learn more: https://go.microsoft.com/fwlink/?linkid=870924
Comment:
    Merged because of the small scale of number of animnals</t>
      </text>
    </comment>
    <comment ref="Q12" authorId="6" shapeId="0" xr:uid="{B26D4754-3BD2-4162-BDA8-9EEC69715054}">
      <text>
        <t>[Threaded comment]
Your version of Excel allows you to read this threaded comment; however, any edits to it will get removed if the file is opened in a newer version of Excel. Learn more: https://go.microsoft.com/fwlink/?linkid=870924
Comment:
    Out</t>
      </text>
    </comment>
    <comment ref="R12" authorId="7" shapeId="0" xr:uid="{0A37C404-BBC8-4148-8B4A-4E627AB90BBD}">
      <text>
        <t>[Threaded comment]
Your version of Excel allows you to read this threaded comment; however, any edits to it will get removed if the file is opened in a newer version of Excel. Learn more: https://go.microsoft.com/fwlink/?linkid=870924
Comment:
    Merged because of the small scale of number of animnals</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tc={BE5C32C9-2A02-486B-BD72-EE0DEAB58D79}</author>
    <author>tc={65DA8343-4F31-4D9B-9667-74C6AC4F266F}</author>
    <author>tc={2F610397-9FCD-470E-88BD-102ED990DCAD}</author>
    <author>tc={23E59FFD-E73D-4227-9D36-10DCEE5308B7}</author>
    <author>tc={C0ED8E66-9644-4762-B264-B23DA68B68EE}</author>
    <author>tc={09AFB7B6-AC6B-48FC-A19E-39400D5234A0}</author>
    <author>tc={7A8292CC-84AF-4E10-B68E-793D7ADEF0C8}</author>
    <author>tc={064D7C0F-4987-4C92-91F0-F2F35069C786}</author>
  </authors>
  <commentList>
    <comment ref="D1" authorId="0" shapeId="0" xr:uid="{BE5C32C9-2A02-486B-BD72-EE0DEAB58D79}">
      <text>
        <t xml:space="preserve">[Threaded comment]
Your version of Excel allows you to read this threaded comment; however, any edits to it will get removed if the file is opened in a newer version of Excel. Learn more: https://go.microsoft.com/fwlink/?linkid=870924
Comment:
    Taking into account the national share of each system </t>
      </text>
    </comment>
    <comment ref="L1" authorId="1" shapeId="0" xr:uid="{65DA8343-4F31-4D9B-9667-74C6AC4F266F}">
      <text>
        <t>[Threaded comment]
Your version of Excel allows you to read this threaded comment; however, any edits to it will get removed if the file is opened in a newer version of Excel. Learn more: https://go.microsoft.com/fwlink/?linkid=870924
Comment:
    Nombre de menage possedant des bovins de ce systeme de production</t>
      </text>
    </comment>
    <comment ref="M1" authorId="2" shapeId="0" xr:uid="{2F610397-9FCD-470E-88BD-102ED990DCAD}">
      <text>
        <t>[Threaded comment]
Your version of Excel allows you to read this threaded comment; however, any edits to it will get removed if the file is opened in a newer version of Excel. Learn more: https://go.microsoft.com/fwlink/?linkid=870924
Comment:
    Nombre de ménage ayant bovin correspondant à ce LPS</t>
      </text>
    </comment>
    <comment ref="B12" authorId="3" shapeId="0" xr:uid="{23E59FFD-E73D-4227-9D36-10DCEE5308B7}">
      <text>
        <t>[Threaded comment]
Your version of Excel allows you to read this threaded comment; however, any edits to it will get removed if the file is opened in a newer version of Excel. Learn more: https://go.microsoft.com/fwlink/?linkid=870924
Comment:
    Venant du fichier new target et cattle population of 2008</t>
      </text>
    </comment>
    <comment ref="H12" authorId="4" shapeId="0" xr:uid="{C0ED8E66-9644-4762-B264-B23DA68B68EE}">
      <text>
        <t>[Threaded comment]
Your version of Excel allows you to read this threaded comment; however, any edits to it will get removed if the file is opened in a newer version of Excel. Learn more: https://go.microsoft.com/fwlink/?linkid=870924
Comment:
    out</t>
      </text>
    </comment>
    <comment ref="I12" authorId="5" shapeId="0" xr:uid="{09AFB7B6-AC6B-48FC-A19E-39400D5234A0}">
      <text>
        <t>[Threaded comment]
Your version of Excel allows you to read this threaded comment; however, any edits to it will get removed if the file is opened in a newer version of Excel. Learn more: https://go.microsoft.com/fwlink/?linkid=870924
Comment:
    Merged because of the small scale of number of animnals</t>
      </text>
    </comment>
    <comment ref="Q12" authorId="6" shapeId="0" xr:uid="{7A8292CC-84AF-4E10-B68E-793D7ADEF0C8}">
      <text>
        <t>[Threaded comment]
Your version of Excel allows you to read this threaded comment; however, any edits to it will get removed if the file is opened in a newer version of Excel. Learn more: https://go.microsoft.com/fwlink/?linkid=870924
Comment:
    Out</t>
      </text>
    </comment>
    <comment ref="R12" authorId="7" shapeId="0" xr:uid="{064D7C0F-4987-4C92-91F0-F2F35069C786}">
      <text>
        <t>[Threaded comment]
Your version of Excel allows you to read this threaded comment; however, any edits to it will get removed if the file is opened in a newer version of Excel. Learn more: https://go.microsoft.com/fwlink/?linkid=870924
Comment:
    Merged because of the small scale of number of animnals</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Rakotovao, Narindra (NSAG)</author>
  </authors>
  <commentList>
    <comment ref="A37" authorId="0" shapeId="0" xr:uid="{FF612D1B-E4C0-49FE-B413-CF9A40C6D25E}">
      <text>
        <r>
          <rPr>
            <b/>
            <sz val="9"/>
            <color indexed="81"/>
            <rFont val="Tahoma"/>
            <family val="2"/>
          </rPr>
          <t>Rakotovao, Narindra (NSAG):</t>
        </r>
        <r>
          <rPr>
            <sz val="9"/>
            <color indexed="81"/>
            <rFont val="Tahoma"/>
            <family val="2"/>
          </rPr>
          <t xml:space="preserve">
Sans Karamoja</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tc={22D096F2-4F5D-41EA-8818-F242F4B1153B}</author>
  </authors>
  <commentList>
    <comment ref="O8" authorId="0" shapeId="0" xr:uid="{22D096F2-4F5D-41EA-8818-F242F4B1153B}">
      <text>
        <t>[Threaded comment]
Your version of Excel allows you to read this threaded comment; however, any edits to it will get removed if the file is opened in a newer version of Excel. Learn more: https://go.microsoft.com/fwlink/?linkid=870924
Comment:
    Sans Karamoja</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tc={AA5C6B4E-193B-4338-8765-960C097D82C6}</author>
  </authors>
  <commentList>
    <comment ref="R4" authorId="0" shapeId="0" xr:uid="{AA5C6B4E-193B-4338-8765-960C097D82C6}">
      <text>
        <t>[Threaded comment]
Your version of Excel allows you to read this threaded comment; however, any edits to it will get removed if the file is opened in a newer version of Excel. Learn more: https://go.microsoft.com/fwlink/?linkid=870924
Comment:
    Borrowed the information from Kenya extensive (pastoral) system</t>
      </text>
    </comment>
  </commentList>
</comments>
</file>

<file path=xl/sharedStrings.xml><?xml version="1.0" encoding="utf-8"?>
<sst xmlns="http://schemas.openxmlformats.org/spreadsheetml/2006/main" count="2132" uniqueCount="434">
  <si>
    <t>B1 OM cross breed</t>
  </si>
  <si>
    <t>B1 OM cross &amp; exotic breed</t>
  </si>
  <si>
    <t>B1MR Semi-intensive local breed</t>
  </si>
  <si>
    <t>B2MR Agro-pastoral (meat and dairy)</t>
  </si>
  <si>
    <t>B3LG Pastoral</t>
  </si>
  <si>
    <t>All Uganda</t>
  </si>
  <si>
    <t>Baseline</t>
  </si>
  <si>
    <t>B1OM_WOP</t>
  </si>
  <si>
    <t>B1OM_WP</t>
  </si>
  <si>
    <t>Delta</t>
  </si>
  <si>
    <t>B1OM_EXOTIC_WOP</t>
  </si>
  <si>
    <t>B1OM_EXOTIC_WP</t>
  </si>
  <si>
    <t>B1MR_WOP</t>
  </si>
  <si>
    <t>B1MR_WP</t>
  </si>
  <si>
    <t>B2MR_WOP</t>
  </si>
  <si>
    <t>B2MR_WP</t>
  </si>
  <si>
    <t>B3LG_WOP</t>
  </si>
  <si>
    <t>B3LG_WP</t>
  </si>
  <si>
    <t>WOP</t>
  </si>
  <si>
    <t>With DaIMA</t>
  </si>
  <si>
    <t>Total emissions after 20 years (tCO2eq)</t>
  </si>
  <si>
    <t>Total emissions (Tons CO2-eq)</t>
  </si>
  <si>
    <t>Total GHG emissions</t>
  </si>
  <si>
    <t>tCO2eq/year</t>
  </si>
  <si>
    <t>% change</t>
  </si>
  <si>
    <t>Year 0 (baseline</t>
  </si>
  <si>
    <t>GHG emissions linked to meat production</t>
  </si>
  <si>
    <t>Year 20 WP</t>
  </si>
  <si>
    <t>GHG emissions linked to milk production</t>
  </si>
  <si>
    <t>Year 20 WOP</t>
  </si>
  <si>
    <t>System meat production in carcass weight</t>
  </si>
  <si>
    <t>kg/year</t>
  </si>
  <si>
    <t>Cumulative difference WP-WOP (20 year)</t>
  </si>
  <si>
    <t>Milk production (Adult Females)</t>
  </si>
  <si>
    <t>Total production in protein</t>
  </si>
  <si>
    <t>t protein/year</t>
  </si>
  <si>
    <t>Emissions intensity meat</t>
  </si>
  <si>
    <t>kg CO2eq/kg protein</t>
  </si>
  <si>
    <t>Emissions intensity milk</t>
  </si>
  <si>
    <t>Feed intake</t>
  </si>
  <si>
    <t>t DM/year</t>
  </si>
  <si>
    <t>Year 0</t>
  </si>
  <si>
    <t>Herd size</t>
  </si>
  <si>
    <t>heads</t>
  </si>
  <si>
    <t>Year 1</t>
  </si>
  <si>
    <t>kg CO2eq/kg milk</t>
  </si>
  <si>
    <t>Year 2</t>
  </si>
  <si>
    <t>Enteric Methane EF</t>
  </si>
  <si>
    <t>kg CH4/head/year</t>
  </si>
  <si>
    <t>Year 3</t>
  </si>
  <si>
    <t>Total Protein EI</t>
  </si>
  <si>
    <t>Year 4</t>
  </si>
  <si>
    <t>Breakdown of emissions (GWP 27 for CH4 and 273 for N2O)</t>
  </si>
  <si>
    <t>Milk EI</t>
  </si>
  <si>
    <t>Year 5</t>
  </si>
  <si>
    <t>CH4: enteric fermentation</t>
  </si>
  <si>
    <t>kgCH4/year</t>
  </si>
  <si>
    <t>Year 6</t>
  </si>
  <si>
    <t>CH4: Manure - CH4 from manure management</t>
  </si>
  <si>
    <t>Year 7</t>
  </si>
  <si>
    <t>Energy - CO2 direct energy use</t>
  </si>
  <si>
    <t>kgCO2/year</t>
  </si>
  <si>
    <t>Year 8</t>
  </si>
  <si>
    <t>Energy - CO2 indirect energy use</t>
  </si>
  <si>
    <t>Year 9</t>
  </si>
  <si>
    <t>Feed: CO2 feed production</t>
  </si>
  <si>
    <t>Year 10</t>
  </si>
  <si>
    <t>Feed: CO2 LUC palm kernel cake</t>
  </si>
  <si>
    <t>Year 11</t>
  </si>
  <si>
    <t>Feed: CO2 LUC soy</t>
  </si>
  <si>
    <t>Emissions intensity milk (kg CO2eq/kg milk)</t>
  </si>
  <si>
    <t>Year 12</t>
  </si>
  <si>
    <t>FEED: N2O from fertilizer and  crop residues</t>
  </si>
  <si>
    <t>kgN2O/year</t>
  </si>
  <si>
    <t>Year 13</t>
  </si>
  <si>
    <t>Feed: N2O from manure applied and deposited</t>
  </si>
  <si>
    <t>Year 14</t>
  </si>
  <si>
    <t>N2O from feed production</t>
  </si>
  <si>
    <t>Year 15</t>
  </si>
  <si>
    <t>N2O from manure management</t>
  </si>
  <si>
    <t>Year 16</t>
  </si>
  <si>
    <t>Year 17</t>
  </si>
  <si>
    <t>Year 18</t>
  </si>
  <si>
    <t>Year 19</t>
  </si>
  <si>
    <t xml:space="preserve">tCO2 equivalance </t>
  </si>
  <si>
    <t>Year 20</t>
  </si>
  <si>
    <t>Total milk production (t milk/year)</t>
  </si>
  <si>
    <t>Methane from enteric fermentation</t>
  </si>
  <si>
    <t>Methane from manure management</t>
  </si>
  <si>
    <t>Carbon dioxide from energy use</t>
  </si>
  <si>
    <t xml:space="preserve">Carbon dioxide from feed </t>
  </si>
  <si>
    <t>Total feed intake (t DM/year)</t>
  </si>
  <si>
    <t>Specie</t>
  </si>
  <si>
    <t>module</t>
  </si>
  <si>
    <t>system</t>
  </si>
  <si>
    <t>orientation</t>
  </si>
  <si>
    <t>parameter</t>
  </si>
  <si>
    <t>unit</t>
  </si>
  <si>
    <t>B1OM_Baseline</t>
  </si>
  <si>
    <t>delta</t>
  </si>
  <si>
    <t>B1OM_Exotic_Baseline</t>
  </si>
  <si>
    <t>B1MR_Baseline</t>
  </si>
  <si>
    <t>B2MR_Baseline</t>
  </si>
  <si>
    <t>B3LG_Baseline</t>
  </si>
  <si>
    <t xml:space="preserve">TotalBaseline </t>
  </si>
  <si>
    <t>TotalWOP</t>
  </si>
  <si>
    <t>TotalDaIMA</t>
  </si>
  <si>
    <t>Delta WOP/WP</t>
  </si>
  <si>
    <t>Cattle</t>
  </si>
  <si>
    <t>All</t>
  </si>
  <si>
    <t>Emissions by head</t>
  </si>
  <si>
    <t>kgCO2-eq</t>
  </si>
  <si>
    <t>Meat emission intensity</t>
  </si>
  <si>
    <t>kgCO2-eq/kgProt</t>
  </si>
  <si>
    <t>Milk production</t>
  </si>
  <si>
    <t>Number of heads</t>
  </si>
  <si>
    <t>#</t>
  </si>
  <si>
    <t>Total CH4</t>
  </si>
  <si>
    <t>Total CO2</t>
  </si>
  <si>
    <t>kgCO2-eq/year</t>
  </si>
  <si>
    <t>Total N2O</t>
  </si>
  <si>
    <t>Mixed</t>
  </si>
  <si>
    <t>Dairy</t>
  </si>
  <si>
    <t>Emissions linked to direct energy use</t>
  </si>
  <si>
    <t>Feedlot total GHG emissions</t>
  </si>
  <si>
    <t>Meat production in carcass weight for a given cohort (Meat females feedlot)</t>
  </si>
  <si>
    <t>Meat production in carcass weight for a given cohort (Meat males feedlot)</t>
  </si>
  <si>
    <t>Meat production in carcass weight for a given cohort (Non feedlot meat females)</t>
  </si>
  <si>
    <t>Meat production in carcass weight for a given cohort (Non feedlot meat males)</t>
  </si>
  <si>
    <t>Milk emission intensity</t>
  </si>
  <si>
    <t>Number of animals (Meat females feedlot)</t>
  </si>
  <si>
    <t>Number of animals (Meat males feedlot)</t>
  </si>
  <si>
    <t>Number of animals (Non feedlot meat females)</t>
  </si>
  <si>
    <t>Number of animals (Non feedlot meat males)</t>
  </si>
  <si>
    <t>Number of animals (Replacement Females)</t>
  </si>
  <si>
    <t>Number of animals (Replacement Males)</t>
  </si>
  <si>
    <t>Number of new female calves</t>
  </si>
  <si>
    <t>Number of new male calves</t>
  </si>
  <si>
    <t>Total cohort feed intake (Meat females feedlot)</t>
  </si>
  <si>
    <t>Total cohort feed intake (Meat males feedlot)</t>
  </si>
  <si>
    <t>Total cohort feed intake (Non feedlot meat females)</t>
  </si>
  <si>
    <t>Total cohort feed intake (Non feedlot meat males)</t>
  </si>
  <si>
    <t>Total feed intake</t>
  </si>
  <si>
    <t>kgDM/year</t>
  </si>
  <si>
    <t>Total GHG emissions (Adult Females)</t>
  </si>
  <si>
    <t>Total GHG emissions (Adult Males)</t>
  </si>
  <si>
    <t>Total GHG emissions (Meat females feedlot)</t>
  </si>
  <si>
    <t>Total GHG emissions (Meat males feedlot)</t>
  </si>
  <si>
    <t>Total GHG emissions (Non feedlot meat females)</t>
  </si>
  <si>
    <t>Total GHG emissions (Non feedlot meat males)</t>
  </si>
  <si>
    <t>Total GHG emissions (Replacement Females)</t>
  </si>
  <si>
    <t>Total GHG emissions (Replacement Males)</t>
  </si>
  <si>
    <t>Selection</t>
  </si>
  <si>
    <t>Feedlot</t>
  </si>
  <si>
    <t>Meat production in kg protein</t>
  </si>
  <si>
    <t>B1 MR Semi-intensive local breed</t>
  </si>
  <si>
    <t>B2 MR Agro-pastoral (meat and dairy)</t>
  </si>
  <si>
    <t>B3 LG pastoral</t>
  </si>
  <si>
    <t>Parameter</t>
  </si>
  <si>
    <t>Unit</t>
  </si>
  <si>
    <t>WP</t>
  </si>
  <si>
    <t>HERD</t>
  </si>
  <si>
    <t>Age at the first parturition</t>
  </si>
  <si>
    <t>months</t>
  </si>
  <si>
    <t>Death rate of adult animals</t>
  </si>
  <si>
    <t>%</t>
  </si>
  <si>
    <t>Death rate of young females</t>
  </si>
  <si>
    <t>Death rate of young males</t>
  </si>
  <si>
    <t>Fertility rate (adult female)</t>
  </si>
  <si>
    <t>Live weight (Adult Females)</t>
  </si>
  <si>
    <t>kg</t>
  </si>
  <si>
    <t>Live weight (Adult Males)</t>
  </si>
  <si>
    <t>Live weight of animal at slaughter (Meat Females)</t>
  </si>
  <si>
    <t>Live weight of animal at slaughter (Meat Males)</t>
  </si>
  <si>
    <t>Milk fat content</t>
  </si>
  <si>
    <t>Milk protein content</t>
  </si>
  <si>
    <t>Milk Yield</t>
  </si>
  <si>
    <t>Number of animals (Adult Females)</t>
  </si>
  <si>
    <t>Number of animals (Adult Males)</t>
  </si>
  <si>
    <t>Replacement rate of adult females</t>
  </si>
  <si>
    <t>Weight at birth</t>
  </si>
  <si>
    <t>Adulte females</t>
  </si>
  <si>
    <t>By-products from cottonseed</t>
  </si>
  <si>
    <t>By-products from rape (canola)</t>
  </si>
  <si>
    <t>By-products from soy</t>
  </si>
  <si>
    <t>By-products from sugar beet</t>
  </si>
  <si>
    <t>Crop residues from maize</t>
  </si>
  <si>
    <t>Crop residues from millet</t>
  </si>
  <si>
    <t>Crop residues from other grains</t>
  </si>
  <si>
    <t>Crop residues from rice</t>
  </si>
  <si>
    <t>Crop residues from sorghum</t>
  </si>
  <si>
    <t>Crop residues from sugarcane</t>
  </si>
  <si>
    <t>Crop residues from wheat</t>
  </si>
  <si>
    <t>Dry by-product from grain industries</t>
  </si>
  <si>
    <t>Fodder beet</t>
  </si>
  <si>
    <t>Fresh grass</t>
  </si>
  <si>
    <t>Fresh mixture of grass and legumes</t>
  </si>
  <si>
    <t>Grains</t>
  </si>
  <si>
    <t>Hay from adjacent areas</t>
  </si>
  <si>
    <t>Hay or silage from alfalfa</t>
  </si>
  <si>
    <t>Hay or silage from cultivated grass</t>
  </si>
  <si>
    <t>Hay or silage from grass and legumes</t>
  </si>
  <si>
    <t>Leaves from natural vegetation</t>
  </si>
  <si>
    <t>Maize</t>
  </si>
  <si>
    <t>Maize gluten feed</t>
  </si>
  <si>
    <t>Maize gluten meal</t>
  </si>
  <si>
    <t>Molasses</t>
  </si>
  <si>
    <t>Oil palm kernel expeller</t>
  </si>
  <si>
    <t>Silage from whole grain plants.</t>
  </si>
  <si>
    <t>Silage from whole maize plant</t>
  </si>
  <si>
    <t>Wet by-product from grain industries</t>
  </si>
  <si>
    <t>Meat animals (non feedlot)</t>
  </si>
  <si>
    <t>Manure</t>
  </si>
  <si>
    <t>Anaerobic digester</t>
  </si>
  <si>
    <t>Burned for fuel</t>
  </si>
  <si>
    <t>Composting</t>
  </si>
  <si>
    <t>Daily spread</t>
  </si>
  <si>
    <t>Dry lot</t>
  </si>
  <si>
    <t>Liquid/Slurry</t>
  </si>
  <si>
    <t>Pasture/Range/Paddock</t>
  </si>
  <si>
    <t>Solid storage</t>
  </si>
  <si>
    <t>Uncovered anaerobic lagoon</t>
  </si>
  <si>
    <t xml:space="preserve">Uganda </t>
  </si>
  <si>
    <t>Livestock models</t>
  </si>
  <si>
    <t>Unit Biodigester</t>
  </si>
  <si>
    <t>Intensive system</t>
  </si>
  <si>
    <t>Small scale intensive system (B1OM cross breed)</t>
  </si>
  <si>
    <t>HH</t>
  </si>
  <si>
    <t>Small scale intensive system (B1OM cross &amp; exotic breed)</t>
  </si>
  <si>
    <t>Extensive system</t>
  </si>
  <si>
    <t>Semi-intensive system - Local breed (B1 MR)</t>
  </si>
  <si>
    <t>Agro-pastoral systems - Local breed (B2MR)</t>
  </si>
  <si>
    <t>Pastoral system</t>
  </si>
  <si>
    <t>Pastoral system (local) B3LG</t>
  </si>
  <si>
    <t>LPS</t>
  </si>
  <si>
    <t>Assumptions</t>
  </si>
  <si>
    <t>Small scale intensive system (Cross breed) B1OM cross breed</t>
  </si>
  <si>
    <t>Better feed by increasing the proportion of concentrate in the diet for adult females reducing the proportion of crop residues, and incorporating legumes to improve the feed basket:
- Increase of the proportion of dry by-product from grain industries (brans of maize, wheat, and rice) from 2% in WOP to 10% in WP;
-Increase of the proportion of fresh mixture of grass + legumes from 9 to 19% and the hay or silage from grass and legumes from 5 to 15% in WOP to WP;
- Decrease of the proportion of crop residues from maize, millet, rice, sorghum, sugarcane, wheat, and other grains from 36% in WOP to 16% in WP.</t>
  </si>
  <si>
    <t>Small scale intensive system (Cross breed and exotic animals) 
(B1OM cross &amp; exotic breed)</t>
  </si>
  <si>
    <t>Better feed by increasing the proportion of concentrate in the diet for adult females reducing the proportion of crop residues, and incorporating legumes to improve the feed basket:
- Increase of the proportion of dry by-product from grain industries (brans of maize, wheat, and rice) from 2% in WOP to 10% in WP;
-Increase of the proportion of fresh mixture of grass + legumes from 9 to 19% and the hay or silage from grass and legumes from 5 to 15% in WOP and WP;
- Decrease of the proportion of crop residues from maize, millet, rice, sorghum, sugarcane, wheat, and other grains from 36% in WOP to 16% in WP.</t>
  </si>
  <si>
    <t>Semi-intensive system - Local breed
(B1 MR)</t>
  </si>
  <si>
    <t xml:space="preserve">Better access to pasture improving the feed basket by incorporating more legumes from pasture in the diet, reducing the proportion of crop residues and fresh grass:
-Increase of the proportion of fresh mixture of grass + legumes from 9 to 19% and the hay or silage from grass and legumes from 5 to 15% in WOP and WP situations, reducing the proportion of crop residues of 15% and fresh grass of 5%.
</t>
  </si>
  <si>
    <t xml:space="preserve">Agro-pastoral systems (meat and dairy) Local breed (B2MR)
</t>
  </si>
  <si>
    <t xml:space="preserve">Better access to pasture improving the feed basket of adult females and meat animals (non feedlot) by incorporating more legumes in the diet, reducing the proportion of crop residues, fresh grass, and hay from adjacent area:
-Increase of the proportion of fresh mixture of grass + legumes from 5 to 25% 
-Decrease of the proportion of crop residues from 26% to 14%, fresh grass from  60 to 55%, and hay from adjacent area from 5% to 2%
</t>
  </si>
  <si>
    <t>Pastoral mix systems (meat and dairy) Local breed
(B3 LG)</t>
  </si>
  <si>
    <t xml:space="preserve">Better access to pasture improving the feed basket of adult females and meat animals (non feedlot) by incorporating more legumes in the diet, reducing the proportion of fresh grass, and hay from adjacent area:
-Increase of the proportion of fresh mixture of grass + legumes from 2 to 27% 
-Decrease of the proportion of fresh grass from 90 to 70%, and hay from adjacent area from 4% to 1%
</t>
  </si>
  <si>
    <t>Systems</t>
  </si>
  <si>
    <t>Assumptions for feed parameters</t>
  </si>
  <si>
    <t>Small scale intensive system cross breed</t>
  </si>
  <si>
    <t>Small scale intensive system cross &amp; exotic breed</t>
  </si>
  <si>
    <t xml:space="preserve">Semi-intensive system - Local breed
</t>
  </si>
  <si>
    <t xml:space="preserve">Agro-pastoral systems  Local breed
</t>
  </si>
  <si>
    <t xml:space="preserve">Pastoral mix systems Local breed
</t>
  </si>
  <si>
    <t>SMALL SCALE INTENSIVE SYSTEMS</t>
  </si>
  <si>
    <t>Semi-intensive local breed</t>
  </si>
  <si>
    <t xml:space="preserve">Agro-pastoral </t>
  </si>
  <si>
    <t>Pastoral</t>
  </si>
  <si>
    <t>Cross breed</t>
  </si>
  <si>
    <t>Cross &amp; exotic breed</t>
  </si>
  <si>
    <t>Rapport poids AF/Sub adulte femelle</t>
  </si>
  <si>
    <t>feed intake meat female per animal</t>
  </si>
  <si>
    <t>feed intake meat male per animal</t>
  </si>
  <si>
    <t>Dry by product from grain industries</t>
  </si>
  <si>
    <t>Dry by product grain industries sub adulte femelle</t>
  </si>
  <si>
    <t>kg/day</t>
  </si>
  <si>
    <t>Dry by product grain industries sub adulte male</t>
  </si>
  <si>
    <t>Dry by product grain indistries sub-adult Total</t>
  </si>
  <si>
    <t>kgDM/day</t>
  </si>
  <si>
    <t>Dry by product grain indistries sub-adult per animal</t>
  </si>
  <si>
    <t>kgDM/day/animal</t>
  </si>
  <si>
    <t>kg/day/animal</t>
  </si>
  <si>
    <t>Total cohort feed intake (Non feedlot meat females)/animal</t>
  </si>
  <si>
    <t>kg/year/animal</t>
  </si>
  <si>
    <t>Total cohort feed intake (Non feedlot meat males)/animal</t>
  </si>
  <si>
    <t>Feed intake AF</t>
  </si>
  <si>
    <t>kgDM/animal/year</t>
  </si>
  <si>
    <t>kgDM/animal/day</t>
  </si>
  <si>
    <t>% LW AF</t>
  </si>
  <si>
    <t>Dry by product grain industries AF par animal</t>
  </si>
  <si>
    <t>Dry by product grain industries AF Total</t>
  </si>
  <si>
    <t>Dry by product grain industries AF per animal</t>
  </si>
  <si>
    <t>LW herd</t>
  </si>
  <si>
    <t xml:space="preserve">Average Feed intake % per LW </t>
  </si>
  <si>
    <t>Pasture and Rangelands</t>
  </si>
  <si>
    <t>% of diet</t>
  </si>
  <si>
    <t>Improved legume forage in diet AF and SA</t>
  </si>
  <si>
    <t>DM in AF diet</t>
  </si>
  <si>
    <t>tDM/cohort/year</t>
  </si>
  <si>
    <t>DM in SA diet</t>
  </si>
  <si>
    <t>Total DM required from improved rangeland and pasture</t>
  </si>
  <si>
    <t>tDM/year</t>
  </si>
  <si>
    <t>Natural pasture (Mwangi, 2015)</t>
  </si>
  <si>
    <t xml:space="preserve">tDM/ha </t>
  </si>
  <si>
    <t>Improved pasture (grazing management, irrigation, legumes reseeding, fertilization) (Macharia et al., 2010)</t>
  </si>
  <si>
    <t>Area required for rehabilitation</t>
  </si>
  <si>
    <t xml:space="preserve">Ha </t>
  </si>
  <si>
    <t>Area required for rehabilitation in WP Uganda</t>
  </si>
  <si>
    <t>Ha</t>
  </si>
  <si>
    <t>Total Herd New target</t>
  </si>
  <si>
    <t>Proportion of National Herd</t>
  </si>
  <si>
    <t>Total without Karamoja and without other LPS</t>
  </si>
  <si>
    <t>Proportion of the Herd of the LPS</t>
  </si>
  <si>
    <t>HH Ownership</t>
  </si>
  <si>
    <t>Approx No. of Cattle owning HH</t>
  </si>
  <si>
    <t>DaIMA HHs</t>
  </si>
  <si>
    <t>Adult Females (% of Total Herd)</t>
  </si>
  <si>
    <t>Adult Males (% of Tital Herd)</t>
  </si>
  <si>
    <t xml:space="preserve">B1 OM </t>
  </si>
  <si>
    <t>Small-scale intensive</t>
  </si>
  <si>
    <t>B1 OM EXOTIC</t>
  </si>
  <si>
    <t>Medium-scale intensive</t>
  </si>
  <si>
    <t>B1 MR</t>
  </si>
  <si>
    <t>Small and medium scale extensive - local breed</t>
  </si>
  <si>
    <t>B3 LG</t>
  </si>
  <si>
    <t>Pastoralist</t>
  </si>
  <si>
    <t>B2 MR</t>
  </si>
  <si>
    <t>Agro-pastoralist</t>
  </si>
  <si>
    <t>Animal Numbers New target</t>
  </si>
  <si>
    <t>HH Numbers per Region for DaIMA</t>
  </si>
  <si>
    <t>New target Total Cattle Stat 2008</t>
  </si>
  <si>
    <t>Total (million heads)</t>
  </si>
  <si>
    <t>Large-scale intensive</t>
  </si>
  <si>
    <t>Small-scale extensive</t>
  </si>
  <si>
    <t>Medium-scale extensive</t>
  </si>
  <si>
    <t>Central</t>
  </si>
  <si>
    <t>Eastern</t>
  </si>
  <si>
    <t>Northern</t>
  </si>
  <si>
    <t>Western</t>
  </si>
  <si>
    <t>total</t>
  </si>
  <si>
    <t>sans Karamoja</t>
  </si>
  <si>
    <t>Total</t>
  </si>
  <si>
    <t>75% of Total HH Target for DaIMA</t>
  </si>
  <si>
    <t>Commercial dairy systems</t>
  </si>
  <si>
    <t>Traditional dairy systems</t>
  </si>
  <si>
    <t>REGION NAME</t>
  </si>
  <si>
    <t xml:space="preserve">Large-scale commercial </t>
  </si>
  <si>
    <t>Share of total herd</t>
  </si>
  <si>
    <t>Number of Cattle</t>
  </si>
  <si>
    <t>CENTRAL</t>
  </si>
  <si>
    <t>Number of Adult females</t>
  </si>
  <si>
    <t>EASTERN</t>
  </si>
  <si>
    <t>Number of adult males</t>
  </si>
  <si>
    <t>KARAMOJA</t>
  </si>
  <si>
    <t>NORTHERN</t>
  </si>
  <si>
    <t>WESTERN</t>
  </si>
  <si>
    <t xml:space="preserve">Regions </t>
  </si>
  <si>
    <t>Districts</t>
  </si>
  <si>
    <t>Amolotar</t>
  </si>
  <si>
    <t>Amudat</t>
  </si>
  <si>
    <t>Buliisa</t>
  </si>
  <si>
    <t>Hoima</t>
  </si>
  <si>
    <t>Kaabong</t>
  </si>
  <si>
    <t>Kapelebyong</t>
  </si>
  <si>
    <t>Karenga</t>
  </si>
  <si>
    <t>Kasaanda</t>
  </si>
  <si>
    <t>Kasese</t>
  </si>
  <si>
    <t>Katakwi</t>
  </si>
  <si>
    <t>Kazo</t>
  </si>
  <si>
    <t>Kiboga</t>
  </si>
  <si>
    <t>Kibuku</t>
  </si>
  <si>
    <t>Kiruhura</t>
  </si>
  <si>
    <t>Kole</t>
  </si>
  <si>
    <t>Kotido</t>
  </si>
  <si>
    <t>Kumi</t>
  </si>
  <si>
    <t>Kyankwanzi</t>
  </si>
  <si>
    <t>Kyotera</t>
  </si>
  <si>
    <t>Lira</t>
  </si>
  <si>
    <t>Masindi</t>
  </si>
  <si>
    <t>Mbarara</t>
  </si>
  <si>
    <t>Moroto</t>
  </si>
  <si>
    <t>Nabitaluk</t>
  </si>
  <si>
    <t>Nakapiripirit</t>
  </si>
  <si>
    <t>Nakasongola</t>
  </si>
  <si>
    <t>Ngora</t>
  </si>
  <si>
    <t>Ntoroko</t>
  </si>
  <si>
    <t>Ntungamo</t>
  </si>
  <si>
    <t>Pallisa</t>
  </si>
  <si>
    <t>Rakai</t>
  </si>
  <si>
    <t>Rwampara</t>
  </si>
  <si>
    <t>Sembabule</t>
  </si>
  <si>
    <t>Serere</t>
  </si>
  <si>
    <t>Soroti</t>
  </si>
  <si>
    <t>Total without Karamoja Baseline 2024</t>
  </si>
  <si>
    <t>Animal Numbers New target 2024</t>
  </si>
  <si>
    <t>total sans Karamoja 2024</t>
  </si>
  <si>
    <t>Growth  - annual average for the 20 years</t>
  </si>
  <si>
    <t>Total without Karamoja WOP</t>
  </si>
  <si>
    <t>Total without Karamoja WP</t>
  </si>
  <si>
    <t>Total number of dry females</t>
  </si>
  <si>
    <t>Total number of milking females</t>
  </si>
  <si>
    <t>Number adult male</t>
  </si>
  <si>
    <t>Number meat female</t>
  </si>
  <si>
    <t>Number replacement male</t>
  </si>
  <si>
    <t>Number replacement female</t>
  </si>
  <si>
    <t>Number meat male</t>
  </si>
  <si>
    <t>TOTAL</t>
  </si>
  <si>
    <t>HERD SHARE</t>
  </si>
  <si>
    <t>Share by regions</t>
  </si>
  <si>
    <t>Total             (mil. heads)</t>
  </si>
  <si>
    <t>Karamoja</t>
  </si>
  <si>
    <t>Total and                share</t>
  </si>
  <si>
    <t>Milking cows</t>
  </si>
  <si>
    <t>Sans Karamoja</t>
  </si>
  <si>
    <t>Small-scale intensive  1</t>
  </si>
  <si>
    <t>Standing herd</t>
  </si>
  <si>
    <t>Proportion Adult Female</t>
  </si>
  <si>
    <t>AF LSIPT</t>
  </si>
  <si>
    <t>Proportion Adult Male</t>
  </si>
  <si>
    <t>Proportion S-A F</t>
  </si>
  <si>
    <t>Proportion JF</t>
  </si>
  <si>
    <t>Proportion All M</t>
  </si>
  <si>
    <t>Total number</t>
  </si>
  <si>
    <t>AF Dry</t>
  </si>
  <si>
    <t>AF Milk</t>
  </si>
  <si>
    <t>AM</t>
  </si>
  <si>
    <t>RF</t>
  </si>
  <si>
    <t>RM</t>
  </si>
  <si>
    <t>MF</t>
  </si>
  <si>
    <t>MM</t>
  </si>
  <si>
    <t>CALVES F</t>
  </si>
  <si>
    <t>CALVES M</t>
  </si>
  <si>
    <t>Medium-scale intensive  2</t>
  </si>
  <si>
    <t>Large-scale intensive  3</t>
  </si>
  <si>
    <t>Small-scale extensive  4</t>
  </si>
  <si>
    <t>Medium-scale extensive  5</t>
  </si>
  <si>
    <t>Merge 4 et 5</t>
  </si>
  <si>
    <t>Pastoralist  6</t>
  </si>
  <si>
    <t>Agro-pastoralist   7</t>
  </si>
  <si>
    <t xml:space="preserve">Share by regions
</t>
  </si>
  <si>
    <t>Data Inputs for 2024 assessment</t>
  </si>
  <si>
    <t>DaIMA</t>
  </si>
  <si>
    <t>Medium &amp; Large-scale intensive</t>
  </si>
  <si>
    <t>Small &amp; Medium -scale extensive</t>
  </si>
  <si>
    <t>Pastoralist &amp; Agro-pastoralist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</si>
</sst>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_(* \(#,##0.00\);_(* &quot;-&quot;??_);_(@_)"/>
    <numFmt numFmtId="165" formatCode="0.0%"/>
    <numFmt numFmtId="166" formatCode="_(* #,##0_);_(* \(#,##0\);_(* &quot;-&quot;??_);_(@_)"/>
    <numFmt numFmtId="167" formatCode="#,##0.0"/>
    <numFmt numFmtId="168" formatCode="0.0"/>
    <numFmt numFmtId="169" formatCode="_-* #,##0.0_-;\-* #,##0.0_-;_-* &quot;-&quot;??_-;_-@_-"/>
    <numFmt numFmtId="170" formatCode="_-* #,##0_-;\-* #,##0_-;_-* &quot;-&quot;??_-;_-@_-"/>
    <numFmt numFmtId="171" formatCode="_(* #,##0.0_);_(* \(#,##0.0\);_(* &quot;-&quot;??_);_(@_)"/>
    <numFmt numFmtId="172" formatCode="0.0000%"/>
  </numFmts>
  <fonts count="18">
    <font>
      <sz val="11"/>
      <color theme="1"/>
      <name val="Calibri"/>
      <family val="2"/>
      <scheme val="minor"/>
    </font>
    <font>
      <sz val="11"/>
      <color theme="1"/>
      <name val="Calibri"/>
      <family val="2"/>
      <scheme val="minor"/>
    </font>
    <font>
      <b/>
      <sz val="12"/>
      <color theme="1"/>
      <name val="Calibri"/>
      <family val="2"/>
      <scheme val="minor"/>
    </font>
    <font>
      <b/>
      <sz val="11"/>
      <color theme="1"/>
      <name val="Calibri"/>
      <family val="2"/>
      <scheme val="minor"/>
    </font>
    <font>
      <i/>
      <sz val="11"/>
      <color theme="1"/>
      <name val="Calibri"/>
      <family val="2"/>
      <scheme val="minor"/>
    </font>
    <font>
      <b/>
      <sz val="12"/>
      <color rgb="FFFF0000"/>
      <name val="Calibri"/>
      <family val="2"/>
      <scheme val="minor"/>
    </font>
    <font>
      <b/>
      <sz val="11"/>
      <color rgb="FFFF0000"/>
      <name val="Calibri"/>
      <family val="2"/>
      <scheme val="minor"/>
    </font>
    <font>
      <sz val="11"/>
      <name val="Calibri"/>
      <family val="2"/>
      <scheme val="minor"/>
    </font>
    <font>
      <sz val="11"/>
      <color rgb="FFFF0000"/>
      <name val="Calibri"/>
      <family val="2"/>
      <scheme val="minor"/>
    </font>
    <font>
      <sz val="9"/>
      <color indexed="81"/>
      <name val="Tahoma"/>
      <family val="2"/>
    </font>
    <font>
      <sz val="11"/>
      <color theme="0" tint="-0.34998626667073579"/>
      <name val="Calibri"/>
      <family val="2"/>
      <scheme val="minor"/>
    </font>
    <font>
      <b/>
      <sz val="11"/>
      <name val="Calibri"/>
      <family val="2"/>
      <scheme val="minor"/>
    </font>
    <font>
      <b/>
      <sz val="9"/>
      <color indexed="81"/>
      <name val="Tahoma"/>
      <family val="2"/>
    </font>
    <font>
      <sz val="11"/>
      <color theme="0" tint="-0.249977111117893"/>
      <name val="Calibri"/>
      <family val="2"/>
      <scheme val="minor"/>
    </font>
    <font>
      <b/>
      <sz val="10"/>
      <name val="Verdana"/>
      <family val="2"/>
    </font>
    <font>
      <b/>
      <sz val="11"/>
      <color theme="0" tint="-0.249977111117893"/>
      <name val="Calibri"/>
      <family val="2"/>
      <scheme val="minor"/>
    </font>
    <font>
      <sz val="11"/>
      <color theme="0"/>
      <name val="Calibri"/>
      <family val="2"/>
      <scheme val="minor"/>
    </font>
    <font>
      <b/>
      <sz val="11"/>
      <color theme="0"/>
      <name val="Calibri"/>
      <family val="2"/>
      <scheme val="minor"/>
    </font>
  </fonts>
  <fills count="13">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bgColor indexed="64"/>
      </patternFill>
    </fill>
    <fill>
      <patternFill patternType="solid">
        <fgColor rgb="FFFF0000"/>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59999389629810485"/>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bottom/>
      <diagonal/>
    </border>
    <border>
      <left/>
      <right style="thin">
        <color indexed="64"/>
      </right>
      <top style="medium">
        <color indexed="64"/>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324">
    <xf numFmtId="0" fontId="0" fillId="0" borderId="0" xfId="0"/>
    <xf numFmtId="3" fontId="0" fillId="0" borderId="1" xfId="0" applyNumberFormat="1" applyBorder="1"/>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xf numFmtId="3" fontId="0" fillId="0" borderId="0" xfId="0" applyNumberFormat="1"/>
    <xf numFmtId="3" fontId="2" fillId="0" borderId="0" xfId="0" applyNumberFormat="1" applyFont="1"/>
    <xf numFmtId="0" fontId="3" fillId="0" borderId="1" xfId="0" applyFont="1" applyBorder="1"/>
    <xf numFmtId="166" fontId="0" fillId="0" borderId="1" xfId="2" applyNumberFormat="1" applyFont="1" applyFill="1" applyBorder="1"/>
    <xf numFmtId="166" fontId="0" fillId="0" borderId="1" xfId="0" applyNumberFormat="1" applyBorder="1"/>
    <xf numFmtId="166" fontId="3" fillId="0" borderId="1" xfId="0" applyNumberFormat="1" applyFont="1" applyBorder="1"/>
    <xf numFmtId="165" fontId="0" fillId="0" borderId="1" xfId="1" applyNumberFormat="1" applyFont="1" applyFill="1" applyBorder="1"/>
    <xf numFmtId="0" fontId="0" fillId="0" borderId="1" xfId="0" applyBorder="1" applyAlignment="1">
      <alignment horizontal="left" vertical="center" wrapText="1"/>
    </xf>
    <xf numFmtId="165" fontId="0" fillId="0" borderId="1" xfId="1" applyNumberFormat="1" applyFont="1" applyBorder="1" applyAlignment="1">
      <alignment horizontal="center" vertical="center"/>
    </xf>
    <xf numFmtId="0" fontId="0" fillId="0" borderId="1" xfId="0" applyBorder="1" applyAlignment="1">
      <alignment horizontal="center" vertical="center"/>
    </xf>
    <xf numFmtId="9" fontId="0" fillId="0" borderId="1" xfId="1" applyFont="1" applyBorder="1" applyAlignment="1">
      <alignment horizontal="center" vertical="center"/>
    </xf>
    <xf numFmtId="3" fontId="0" fillId="0" borderId="1" xfId="0" applyNumberFormat="1" applyBorder="1" applyAlignment="1">
      <alignment horizontal="center" vertical="center"/>
    </xf>
    <xf numFmtId="167" fontId="0" fillId="0" borderId="1" xfId="0" applyNumberFormat="1" applyBorder="1" applyAlignment="1">
      <alignment horizontal="center" vertical="center"/>
    </xf>
    <xf numFmtId="164" fontId="0" fillId="0" borderId="0" xfId="2" applyFont="1"/>
    <xf numFmtId="165" fontId="0" fillId="0" borderId="0" xfId="1" applyNumberFormat="1" applyFont="1"/>
    <xf numFmtId="0" fontId="0" fillId="0" borderId="0" xfId="0" applyAlignment="1">
      <alignment wrapText="1"/>
    </xf>
    <xf numFmtId="0" fontId="4" fillId="0" borderId="1" xfId="0" applyFont="1" applyBorder="1"/>
    <xf numFmtId="166" fontId="0" fillId="0" borderId="0" xfId="0" applyNumberFormat="1"/>
    <xf numFmtId="1" fontId="0" fillId="0" borderId="0" xfId="0" applyNumberFormat="1"/>
    <xf numFmtId="166" fontId="0" fillId="0" borderId="1" xfId="2" applyNumberFormat="1" applyFont="1" applyBorder="1"/>
    <xf numFmtId="164" fontId="0" fillId="0" borderId="0" xfId="0" applyNumberFormat="1"/>
    <xf numFmtId="166" fontId="0" fillId="0" borderId="0" xfId="2" applyNumberFormat="1" applyFont="1"/>
    <xf numFmtId="166" fontId="3" fillId="0" borderId="7" xfId="0" applyNumberFormat="1" applyFont="1" applyBorder="1"/>
    <xf numFmtId="166" fontId="3" fillId="2" borderId="1" xfId="0" applyNumberFormat="1" applyFont="1" applyFill="1" applyBorder="1"/>
    <xf numFmtId="166" fontId="3" fillId="0" borderId="1" xfId="2" applyNumberFormat="1" applyFont="1" applyBorder="1"/>
    <xf numFmtId="166" fontId="0" fillId="0" borderId="4" xfId="2" applyNumberFormat="1" applyFont="1" applyBorder="1"/>
    <xf numFmtId="0" fontId="5" fillId="0" borderId="0" xfId="0" applyFont="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166" fontId="3" fillId="0" borderId="0" xfId="0" applyNumberFormat="1" applyFont="1"/>
    <xf numFmtId="9" fontId="0" fillId="0" borderId="0" xfId="1" applyFont="1"/>
    <xf numFmtId="0" fontId="3" fillId="0" borderId="0" xfId="0" applyFont="1" applyAlignment="1">
      <alignment wrapText="1"/>
    </xf>
    <xf numFmtId="166" fontId="0" fillId="0" borderId="0" xfId="1" applyNumberFormat="1" applyFont="1"/>
    <xf numFmtId="168" fontId="0" fillId="0" borderId="1" xfId="0" applyNumberFormat="1" applyBorder="1" applyAlignment="1">
      <alignment horizontal="center" vertical="center"/>
    </xf>
    <xf numFmtId="43" fontId="0" fillId="0" borderId="0" xfId="0" applyNumberFormat="1"/>
    <xf numFmtId="0" fontId="3" fillId="0" borderId="0" xfId="0" applyFont="1"/>
    <xf numFmtId="43" fontId="0" fillId="0" borderId="0" xfId="0" applyNumberFormat="1" applyAlignment="1">
      <alignment wrapText="1"/>
    </xf>
    <xf numFmtId="169" fontId="0" fillId="0" borderId="0" xfId="0" applyNumberFormat="1"/>
    <xf numFmtId="170" fontId="0" fillId="0" borderId="0" xfId="0" applyNumberFormat="1"/>
    <xf numFmtId="0" fontId="6" fillId="0" borderId="0" xfId="0" applyFont="1"/>
    <xf numFmtId="170" fontId="6" fillId="0" borderId="0" xfId="0" applyNumberFormat="1" applyFont="1"/>
    <xf numFmtId="0" fontId="3" fillId="0" borderId="0" xfId="0" applyFont="1" applyAlignment="1">
      <alignment horizontal="center"/>
    </xf>
    <xf numFmtId="171" fontId="0" fillId="0" borderId="0" xfId="2" applyNumberFormat="1" applyFont="1"/>
    <xf numFmtId="168" fontId="0" fillId="0" borderId="0" xfId="0" applyNumberFormat="1"/>
    <xf numFmtId="4" fontId="0" fillId="0" borderId="0" xfId="0" applyNumberFormat="1"/>
    <xf numFmtId="10" fontId="0" fillId="0" borderId="0" xfId="0" applyNumberFormat="1"/>
    <xf numFmtId="10" fontId="0" fillId="0" borderId="0" xfId="1" applyNumberFormat="1" applyFont="1"/>
    <xf numFmtId="0" fontId="0" fillId="0" borderId="0" xfId="0" applyAlignment="1">
      <alignment horizontal="right"/>
    </xf>
    <xf numFmtId="2" fontId="0" fillId="0" borderId="0" xfId="0" applyNumberFormat="1"/>
    <xf numFmtId="0" fontId="7" fillId="0" borderId="0" xfId="0" applyFont="1"/>
    <xf numFmtId="0" fontId="7" fillId="0" borderId="0" xfId="0" applyFont="1" applyAlignment="1">
      <alignment vertical="center"/>
    </xf>
    <xf numFmtId="3" fontId="7" fillId="0" borderId="0" xfId="0" applyNumberFormat="1" applyFont="1" applyAlignment="1">
      <alignment vertical="center"/>
    </xf>
    <xf numFmtId="164" fontId="7" fillId="0" borderId="0" xfId="2" applyFont="1"/>
    <xf numFmtId="166" fontId="7" fillId="0" borderId="0" xfId="0" applyNumberFormat="1" applyFont="1"/>
    <xf numFmtId="0" fontId="0" fillId="3" borderId="0" xfId="0" applyFill="1"/>
    <xf numFmtId="10" fontId="0" fillId="3" borderId="0" xfId="0" applyNumberFormat="1" applyFill="1"/>
    <xf numFmtId="171" fontId="0" fillId="0" borderId="0" xfId="0" applyNumberFormat="1"/>
    <xf numFmtId="171" fontId="8" fillId="0" borderId="0" xfId="2" applyNumberFormat="1" applyFont="1"/>
    <xf numFmtId="0" fontId="8" fillId="0" borderId="0" xfId="0" applyFont="1"/>
    <xf numFmtId="0" fontId="0" fillId="3" borderId="0" xfId="0" applyFill="1" applyAlignment="1">
      <alignment wrapText="1"/>
    </xf>
    <xf numFmtId="0" fontId="6" fillId="0" borderId="0" xfId="0" applyFont="1" applyAlignment="1">
      <alignment wrapText="1"/>
    </xf>
    <xf numFmtId="43" fontId="8" fillId="3" borderId="0" xfId="0" applyNumberFormat="1" applyFont="1" applyFill="1" applyAlignment="1">
      <alignment wrapText="1"/>
    </xf>
    <xf numFmtId="0" fontId="8" fillId="3" borderId="0" xfId="0" applyFont="1" applyFill="1" applyAlignment="1">
      <alignment wrapText="1"/>
    </xf>
    <xf numFmtId="0" fontId="5" fillId="0" borderId="0" xfId="0" applyFont="1" applyAlignment="1">
      <alignment horizontal="center" vertical="center" wrapText="1"/>
    </xf>
    <xf numFmtId="165" fontId="0" fillId="0" borderId="0" xfId="0" applyNumberFormat="1"/>
    <xf numFmtId="0" fontId="0" fillId="2" borderId="0" xfId="0" applyFill="1"/>
    <xf numFmtId="0" fontId="3" fillId="2" borderId="0" xfId="0" applyFont="1" applyFill="1" applyAlignment="1">
      <alignment wrapText="1"/>
    </xf>
    <xf numFmtId="0" fontId="0" fillId="2" borderId="1" xfId="0" applyFill="1" applyBorder="1"/>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wrapText="1"/>
    </xf>
    <xf numFmtId="166" fontId="0" fillId="2" borderId="1" xfId="2" applyNumberFormat="1" applyFont="1" applyFill="1" applyBorder="1"/>
    <xf numFmtId="166" fontId="0" fillId="2" borderId="1" xfId="0" applyNumberFormat="1" applyFill="1" applyBorder="1"/>
    <xf numFmtId="165" fontId="0" fillId="2" borderId="1" xfId="1" applyNumberFormat="1" applyFont="1" applyFill="1" applyBorder="1" applyAlignment="1">
      <alignment horizontal="center"/>
    </xf>
    <xf numFmtId="0" fontId="3" fillId="2" borderId="1" xfId="0" applyFont="1" applyFill="1" applyBorder="1"/>
    <xf numFmtId="165" fontId="0" fillId="2" borderId="1" xfId="1" applyNumberFormat="1" applyFont="1" applyFill="1" applyBorder="1"/>
    <xf numFmtId="164" fontId="8" fillId="0" borderId="0" xfId="2" applyFont="1"/>
    <xf numFmtId="43" fontId="8" fillId="0" borderId="0" xfId="0" applyNumberFormat="1" applyFont="1"/>
    <xf numFmtId="164" fontId="0" fillId="3" borderId="0" xfId="2" applyFont="1" applyFill="1"/>
    <xf numFmtId="0" fontId="7" fillId="3" borderId="0" xfId="0" applyFont="1" applyFill="1"/>
    <xf numFmtId="10" fontId="0" fillId="2" borderId="0" xfId="1" applyNumberFormat="1" applyFont="1" applyFill="1"/>
    <xf numFmtId="0" fontId="0" fillId="3" borderId="1" xfId="0" applyFill="1" applyBorder="1" applyAlignment="1">
      <alignment horizontal="center" vertical="center" wrapText="1"/>
    </xf>
    <xf numFmtId="165" fontId="0" fillId="3" borderId="1" xfId="1" applyNumberFormat="1" applyFont="1" applyFill="1" applyBorder="1"/>
    <xf numFmtId="164" fontId="3" fillId="3" borderId="0" xfId="0" applyNumberFormat="1" applyFont="1" applyFill="1"/>
    <xf numFmtId="0" fontId="10" fillId="0" borderId="0" xfId="0" applyFont="1"/>
    <xf numFmtId="0" fontId="0" fillId="3" borderId="1" xfId="0" applyFill="1" applyBorder="1"/>
    <xf numFmtId="10" fontId="0" fillId="3" borderId="1" xfId="0" applyNumberFormat="1" applyFill="1" applyBorder="1"/>
    <xf numFmtId="0" fontId="3" fillId="3" borderId="1" xfId="0" applyFont="1" applyFill="1" applyBorder="1" applyAlignment="1">
      <alignment horizontal="center" wrapText="1"/>
    </xf>
    <xf numFmtId="0" fontId="11" fillId="0" borderId="0" xfId="0" applyFont="1" applyAlignment="1">
      <alignment wrapText="1"/>
    </xf>
    <xf numFmtId="165" fontId="7" fillId="0" borderId="0" xfId="1" applyNumberFormat="1" applyFont="1"/>
    <xf numFmtId="43" fontId="3" fillId="0" borderId="0" xfId="0" applyNumberFormat="1" applyFont="1"/>
    <xf numFmtId="0" fontId="3" fillId="0" borderId="0" xfId="0" applyFont="1" applyAlignment="1">
      <alignment horizontal="center" wrapText="1"/>
    </xf>
    <xf numFmtId="43" fontId="11" fillId="0" borderId="0" xfId="0" applyNumberFormat="1" applyFont="1"/>
    <xf numFmtId="0" fontId="8" fillId="2" borderId="0" xfId="0" applyFont="1" applyFill="1"/>
    <xf numFmtId="0" fontId="5" fillId="3" borderId="1" xfId="0" applyFont="1" applyFill="1" applyBorder="1" applyAlignment="1">
      <alignment horizontal="center" vertical="center"/>
    </xf>
    <xf numFmtId="166" fontId="8" fillId="3" borderId="5" xfId="2" applyNumberFormat="1" applyFont="1" applyFill="1" applyBorder="1"/>
    <xf numFmtId="9" fontId="8" fillId="0" borderId="0" xfId="1" applyFont="1"/>
    <xf numFmtId="10" fontId="8" fillId="3" borderId="0" xfId="0" applyNumberFormat="1" applyFont="1" applyFill="1"/>
    <xf numFmtId="166" fontId="8" fillId="3" borderId="0" xfId="0" applyNumberFormat="1" applyFont="1" applyFill="1"/>
    <xf numFmtId="0" fontId="8" fillId="3" borderId="0" xfId="0" applyFont="1" applyFill="1"/>
    <xf numFmtId="166" fontId="8" fillId="3" borderId="0" xfId="1" applyNumberFormat="1" applyFont="1" applyFill="1"/>
    <xf numFmtId="164" fontId="3" fillId="0" borderId="0" xfId="0" applyNumberFormat="1" applyFont="1"/>
    <xf numFmtId="0" fontId="6" fillId="0" borderId="0" xfId="0" applyFont="1" applyAlignment="1">
      <alignment horizontal="right"/>
    </xf>
    <xf numFmtId="9" fontId="0" fillId="0" borderId="0" xfId="0" applyNumberFormat="1"/>
    <xf numFmtId="0" fontId="0" fillId="4" borderId="0" xfId="0" applyFill="1"/>
    <xf numFmtId="1" fontId="0" fillId="4" borderId="0" xfId="0" applyNumberFormat="1" applyFill="1"/>
    <xf numFmtId="168" fontId="0" fillId="4" borderId="0" xfId="0" applyNumberFormat="1" applyFill="1"/>
    <xf numFmtId="170" fontId="0" fillId="0" borderId="0" xfId="0" applyNumberFormat="1" applyAlignment="1">
      <alignment horizontal="right"/>
    </xf>
    <xf numFmtId="0" fontId="0" fillId="0" borderId="17" xfId="0" applyBorder="1"/>
    <xf numFmtId="0" fontId="0" fillId="0" borderId="18" xfId="0" applyBorder="1"/>
    <xf numFmtId="0" fontId="13" fillId="0" borderId="0" xfId="0" applyFont="1"/>
    <xf numFmtId="0" fontId="11" fillId="0" borderId="0" xfId="0" applyFont="1" applyAlignment="1">
      <alignment vertical="center"/>
    </xf>
    <xf numFmtId="9" fontId="3" fillId="0" borderId="0" xfId="1" applyFont="1"/>
    <xf numFmtId="4" fontId="3" fillId="0" borderId="0" xfId="0" applyNumberFormat="1" applyFont="1"/>
    <xf numFmtId="170" fontId="3" fillId="0" borderId="0" xfId="0" applyNumberFormat="1" applyFont="1"/>
    <xf numFmtId="0" fontId="0" fillId="8" borderId="0" xfId="0" applyFill="1"/>
    <xf numFmtId="43" fontId="0" fillId="8" borderId="0" xfId="0" applyNumberFormat="1" applyFill="1"/>
    <xf numFmtId="10" fontId="0" fillId="8" borderId="0" xfId="1" applyNumberFormat="1" applyFont="1" applyFill="1"/>
    <xf numFmtId="0" fontId="3" fillId="9" borderId="0" xfId="0" applyFont="1" applyFill="1"/>
    <xf numFmtId="170" fontId="7" fillId="0" borderId="0" xfId="0" applyNumberFormat="1" applyFont="1"/>
    <xf numFmtId="166" fontId="7" fillId="0" borderId="10" xfId="2" applyNumberFormat="1" applyFont="1" applyBorder="1"/>
    <xf numFmtId="166" fontId="7" fillId="0" borderId="0" xfId="2" applyNumberFormat="1" applyFont="1" applyBorder="1"/>
    <xf numFmtId="10" fontId="7" fillId="0" borderId="20" xfId="2" applyNumberFormat="1" applyFont="1" applyBorder="1"/>
    <xf numFmtId="166" fontId="0" fillId="0" borderId="10" xfId="2" applyNumberFormat="1" applyFont="1" applyBorder="1"/>
    <xf numFmtId="166" fontId="0" fillId="0" borderId="0" xfId="2" applyNumberFormat="1" applyFont="1" applyBorder="1"/>
    <xf numFmtId="166" fontId="7" fillId="0" borderId="0" xfId="2" applyNumberFormat="1" applyFont="1" applyFill="1" applyBorder="1"/>
    <xf numFmtId="166" fontId="7" fillId="0" borderId="10" xfId="0" applyNumberFormat="1" applyFont="1" applyBorder="1"/>
    <xf numFmtId="4" fontId="7" fillId="0" borderId="10" xfId="0" applyNumberFormat="1" applyFont="1" applyBorder="1"/>
    <xf numFmtId="4" fontId="7" fillId="0" borderId="0" xfId="0" applyNumberFormat="1" applyFont="1"/>
    <xf numFmtId="168" fontId="7" fillId="0" borderId="10" xfId="0" applyNumberFormat="1" applyFont="1" applyBorder="1"/>
    <xf numFmtId="168" fontId="7" fillId="0" borderId="0" xfId="0" applyNumberFormat="1" applyFont="1"/>
    <xf numFmtId="0" fontId="0" fillId="0" borderId="10" xfId="0" applyBorder="1"/>
    <xf numFmtId="0" fontId="7" fillId="0" borderId="10" xfId="0" applyFont="1" applyBorder="1" applyAlignment="1">
      <alignment vertical="center"/>
    </xf>
    <xf numFmtId="164" fontId="7" fillId="0" borderId="10" xfId="2" applyFont="1" applyBorder="1"/>
    <xf numFmtId="164" fontId="7" fillId="0" borderId="0" xfId="2" applyFont="1" applyBorder="1"/>
    <xf numFmtId="4" fontId="7" fillId="0" borderId="0" xfId="0" applyNumberFormat="1" applyFont="1" applyAlignment="1">
      <alignment vertical="center"/>
    </xf>
    <xf numFmtId="164" fontId="0" fillId="0" borderId="10" xfId="2" applyFont="1" applyBorder="1"/>
    <xf numFmtId="164" fontId="0" fillId="0" borderId="0" xfId="2" applyFont="1" applyBorder="1"/>
    <xf numFmtId="3" fontId="7" fillId="0" borderId="10" xfId="0" applyNumberFormat="1" applyFont="1" applyBorder="1" applyAlignment="1">
      <alignment vertical="center"/>
    </xf>
    <xf numFmtId="9" fontId="0" fillId="0" borderId="0" xfId="1" applyFont="1" applyBorder="1"/>
    <xf numFmtId="165" fontId="0" fillId="0" borderId="0" xfId="1" applyNumberFormat="1" applyFont="1" applyBorder="1"/>
    <xf numFmtId="0" fontId="0" fillId="0" borderId="20" xfId="0" applyBorder="1"/>
    <xf numFmtId="4" fontId="7" fillId="0" borderId="10" xfId="0" applyNumberFormat="1" applyFont="1" applyBorder="1" applyAlignment="1">
      <alignment vertical="center"/>
    </xf>
    <xf numFmtId="172" fontId="0" fillId="0" borderId="0" xfId="1" applyNumberFormat="1" applyFont="1" applyBorder="1"/>
    <xf numFmtId="0" fontId="3" fillId="0" borderId="0" xfId="0" applyFont="1" applyAlignment="1">
      <alignment horizontal="center" vertical="center" wrapText="1"/>
    </xf>
    <xf numFmtId="0" fontId="3" fillId="0" borderId="1" xfId="0" applyFont="1" applyBorder="1" applyAlignment="1">
      <alignment horizontal="center"/>
    </xf>
    <xf numFmtId="1" fontId="7" fillId="0" borderId="0" xfId="0" applyNumberFormat="1" applyFont="1"/>
    <xf numFmtId="166" fontId="7" fillId="0" borderId="10" xfId="2" applyNumberFormat="1" applyFont="1" applyFill="1" applyBorder="1"/>
    <xf numFmtId="0" fontId="7" fillId="0" borderId="11" xfId="0" applyFont="1" applyBorder="1" applyAlignment="1">
      <alignment vertical="center"/>
    </xf>
    <xf numFmtId="0" fontId="0" fillId="0" borderId="12" xfId="0" applyBorder="1" applyAlignment="1">
      <alignment horizontal="right"/>
    </xf>
    <xf numFmtId="0" fontId="0" fillId="0" borderId="13" xfId="0" applyBorder="1" applyAlignment="1">
      <alignment horizontal="right"/>
    </xf>
    <xf numFmtId="10" fontId="7" fillId="0" borderId="21" xfId="2" applyNumberFormat="1" applyFont="1" applyBorder="1"/>
    <xf numFmtId="0" fontId="0" fillId="0" borderId="14" xfId="0" applyBorder="1" applyAlignment="1">
      <alignment horizontal="right"/>
    </xf>
    <xf numFmtId="0" fontId="7" fillId="0" borderId="22" xfId="0" applyFont="1" applyBorder="1" applyAlignment="1">
      <alignment vertical="center"/>
    </xf>
    <xf numFmtId="9" fontId="0" fillId="0" borderId="15" xfId="1" applyFont="1" applyBorder="1"/>
    <xf numFmtId="0" fontId="0" fillId="0" borderId="22" xfId="0" applyBorder="1"/>
    <xf numFmtId="172" fontId="0" fillId="0" borderId="15" xfId="1" applyNumberFormat="1" applyFont="1" applyBorder="1"/>
    <xf numFmtId="165" fontId="0" fillId="0" borderId="15" xfId="1" applyNumberFormat="1" applyFont="1" applyBorder="1"/>
    <xf numFmtId="0" fontId="0" fillId="0" borderId="16" xfId="0" applyBorder="1"/>
    <xf numFmtId="3" fontId="0" fillId="0" borderId="17" xfId="0" applyNumberFormat="1" applyBorder="1"/>
    <xf numFmtId="3" fontId="0" fillId="0" borderId="23" xfId="0" applyNumberFormat="1" applyBorder="1"/>
    <xf numFmtId="166" fontId="0" fillId="0" borderId="17" xfId="2" applyNumberFormat="1" applyFont="1" applyBorder="1"/>
    <xf numFmtId="10" fontId="7" fillId="0" borderId="24" xfId="2" applyNumberFormat="1" applyFont="1" applyBorder="1"/>
    <xf numFmtId="164" fontId="0" fillId="0" borderId="12" xfId="2" applyFont="1" applyBorder="1"/>
    <xf numFmtId="10" fontId="7" fillId="0" borderId="14" xfId="2" applyNumberFormat="1" applyFont="1" applyBorder="1"/>
    <xf numFmtId="10" fontId="7" fillId="0" borderId="15" xfId="2" applyNumberFormat="1" applyFont="1" applyBorder="1"/>
    <xf numFmtId="10" fontId="7" fillId="0" borderId="18" xfId="2" applyNumberFormat="1" applyFont="1" applyBorder="1"/>
    <xf numFmtId="164" fontId="0" fillId="0" borderId="11" xfId="2" applyFont="1" applyBorder="1"/>
    <xf numFmtId="164" fontId="0" fillId="0" borderId="22" xfId="2" applyFont="1" applyBorder="1"/>
    <xf numFmtId="0" fontId="3" fillId="3" borderId="10" xfId="0" applyFont="1" applyFill="1" applyBorder="1" applyAlignment="1">
      <alignment horizontal="center" wrapText="1"/>
    </xf>
    <xf numFmtId="0" fontId="3" fillId="3" borderId="0" xfId="0" applyFont="1" applyFill="1" applyAlignment="1">
      <alignment horizontal="center" wrapText="1"/>
    </xf>
    <xf numFmtId="0" fontId="3" fillId="3" borderId="20" xfId="0" applyFont="1" applyFill="1" applyBorder="1" applyAlignment="1">
      <alignment horizontal="center" wrapText="1"/>
    </xf>
    <xf numFmtId="0" fontId="11" fillId="0" borderId="0" xfId="0" applyFont="1" applyAlignment="1">
      <alignment horizontal="center" wrapText="1"/>
    </xf>
    <xf numFmtId="164" fontId="0" fillId="0" borderId="20" xfId="2" applyFont="1" applyBorder="1"/>
    <xf numFmtId="164" fontId="0" fillId="0" borderId="13" xfId="2" applyFont="1" applyBorder="1"/>
    <xf numFmtId="164" fontId="0" fillId="0" borderId="21" xfId="2" applyFont="1" applyBorder="1"/>
    <xf numFmtId="0" fontId="3" fillId="4" borderId="0" xfId="0" applyFont="1" applyFill="1"/>
    <xf numFmtId="0" fontId="3" fillId="5" borderId="0" xfId="0" applyFont="1" applyFill="1"/>
    <xf numFmtId="0" fontId="3" fillId="6" borderId="0" xfId="0" applyFont="1" applyFill="1"/>
    <xf numFmtId="0" fontId="3" fillId="2" borderId="0" xfId="0" applyFont="1" applyFill="1"/>
    <xf numFmtId="0" fontId="3" fillId="7" borderId="0" xfId="0" applyFont="1" applyFill="1"/>
    <xf numFmtId="0" fontId="0" fillId="4" borderId="4" xfId="0" applyFill="1" applyBorder="1"/>
    <xf numFmtId="0" fontId="0" fillId="4" borderId="1" xfId="0" applyFill="1" applyBorder="1"/>
    <xf numFmtId="166" fontId="6" fillId="3" borderId="0" xfId="0" applyNumberFormat="1" applyFont="1" applyFill="1"/>
    <xf numFmtId="0" fontId="5" fillId="10" borderId="0" xfId="0" applyFont="1" applyFill="1" applyAlignment="1">
      <alignment horizontal="center" vertical="center" wrapText="1"/>
    </xf>
    <xf numFmtId="0" fontId="0" fillId="0" borderId="25" xfId="0" applyBorder="1"/>
    <xf numFmtId="0" fontId="0" fillId="0" borderId="26" xfId="0" applyBorder="1"/>
    <xf numFmtId="0" fontId="0" fillId="0" borderId="27" xfId="0" applyBorder="1"/>
    <xf numFmtId="0" fontId="7" fillId="0" borderId="9" xfId="0" applyFont="1" applyBorder="1"/>
    <xf numFmtId="166" fontId="7" fillId="0" borderId="19" xfId="2" applyNumberFormat="1" applyFont="1" applyBorder="1"/>
    <xf numFmtId="0" fontId="7" fillId="0" borderId="8" xfId="0" applyFont="1" applyBorder="1"/>
    <xf numFmtId="0" fontId="7" fillId="0" borderId="10" xfId="0" applyFont="1" applyBorder="1"/>
    <xf numFmtId="0" fontId="7" fillId="0" borderId="20" xfId="0" applyFont="1" applyBorder="1"/>
    <xf numFmtId="166" fontId="7" fillId="0" borderId="20" xfId="0" applyNumberFormat="1" applyFont="1" applyBorder="1"/>
    <xf numFmtId="170" fontId="7" fillId="0" borderId="20" xfId="0" applyNumberFormat="1" applyFont="1" applyBorder="1"/>
    <xf numFmtId="0" fontId="7" fillId="0" borderId="25" xfId="0" applyFont="1" applyBorder="1"/>
    <xf numFmtId="170" fontId="7" fillId="0" borderId="26" xfId="0" applyNumberFormat="1" applyFont="1" applyBorder="1"/>
    <xf numFmtId="170" fontId="7" fillId="0" borderId="27" xfId="0" applyNumberFormat="1" applyFont="1" applyBorder="1"/>
    <xf numFmtId="166" fontId="0" fillId="0" borderId="0" xfId="2" applyNumberFormat="1" applyFont="1" applyFill="1"/>
    <xf numFmtId="0" fontId="0" fillId="0" borderId="0" xfId="0" applyAlignment="1">
      <alignment horizontal="center" vertical="center" wrapText="1"/>
    </xf>
    <xf numFmtId="0" fontId="14" fillId="11" borderId="1" xfId="0" applyFont="1" applyFill="1" applyBorder="1" applyAlignment="1">
      <alignment horizontal="left" vertical="top" wrapText="1"/>
    </xf>
    <xf numFmtId="0" fontId="3" fillId="4" borderId="10" xfId="0" applyFont="1" applyFill="1" applyBorder="1" applyAlignment="1">
      <alignment horizontal="center" wrapText="1"/>
    </xf>
    <xf numFmtId="0" fontId="3" fillId="4" borderId="0" xfId="0" applyFont="1" applyFill="1" applyAlignment="1">
      <alignment horizontal="center" wrapText="1"/>
    </xf>
    <xf numFmtId="0" fontId="3" fillId="4" borderId="20" xfId="0" applyFont="1" applyFill="1" applyBorder="1" applyAlignment="1">
      <alignment horizontal="center" wrapText="1"/>
    </xf>
    <xf numFmtId="0" fontId="3" fillId="5" borderId="0" xfId="0" applyFont="1" applyFill="1" applyAlignment="1">
      <alignment horizontal="center" wrapText="1"/>
    </xf>
    <xf numFmtId="0" fontId="3" fillId="5" borderId="20" xfId="0" applyFont="1" applyFill="1" applyBorder="1" applyAlignment="1">
      <alignment horizontal="center" wrapText="1"/>
    </xf>
    <xf numFmtId="0" fontId="3" fillId="6" borderId="10" xfId="0" applyFont="1" applyFill="1" applyBorder="1" applyAlignment="1">
      <alignment horizontal="center" wrapText="1"/>
    </xf>
    <xf numFmtId="0" fontId="3" fillId="6" borderId="0" xfId="0" applyFont="1" applyFill="1" applyAlignment="1">
      <alignment horizontal="center" wrapText="1"/>
    </xf>
    <xf numFmtId="0" fontId="3" fillId="6" borderId="20" xfId="0" applyFont="1" applyFill="1" applyBorder="1" applyAlignment="1">
      <alignment horizontal="center" wrapText="1"/>
    </xf>
    <xf numFmtId="0" fontId="3" fillId="2" borderId="10" xfId="0" applyFont="1" applyFill="1" applyBorder="1" applyAlignment="1">
      <alignment horizontal="center" wrapText="1"/>
    </xf>
    <xf numFmtId="0" fontId="3" fillId="2" borderId="0" xfId="0" applyFont="1" applyFill="1" applyAlignment="1">
      <alignment horizontal="center" wrapText="1"/>
    </xf>
    <xf numFmtId="0" fontId="3" fillId="2" borderId="20" xfId="0" applyFont="1" applyFill="1" applyBorder="1" applyAlignment="1">
      <alignment horizontal="center" wrapText="1"/>
    </xf>
    <xf numFmtId="0" fontId="3" fillId="7" borderId="10" xfId="0" applyFont="1" applyFill="1" applyBorder="1" applyAlignment="1">
      <alignment horizontal="center" wrapText="1"/>
    </xf>
    <xf numFmtId="0" fontId="3" fillId="7" borderId="0" xfId="0" applyFont="1" applyFill="1" applyAlignment="1">
      <alignment horizontal="center" wrapText="1"/>
    </xf>
    <xf numFmtId="0" fontId="3" fillId="7" borderId="20" xfId="0" applyFont="1" applyFill="1" applyBorder="1" applyAlignment="1">
      <alignment horizontal="center" wrapText="1"/>
    </xf>
    <xf numFmtId="0" fontId="15" fillId="0" borderId="0" xfId="0" applyFont="1" applyAlignment="1">
      <alignment horizontal="center" wrapText="1"/>
    </xf>
    <xf numFmtId="1" fontId="7" fillId="0" borderId="0" xfId="2" applyNumberFormat="1" applyFont="1"/>
    <xf numFmtId="43" fontId="0" fillId="3" borderId="0" xfId="0" applyNumberFormat="1" applyFill="1"/>
    <xf numFmtId="10" fontId="0" fillId="3" borderId="0" xfId="1" applyNumberFormat="1" applyFont="1" applyFill="1"/>
    <xf numFmtId="10" fontId="3" fillId="0" borderId="0" xfId="1" applyNumberFormat="1" applyFont="1"/>
    <xf numFmtId="0" fontId="0" fillId="0" borderId="9" xfId="0" applyBorder="1"/>
    <xf numFmtId="0" fontId="0" fillId="0" borderId="19" xfId="0" applyBorder="1"/>
    <xf numFmtId="0" fontId="0" fillId="0" borderId="8" xfId="0" applyBorder="1"/>
    <xf numFmtId="10" fontId="7" fillId="0" borderId="20" xfId="2" applyNumberFormat="1" applyFont="1" applyFill="1" applyBorder="1"/>
    <xf numFmtId="0" fontId="0" fillId="0" borderId="0" xfId="0" applyAlignment="1">
      <alignment vertical="top"/>
    </xf>
    <xf numFmtId="0" fontId="0" fillId="0" borderId="1" xfId="0" applyBorder="1" applyAlignment="1">
      <alignment vertical="top" wrapText="1"/>
    </xf>
    <xf numFmtId="0" fontId="2" fillId="0" borderId="1" xfId="0" applyFont="1" applyBorder="1" applyAlignment="1">
      <alignment horizontal="center" vertical="top"/>
    </xf>
    <xf numFmtId="0" fontId="2" fillId="0" borderId="1" xfId="0" applyFont="1" applyBorder="1" applyAlignment="1">
      <alignment horizontal="center"/>
    </xf>
    <xf numFmtId="0" fontId="0" fillId="0" borderId="1" xfId="0" applyBorder="1" applyAlignment="1">
      <alignment horizontal="left" vertical="center"/>
    </xf>
    <xf numFmtId="164" fontId="7" fillId="0" borderId="10" xfId="2" applyFont="1" applyFill="1" applyBorder="1"/>
    <xf numFmtId="164" fontId="7" fillId="0" borderId="0" xfId="2" applyFont="1" applyFill="1" applyBorder="1"/>
    <xf numFmtId="0" fontId="7" fillId="12" borderId="0" xfId="0" applyFont="1" applyFill="1" applyAlignment="1">
      <alignment horizontal="center"/>
    </xf>
    <xf numFmtId="0" fontId="7" fillId="12" borderId="20" xfId="0" applyFont="1" applyFill="1" applyBorder="1" applyAlignment="1">
      <alignment horizontal="center"/>
    </xf>
    <xf numFmtId="166" fontId="8" fillId="0" borderId="0" xfId="2" applyNumberFormat="1" applyFont="1" applyBorder="1"/>
    <xf numFmtId="10" fontId="8" fillId="0" borderId="0" xfId="0" applyNumberFormat="1" applyFont="1"/>
    <xf numFmtId="1" fontId="8" fillId="0" borderId="0" xfId="0" applyNumberFormat="1" applyFont="1"/>
    <xf numFmtId="0" fontId="7" fillId="0" borderId="1" xfId="0" applyFont="1" applyBorder="1" applyAlignment="1">
      <alignment vertical="top"/>
    </xf>
    <xf numFmtId="0" fontId="14" fillId="0" borderId="1" xfId="0" applyFont="1" applyBorder="1" applyAlignment="1">
      <alignment horizontal="left" vertical="top" wrapText="1"/>
    </xf>
    <xf numFmtId="0" fontId="8" fillId="0" borderId="1" xfId="0" applyFont="1" applyBorder="1" applyAlignment="1">
      <alignment vertical="top"/>
    </xf>
    <xf numFmtId="164" fontId="0" fillId="0" borderId="1" xfId="2" applyFont="1" applyBorder="1" applyAlignment="1">
      <alignment horizontal="center"/>
    </xf>
    <xf numFmtId="9" fontId="0" fillId="0" borderId="1" xfId="0" applyNumberFormat="1" applyBorder="1"/>
    <xf numFmtId="1" fontId="0" fillId="0" borderId="1" xfId="0" applyNumberFormat="1" applyBorder="1"/>
    <xf numFmtId="0" fontId="0" fillId="0" borderId="1" xfId="0" applyBorder="1" applyAlignment="1">
      <alignment wrapText="1"/>
    </xf>
    <xf numFmtId="0" fontId="3" fillId="0" borderId="19" xfId="0" applyFont="1" applyBorder="1"/>
    <xf numFmtId="164" fontId="0" fillId="0" borderId="0" xfId="2" applyFont="1" applyFill="1" applyBorder="1"/>
    <xf numFmtId="0" fontId="0" fillId="5" borderId="0" xfId="0" applyFill="1"/>
    <xf numFmtId="164" fontId="0" fillId="5" borderId="0" xfId="2" applyFont="1" applyFill="1" applyBorder="1"/>
    <xf numFmtId="0" fontId="0" fillId="5" borderId="26" xfId="0" applyFill="1" applyBorder="1"/>
    <xf numFmtId="0" fontId="7" fillId="4" borderId="1" xfId="0" applyFont="1" applyFill="1" applyBorder="1" applyAlignment="1">
      <alignment vertical="top"/>
    </xf>
    <xf numFmtId="0" fontId="8" fillId="4" borderId="1" xfId="0" applyFont="1" applyFill="1" applyBorder="1" applyAlignment="1">
      <alignment vertical="top"/>
    </xf>
    <xf numFmtId="0" fontId="0" fillId="0" borderId="26" xfId="0" applyBorder="1" applyAlignment="1">
      <alignment wrapText="1"/>
    </xf>
    <xf numFmtId="1" fontId="0" fillId="0" borderId="26" xfId="0" applyNumberFormat="1" applyBorder="1"/>
    <xf numFmtId="2" fontId="0" fillId="5" borderId="0" xfId="0" applyNumberFormat="1" applyFill="1"/>
    <xf numFmtId="10" fontId="7" fillId="0" borderId="0" xfId="0" applyNumberFormat="1" applyFont="1"/>
    <xf numFmtId="0" fontId="7" fillId="0" borderId="19" xfId="0" applyFont="1" applyBorder="1"/>
    <xf numFmtId="0" fontId="8" fillId="0" borderId="25" xfId="0" applyFont="1" applyBorder="1"/>
    <xf numFmtId="0" fontId="8" fillId="0" borderId="26" xfId="0" applyFont="1" applyBorder="1"/>
    <xf numFmtId="10" fontId="8" fillId="0" borderId="26" xfId="0" applyNumberFormat="1" applyFont="1" applyBorder="1"/>
    <xf numFmtId="0" fontId="0" fillId="0" borderId="5" xfId="0" applyBorder="1"/>
    <xf numFmtId="0" fontId="7" fillId="7" borderId="0" xfId="0" applyFont="1" applyFill="1"/>
    <xf numFmtId="0" fontId="11" fillId="0" borderId="0" xfId="0" applyFont="1"/>
    <xf numFmtId="1" fontId="11" fillId="0" borderId="0" xfId="0" applyNumberFormat="1" applyFont="1"/>
    <xf numFmtId="164" fontId="3" fillId="0" borderId="0" xfId="2" applyFont="1"/>
    <xf numFmtId="10" fontId="8" fillId="0" borderId="0" xfId="0" applyNumberFormat="1" applyFont="1" applyAlignment="1">
      <alignment wrapText="1"/>
    </xf>
    <xf numFmtId="166" fontId="7" fillId="3" borderId="10" xfId="2" applyNumberFormat="1" applyFont="1" applyFill="1" applyBorder="1"/>
    <xf numFmtId="166" fontId="7" fillId="3" borderId="0" xfId="2" applyNumberFormat="1" applyFont="1" applyFill="1" applyBorder="1"/>
    <xf numFmtId="10" fontId="7" fillId="3" borderId="20" xfId="2" applyNumberFormat="1" applyFont="1" applyFill="1" applyBorder="1"/>
    <xf numFmtId="0" fontId="7" fillId="3" borderId="10" xfId="0" applyFont="1" applyFill="1" applyBorder="1"/>
    <xf numFmtId="170" fontId="7" fillId="3" borderId="0" xfId="0" applyNumberFormat="1" applyFont="1" applyFill="1"/>
    <xf numFmtId="170" fontId="7" fillId="3" borderId="20" xfId="0" applyNumberFormat="1" applyFont="1" applyFill="1" applyBorder="1"/>
    <xf numFmtId="0" fontId="13" fillId="3" borderId="0" xfId="0" applyFont="1" applyFill="1"/>
    <xf numFmtId="1" fontId="11" fillId="3" borderId="0" xfId="0" applyNumberFormat="1" applyFont="1" applyFill="1"/>
    <xf numFmtId="4" fontId="0" fillId="3" borderId="0" xfId="0" applyNumberFormat="1" applyFill="1"/>
    <xf numFmtId="170" fontId="6" fillId="0" borderId="28" xfId="0" applyNumberFormat="1" applyFont="1" applyBorder="1"/>
    <xf numFmtId="0" fontId="16" fillId="0" borderId="0" xfId="0" applyFont="1"/>
    <xf numFmtId="170" fontId="16" fillId="0" borderId="0" xfId="0" applyNumberFormat="1" applyFont="1"/>
    <xf numFmtId="43" fontId="16" fillId="0" borderId="0" xfId="0" applyNumberFormat="1" applyFont="1"/>
    <xf numFmtId="169" fontId="16" fillId="0" borderId="0" xfId="0" applyNumberFormat="1" applyFont="1"/>
    <xf numFmtId="0" fontId="17" fillId="0" borderId="0" xfId="0" applyFont="1"/>
    <xf numFmtId="170" fontId="17" fillId="0" borderId="0" xfId="0" applyNumberFormat="1" applyFont="1"/>
    <xf numFmtId="0" fontId="17" fillId="0" borderId="0" xfId="0" applyFont="1" applyAlignment="1">
      <alignment wrapText="1"/>
    </xf>
    <xf numFmtId="0" fontId="11" fillId="3" borderId="0" xfId="0" applyFont="1" applyFill="1" applyAlignment="1">
      <alignment horizontal="center" vertical="center" wrapText="1"/>
    </xf>
    <xf numFmtId="0" fontId="3" fillId="3" borderId="9"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8" xfId="0" applyFont="1" applyFill="1" applyBorder="1" applyAlignment="1">
      <alignment horizontal="center" vertical="center"/>
    </xf>
    <xf numFmtId="0" fontId="3" fillId="4" borderId="9"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9"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2" borderId="1" xfId="0" applyFont="1" applyFill="1" applyBorder="1" applyAlignment="1">
      <alignment horizont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2" borderId="9" xfId="0" applyFont="1" applyFill="1" applyBorder="1" applyAlignment="1">
      <alignment horizontal="center"/>
    </xf>
    <xf numFmtId="0" fontId="3" fillId="2" borderId="19" xfId="0" applyFont="1" applyFill="1" applyBorder="1" applyAlignment="1">
      <alignment horizontal="center"/>
    </xf>
    <xf numFmtId="0" fontId="3" fillId="2" borderId="8" xfId="0" applyFont="1" applyFill="1" applyBorder="1" applyAlignment="1">
      <alignment horizontal="center"/>
    </xf>
    <xf numFmtId="0" fontId="0" fillId="0" borderId="1" xfId="0" applyBorder="1" applyAlignment="1">
      <alignment horizontal="center"/>
    </xf>
    <xf numFmtId="43" fontId="6" fillId="0" borderId="0" xfId="0" applyNumberFormat="1" applyFont="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167" fontId="0" fillId="0" borderId="6" xfId="0" applyNumberFormat="1" applyBorder="1" applyAlignment="1">
      <alignment horizontal="center" vertical="center"/>
    </xf>
    <xf numFmtId="167" fontId="0" fillId="0" borderId="5" xfId="0" applyNumberFormat="1" applyBorder="1" applyAlignment="1">
      <alignment horizontal="center"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3" fillId="3" borderId="0" xfId="0" applyFont="1" applyFill="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Total GHG emissions (t CO2eq/year) </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Tables_New target'!$AC$3:$AD$3</c:f>
              <c:strCache>
                <c:ptCount val="2"/>
                <c:pt idx="0">
                  <c:v>WOP</c:v>
                </c:pt>
                <c:pt idx="1">
                  <c:v>With DaIMA</c:v>
                </c:pt>
              </c:strCache>
            </c:strRef>
          </c:cat>
          <c:val>
            <c:numRef>
              <c:f>'Summary Tables_New target'!$AC$4:$AD$4</c:f>
              <c:numCache>
                <c:formatCode>_(* #,##0_);_(* \(#,##0\);_(* "-"??_);_(@_)</c:formatCode>
                <c:ptCount val="2"/>
                <c:pt idx="0">
                  <c:v>1579242.0115100001</c:v>
                </c:pt>
                <c:pt idx="1">
                  <c:v>1496869.6969699997</c:v>
                </c:pt>
              </c:numCache>
            </c:numRef>
          </c:val>
          <c:extLst>
            <c:ext xmlns:c16="http://schemas.microsoft.com/office/drawing/2014/chart" uri="{C3380CC4-5D6E-409C-BE32-E72D297353CC}">
              <c16:uniqueId val="{00000000-E871-4C18-A24C-CD86706DF179}"/>
            </c:ext>
          </c:extLst>
        </c:ser>
        <c:dLbls>
          <c:showLegendKey val="0"/>
          <c:showVal val="0"/>
          <c:showCatName val="0"/>
          <c:showSerName val="0"/>
          <c:showPercent val="0"/>
          <c:showBubbleSize val="0"/>
        </c:dLbls>
        <c:gapWidth val="219"/>
        <c:overlap val="-27"/>
        <c:axId val="1786568880"/>
        <c:axId val="1775277184"/>
      </c:barChart>
      <c:catAx>
        <c:axId val="178656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75277184"/>
        <c:crosses val="autoZero"/>
        <c:auto val="1"/>
        <c:lblAlgn val="ctr"/>
        <c:lblOffset val="100"/>
        <c:noMultiLvlLbl val="0"/>
      </c:catAx>
      <c:valAx>
        <c:axId val="1775277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5688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Emissions intensity milk </a:t>
            </a:r>
          </a:p>
          <a:p>
            <a:pPr>
              <a:defRPr/>
            </a:pPr>
            <a:r>
              <a:rPr lang="en-US"/>
              <a:t>(kg CO2eq/kg milk) </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Tables_New target'!$AC$24:$AD$24</c:f>
              <c:strCache>
                <c:ptCount val="2"/>
                <c:pt idx="0">
                  <c:v>WOP</c:v>
                </c:pt>
                <c:pt idx="1">
                  <c:v>With DaIMA</c:v>
                </c:pt>
              </c:strCache>
            </c:strRef>
          </c:cat>
          <c:val>
            <c:numRef>
              <c:f>'Summary Tables_New target'!$AC$25:$AD$25</c:f>
              <c:numCache>
                <c:formatCode>#,##0.00</c:formatCode>
                <c:ptCount val="2"/>
                <c:pt idx="0">
                  <c:v>5.1609442402043895</c:v>
                </c:pt>
                <c:pt idx="1">
                  <c:v>3.5219851916035507</c:v>
                </c:pt>
              </c:numCache>
            </c:numRef>
          </c:val>
          <c:extLst>
            <c:ext xmlns:c16="http://schemas.microsoft.com/office/drawing/2014/chart" uri="{C3380CC4-5D6E-409C-BE32-E72D297353CC}">
              <c16:uniqueId val="{00000000-FEE9-4D71-A5C4-36368CECF4C0}"/>
            </c:ext>
          </c:extLst>
        </c:ser>
        <c:dLbls>
          <c:showLegendKey val="0"/>
          <c:showVal val="0"/>
          <c:showCatName val="0"/>
          <c:showSerName val="0"/>
          <c:showPercent val="0"/>
          <c:showBubbleSize val="0"/>
        </c:dLbls>
        <c:gapWidth val="219"/>
        <c:overlap val="-27"/>
        <c:axId val="1729616976"/>
        <c:axId val="1787617408"/>
      </c:barChart>
      <c:catAx>
        <c:axId val="1729616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7617408"/>
        <c:crosses val="autoZero"/>
        <c:auto val="1"/>
        <c:lblAlgn val="ctr"/>
        <c:lblOffset val="100"/>
        <c:noMultiLvlLbl val="0"/>
      </c:catAx>
      <c:valAx>
        <c:axId val="1787617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296169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Emissions intensity milk </a:t>
            </a:r>
          </a:p>
          <a:p>
            <a:pPr>
              <a:defRPr/>
            </a:pPr>
            <a:r>
              <a:rPr lang="en-US"/>
              <a:t>(kg CO2eq/kg milk) </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Tables_New target'!$AC$24:$AD$24</c:f>
              <c:strCache>
                <c:ptCount val="2"/>
                <c:pt idx="0">
                  <c:v>WOP</c:v>
                </c:pt>
                <c:pt idx="1">
                  <c:v>With DaIMA</c:v>
                </c:pt>
              </c:strCache>
            </c:strRef>
          </c:cat>
          <c:val>
            <c:numRef>
              <c:f>'Summary Tables_New target'!$AC$25:$AD$25</c:f>
              <c:numCache>
                <c:formatCode>#,##0.00</c:formatCode>
                <c:ptCount val="2"/>
                <c:pt idx="0">
                  <c:v>5.1609442402043895</c:v>
                </c:pt>
                <c:pt idx="1">
                  <c:v>3.5219851916035507</c:v>
                </c:pt>
              </c:numCache>
            </c:numRef>
          </c:val>
          <c:extLst>
            <c:ext xmlns:c16="http://schemas.microsoft.com/office/drawing/2014/chart" uri="{C3380CC4-5D6E-409C-BE32-E72D297353CC}">
              <c16:uniqueId val="{00000000-ECF7-4513-8F49-96B55FC49B32}"/>
            </c:ext>
          </c:extLst>
        </c:ser>
        <c:dLbls>
          <c:showLegendKey val="0"/>
          <c:showVal val="0"/>
          <c:showCatName val="0"/>
          <c:showSerName val="0"/>
          <c:showPercent val="0"/>
          <c:showBubbleSize val="0"/>
        </c:dLbls>
        <c:gapWidth val="219"/>
        <c:overlap val="-27"/>
        <c:axId val="1729616976"/>
        <c:axId val="1787617408"/>
      </c:barChart>
      <c:catAx>
        <c:axId val="1729616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7617408"/>
        <c:crosses val="autoZero"/>
        <c:auto val="1"/>
        <c:lblAlgn val="ctr"/>
        <c:lblOffset val="100"/>
        <c:noMultiLvlLbl val="0"/>
      </c:catAx>
      <c:valAx>
        <c:axId val="1787617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296169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Total milk production (t milk/year) </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Tables_New target'!$AC$44:$AD$44</c:f>
              <c:strCache>
                <c:ptCount val="2"/>
                <c:pt idx="0">
                  <c:v>WOP</c:v>
                </c:pt>
                <c:pt idx="1">
                  <c:v>With DaIMA</c:v>
                </c:pt>
              </c:strCache>
            </c:strRef>
          </c:cat>
          <c:val>
            <c:numRef>
              <c:f>'Summary Tables_New target'!$AC$45:$AD$45</c:f>
              <c:numCache>
                <c:formatCode>_-* #,##0_-;\-* #,##0_-;_-* "-"??_-;_-@_-</c:formatCode>
                <c:ptCount val="2"/>
                <c:pt idx="0">
                  <c:v>206445.52</c:v>
                </c:pt>
                <c:pt idx="1">
                  <c:v>269199.70799999998</c:v>
                </c:pt>
              </c:numCache>
            </c:numRef>
          </c:val>
          <c:extLst>
            <c:ext xmlns:c16="http://schemas.microsoft.com/office/drawing/2014/chart" uri="{C3380CC4-5D6E-409C-BE32-E72D297353CC}">
              <c16:uniqueId val="{00000000-4549-4F9B-B5ED-7473203D7295}"/>
            </c:ext>
          </c:extLst>
        </c:ser>
        <c:dLbls>
          <c:showLegendKey val="0"/>
          <c:showVal val="0"/>
          <c:showCatName val="0"/>
          <c:showSerName val="0"/>
          <c:showPercent val="0"/>
          <c:showBubbleSize val="0"/>
        </c:dLbls>
        <c:gapWidth val="219"/>
        <c:overlap val="-27"/>
        <c:axId val="1517481344"/>
        <c:axId val="1797773760"/>
      </c:barChart>
      <c:catAx>
        <c:axId val="1517481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97773760"/>
        <c:crosses val="autoZero"/>
        <c:auto val="1"/>
        <c:lblAlgn val="ctr"/>
        <c:lblOffset val="100"/>
        <c:noMultiLvlLbl val="0"/>
      </c:catAx>
      <c:valAx>
        <c:axId val="1797773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5174813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Total feed intake (t DM/year)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Tables_New target'!$AC$63:$AD$63</c:f>
              <c:strCache>
                <c:ptCount val="2"/>
                <c:pt idx="0">
                  <c:v>WOP</c:v>
                </c:pt>
                <c:pt idx="1">
                  <c:v>With DaIMA</c:v>
                </c:pt>
              </c:strCache>
            </c:strRef>
          </c:cat>
          <c:val>
            <c:numRef>
              <c:f>'Summary Tables_New target'!$AC$64:$AD$64</c:f>
              <c:numCache>
                <c:formatCode>_(* #,##0_);_(* \(#,##0\);_(* "-"??_);_(@_)</c:formatCode>
                <c:ptCount val="2"/>
                <c:pt idx="0">
                  <c:v>2212499.3642800003</c:v>
                </c:pt>
                <c:pt idx="1">
                  <c:v>2110277.3298500003</c:v>
                </c:pt>
              </c:numCache>
            </c:numRef>
          </c:val>
          <c:extLst>
            <c:ext xmlns:c16="http://schemas.microsoft.com/office/drawing/2014/chart" uri="{C3380CC4-5D6E-409C-BE32-E72D297353CC}">
              <c16:uniqueId val="{00000000-5A7E-493A-93E6-C688BFEA22FC}"/>
            </c:ext>
          </c:extLst>
        </c:ser>
        <c:dLbls>
          <c:showLegendKey val="0"/>
          <c:showVal val="0"/>
          <c:showCatName val="0"/>
          <c:showSerName val="0"/>
          <c:showPercent val="0"/>
          <c:showBubbleSize val="0"/>
        </c:dLbls>
        <c:gapWidth val="219"/>
        <c:overlap val="-27"/>
        <c:axId val="1835558928"/>
        <c:axId val="1842276912"/>
      </c:barChart>
      <c:catAx>
        <c:axId val="183555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42276912"/>
        <c:crosses val="autoZero"/>
        <c:auto val="1"/>
        <c:lblAlgn val="ctr"/>
        <c:lblOffset val="100"/>
        <c:noMultiLvlLbl val="0"/>
      </c:catAx>
      <c:valAx>
        <c:axId val="1842276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3555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Emissions Trend during</a:t>
            </a:r>
            <a:r>
              <a:rPr lang="en-US" b="1" baseline="0"/>
              <a:t> project Phase</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'Summary Tables_New target'!$AJ$10</c:f>
              <c:strCache>
                <c:ptCount val="1"/>
                <c:pt idx="0">
                  <c:v>WOP</c:v>
                </c:pt>
              </c:strCache>
            </c:strRef>
          </c:tx>
          <c:spPr>
            <a:ln w="19050" cap="rnd">
              <a:solidFill>
                <a:schemeClr val="accent1"/>
              </a:solidFill>
              <a:round/>
            </a:ln>
            <a:effectLst/>
          </c:spPr>
          <c:marker>
            <c:symbol val="none"/>
          </c:marker>
          <c:xVal>
            <c:strRef>
              <c:f>'Summary Tables_New target'!$AI$11:$AI$36</c:f>
              <c:strCache>
                <c:ptCount val="21"/>
                <c:pt idx="0">
                  <c:v>Year 0</c:v>
                </c:pt>
                <c:pt idx="1">
                  <c:v>Year 1</c:v>
                </c:pt>
                <c:pt idx="2">
                  <c:v>Year 2</c:v>
                </c:pt>
                <c:pt idx="3">
                  <c:v>Year 3</c:v>
                </c:pt>
                <c:pt idx="4">
                  <c:v>Year 4</c:v>
                </c:pt>
                <c:pt idx="5">
                  <c:v>Year 5</c:v>
                </c:pt>
                <c:pt idx="6">
                  <c:v>Year 6</c:v>
                </c:pt>
                <c:pt idx="7">
                  <c:v>Year 7</c:v>
                </c:pt>
                <c:pt idx="8">
                  <c:v>Year 8</c:v>
                </c:pt>
                <c:pt idx="9">
                  <c:v>Year 9</c:v>
                </c:pt>
                <c:pt idx="10">
                  <c:v>Year 10</c:v>
                </c:pt>
                <c:pt idx="11">
                  <c:v>Year 11</c:v>
                </c:pt>
                <c:pt idx="12">
                  <c:v>Year 12</c:v>
                </c:pt>
                <c:pt idx="13">
                  <c:v>Year 13</c:v>
                </c:pt>
                <c:pt idx="14">
                  <c:v>Year 14</c:v>
                </c:pt>
                <c:pt idx="15">
                  <c:v>Year 15</c:v>
                </c:pt>
                <c:pt idx="16">
                  <c:v>Year 16</c:v>
                </c:pt>
                <c:pt idx="17">
                  <c:v>Year 17</c:v>
                </c:pt>
                <c:pt idx="18">
                  <c:v>Year 18</c:v>
                </c:pt>
                <c:pt idx="19">
                  <c:v>Year 19</c:v>
                </c:pt>
                <c:pt idx="20">
                  <c:v>Year 20</c:v>
                </c:pt>
              </c:strCache>
            </c:strRef>
          </c:xVal>
          <c:yVal>
            <c:numRef>
              <c:f>'Summary Tables_New target'!$AJ$11:$AJ$36</c:f>
              <c:numCache>
                <c:formatCode>_-* #,##0_-;\-* #,##0_-;_-* "-"??_-;_-@_-</c:formatCode>
                <c:ptCount val="26"/>
                <c:pt idx="0" formatCode="_(* #,##0_);_(* \(#,##0\);_(* &quot;-&quot;??_);_(@_)">
                  <c:v>1177377.0498900001</c:v>
                </c:pt>
                <c:pt idx="1">
                  <c:v>1197470.2979710002</c:v>
                </c:pt>
                <c:pt idx="2">
                  <c:v>1217563.5460520003</c:v>
                </c:pt>
                <c:pt idx="3">
                  <c:v>1237656.7941330003</c:v>
                </c:pt>
                <c:pt idx="4">
                  <c:v>1257750.0422140004</c:v>
                </c:pt>
                <c:pt idx="5">
                  <c:v>1277843.2902950004</c:v>
                </c:pt>
                <c:pt idx="6">
                  <c:v>1297936.5383760005</c:v>
                </c:pt>
                <c:pt idx="7">
                  <c:v>1318029.7864570005</c:v>
                </c:pt>
                <c:pt idx="8">
                  <c:v>1338123.0345380006</c:v>
                </c:pt>
                <c:pt idx="9">
                  <c:v>1358216.2826190006</c:v>
                </c:pt>
                <c:pt idx="10">
                  <c:v>1378309.5307000007</c:v>
                </c:pt>
                <c:pt idx="11">
                  <c:v>1398402.7787810008</c:v>
                </c:pt>
                <c:pt idx="12">
                  <c:v>1418496.0268620008</c:v>
                </c:pt>
                <c:pt idx="13">
                  <c:v>1438589.2749430009</c:v>
                </c:pt>
                <c:pt idx="14">
                  <c:v>1458682.5230240009</c:v>
                </c:pt>
                <c:pt idx="15">
                  <c:v>1478775.771105001</c:v>
                </c:pt>
                <c:pt idx="16">
                  <c:v>1498869.019186001</c:v>
                </c:pt>
                <c:pt idx="17">
                  <c:v>1518962.2672670011</c:v>
                </c:pt>
                <c:pt idx="18">
                  <c:v>1539055.5153480012</c:v>
                </c:pt>
                <c:pt idx="19">
                  <c:v>1559148.7634290012</c:v>
                </c:pt>
                <c:pt idx="20">
                  <c:v>1579242.0115100013</c:v>
                </c:pt>
              </c:numCache>
            </c:numRef>
          </c:yVal>
          <c:smooth val="1"/>
          <c:extLst>
            <c:ext xmlns:c16="http://schemas.microsoft.com/office/drawing/2014/chart" uri="{C3380CC4-5D6E-409C-BE32-E72D297353CC}">
              <c16:uniqueId val="{00000000-16FB-4D87-B0AA-F5F27F5A10DB}"/>
            </c:ext>
          </c:extLst>
        </c:ser>
        <c:ser>
          <c:idx val="1"/>
          <c:order val="1"/>
          <c:tx>
            <c:strRef>
              <c:f>'Summary Tables_New target'!$AK$10</c:f>
              <c:strCache>
                <c:ptCount val="1"/>
                <c:pt idx="0">
                  <c:v>With DaIMA</c:v>
                </c:pt>
              </c:strCache>
            </c:strRef>
          </c:tx>
          <c:spPr>
            <a:ln w="19050" cap="rnd">
              <a:solidFill>
                <a:schemeClr val="accent2"/>
              </a:solidFill>
              <a:round/>
            </a:ln>
            <a:effectLst/>
          </c:spPr>
          <c:marker>
            <c:symbol val="none"/>
          </c:marker>
          <c:xVal>
            <c:strRef>
              <c:f>'Summary Tables_New target'!$AI$11:$AI$36</c:f>
              <c:strCache>
                <c:ptCount val="21"/>
                <c:pt idx="0">
                  <c:v>Year 0</c:v>
                </c:pt>
                <c:pt idx="1">
                  <c:v>Year 1</c:v>
                </c:pt>
                <c:pt idx="2">
                  <c:v>Year 2</c:v>
                </c:pt>
                <c:pt idx="3">
                  <c:v>Year 3</c:v>
                </c:pt>
                <c:pt idx="4">
                  <c:v>Year 4</c:v>
                </c:pt>
                <c:pt idx="5">
                  <c:v>Year 5</c:v>
                </c:pt>
                <c:pt idx="6">
                  <c:v>Year 6</c:v>
                </c:pt>
                <c:pt idx="7">
                  <c:v>Year 7</c:v>
                </c:pt>
                <c:pt idx="8">
                  <c:v>Year 8</c:v>
                </c:pt>
                <c:pt idx="9">
                  <c:v>Year 9</c:v>
                </c:pt>
                <c:pt idx="10">
                  <c:v>Year 10</c:v>
                </c:pt>
                <c:pt idx="11">
                  <c:v>Year 11</c:v>
                </c:pt>
                <c:pt idx="12">
                  <c:v>Year 12</c:v>
                </c:pt>
                <c:pt idx="13">
                  <c:v>Year 13</c:v>
                </c:pt>
                <c:pt idx="14">
                  <c:v>Year 14</c:v>
                </c:pt>
                <c:pt idx="15">
                  <c:v>Year 15</c:v>
                </c:pt>
                <c:pt idx="16">
                  <c:v>Year 16</c:v>
                </c:pt>
                <c:pt idx="17">
                  <c:v>Year 17</c:v>
                </c:pt>
                <c:pt idx="18">
                  <c:v>Year 18</c:v>
                </c:pt>
                <c:pt idx="19">
                  <c:v>Year 19</c:v>
                </c:pt>
                <c:pt idx="20">
                  <c:v>Year 20</c:v>
                </c:pt>
              </c:strCache>
            </c:strRef>
          </c:xVal>
          <c:yVal>
            <c:numRef>
              <c:f>'Summary Tables_New target'!$AK$11:$AK$36</c:f>
              <c:numCache>
                <c:formatCode>_-* #,##0_-;\-* #,##0_-;_-* "-"??_-;_-@_-</c:formatCode>
                <c:ptCount val="26"/>
                <c:pt idx="0" formatCode="_(* #,##0_);_(* \(#,##0\);_(* &quot;-&quot;??_);_(@_)">
                  <c:v>1177377.0498900001</c:v>
                </c:pt>
                <c:pt idx="1">
                  <c:v>1193351.682244</c:v>
                </c:pt>
                <c:pt idx="2">
                  <c:v>1209326.3145979999</c:v>
                </c:pt>
                <c:pt idx="3">
                  <c:v>1225300.9469519998</c:v>
                </c:pt>
                <c:pt idx="4">
                  <c:v>1241275.5793059997</c:v>
                </c:pt>
                <c:pt idx="5">
                  <c:v>1257250.2116599996</c:v>
                </c:pt>
                <c:pt idx="6">
                  <c:v>1273224.8440139994</c:v>
                </c:pt>
                <c:pt idx="7">
                  <c:v>1289199.4763679993</c:v>
                </c:pt>
                <c:pt idx="8">
                  <c:v>1305174.1087219992</c:v>
                </c:pt>
                <c:pt idx="9">
                  <c:v>1321148.7410759991</c:v>
                </c:pt>
                <c:pt idx="10">
                  <c:v>1337123.373429999</c:v>
                </c:pt>
                <c:pt idx="11">
                  <c:v>1353098.0057839989</c:v>
                </c:pt>
                <c:pt idx="12">
                  <c:v>1369072.6381379988</c:v>
                </c:pt>
                <c:pt idx="13">
                  <c:v>1385047.2704919986</c:v>
                </c:pt>
                <c:pt idx="14">
                  <c:v>1401021.9028459985</c:v>
                </c:pt>
                <c:pt idx="15">
                  <c:v>1416996.5351999984</c:v>
                </c:pt>
                <c:pt idx="16">
                  <c:v>1432971.1675539983</c:v>
                </c:pt>
                <c:pt idx="17">
                  <c:v>1448945.7999079982</c:v>
                </c:pt>
                <c:pt idx="18">
                  <c:v>1464920.4322619981</c:v>
                </c:pt>
                <c:pt idx="19">
                  <c:v>1480895.064615998</c:v>
                </c:pt>
                <c:pt idx="20">
                  <c:v>1496869.6969699978</c:v>
                </c:pt>
              </c:numCache>
            </c:numRef>
          </c:yVal>
          <c:smooth val="1"/>
          <c:extLst>
            <c:ext xmlns:c16="http://schemas.microsoft.com/office/drawing/2014/chart" uri="{C3380CC4-5D6E-409C-BE32-E72D297353CC}">
              <c16:uniqueId val="{00000001-16FB-4D87-B0AA-F5F27F5A10DB}"/>
            </c:ext>
          </c:extLst>
        </c:ser>
        <c:dLbls>
          <c:showLegendKey val="0"/>
          <c:showVal val="0"/>
          <c:showCatName val="0"/>
          <c:showSerName val="0"/>
          <c:showPercent val="0"/>
          <c:showBubbleSize val="0"/>
        </c:dLbls>
        <c:axId val="1515491808"/>
        <c:axId val="1517986464"/>
      </c:scatterChart>
      <c:valAx>
        <c:axId val="1515491808"/>
        <c:scaling>
          <c:orientation val="minMax"/>
          <c:max val="25"/>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7986464"/>
        <c:crosses val="autoZero"/>
        <c:crossBetween val="midCat"/>
      </c:valAx>
      <c:valAx>
        <c:axId val="1517986464"/>
        <c:scaling>
          <c:orientation val="minMax"/>
          <c:min val="450000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5491808"/>
        <c:crosses val="autoZero"/>
        <c:crossBetween val="midCat"/>
        <c:majorUnit val="50000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'Summary Tables_New target'!$G$47</c:f>
              <c:strCache>
                <c:ptCount val="1"/>
                <c:pt idx="0">
                  <c:v>WOP</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B33-4478-A001-926F681AE67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B33-4478-A001-926F681AE67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B33-4478-A001-926F681AE67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B33-4478-A001-926F681AE67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B33-4478-A001-926F681AE67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B33-4478-A001-926F681AE67F}"/>
              </c:ext>
            </c:extLst>
          </c:dPt>
          <c:dLbls>
            <c:dLbl>
              <c:idx val="2"/>
              <c:layout>
                <c:manualLayout>
                  <c:x val="-5.5455331481908586E-2"/>
                  <c:y val="3.4580565069159713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B33-4478-A001-926F681AE67F}"/>
                </c:ext>
              </c:extLst>
            </c:dLbl>
            <c:dLbl>
              <c:idx val="3"/>
              <c:layout>
                <c:manualLayout>
                  <c:x val="-2.3596845416565301E-2"/>
                  <c:y val="-3.0545570104941012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B33-4478-A001-926F681AE67F}"/>
                </c:ext>
              </c:extLst>
            </c:dLbl>
            <c:dLbl>
              <c:idx val="4"/>
              <c:layout>
                <c:manualLayout>
                  <c:x val="2.6812484795253305E-2"/>
                  <c:y val="-8.1166319505637033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B33-4478-A001-926F681AE67F}"/>
                </c:ext>
              </c:extLst>
            </c:dLbl>
            <c:dLbl>
              <c:idx val="5"/>
              <c:layout>
                <c:manualLayout>
                  <c:x val="8.7122540517029848E-2"/>
                  <c:y val="-1.7823410048489301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B33-4478-A001-926F681AE67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Tables_New target'!$A$48:$A$53</c:f>
              <c:strCache>
                <c:ptCount val="6"/>
                <c:pt idx="0">
                  <c:v>Methane from enteric fermentation</c:v>
                </c:pt>
                <c:pt idx="1">
                  <c:v>Methane from manure management</c:v>
                </c:pt>
                <c:pt idx="2">
                  <c:v>N2O from feed production</c:v>
                </c:pt>
                <c:pt idx="3">
                  <c:v>N2O from manure management</c:v>
                </c:pt>
                <c:pt idx="4">
                  <c:v>Carbon dioxide from energy use</c:v>
                </c:pt>
                <c:pt idx="5">
                  <c:v>Carbon dioxide from feed </c:v>
                </c:pt>
              </c:strCache>
            </c:strRef>
          </c:cat>
          <c:val>
            <c:numRef>
              <c:f>'Summary Tables_New target'!$G$48:$G$53</c:f>
              <c:numCache>
                <c:formatCode>0%</c:formatCode>
                <c:ptCount val="6"/>
                <c:pt idx="0">
                  <c:v>0.82840031953624105</c:v>
                </c:pt>
                <c:pt idx="1">
                  <c:v>5.6242304157523598E-2</c:v>
                </c:pt>
                <c:pt idx="2" formatCode="0.0000%">
                  <c:v>3.266163110878269E-5</c:v>
                </c:pt>
                <c:pt idx="3" formatCode="0.0%">
                  <c:v>5.7859813292886378E-2</c:v>
                </c:pt>
                <c:pt idx="4" formatCode="0.0%">
                  <c:v>4.4538486503620392E-3</c:v>
                </c:pt>
                <c:pt idx="5" formatCode="0.0%">
                  <c:v>5.301105273187811E-2</c:v>
                </c:pt>
              </c:numCache>
            </c:numRef>
          </c:val>
          <c:extLst>
            <c:ext xmlns:c16="http://schemas.microsoft.com/office/drawing/2014/chart" uri="{C3380CC4-5D6E-409C-BE32-E72D297353CC}">
              <c16:uniqueId val="{0000000C-2B33-4478-A001-926F681AE67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'Summary Tables_New target'!$H$47</c:f>
              <c:strCache>
                <c:ptCount val="1"/>
                <c:pt idx="0">
                  <c:v>With DaIMA</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FAA-49A2-BBDD-2CD00CD24F4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FAA-49A2-BBDD-2CD00CD24F4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FAA-49A2-BBDD-2CD00CD24F4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FAA-49A2-BBDD-2CD00CD24F4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FAA-49A2-BBDD-2CD00CD24F4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FAA-49A2-BBDD-2CD00CD24F4F}"/>
              </c:ext>
            </c:extLst>
          </c:dPt>
          <c:dLbls>
            <c:dLbl>
              <c:idx val="2"/>
              <c:layout>
                <c:manualLayout>
                  <c:x val="-7.9218838413882164E-2"/>
                  <c:y val="4.6419632570361587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AA-49A2-BBDD-2CD00CD24F4F}"/>
                </c:ext>
              </c:extLst>
            </c:dLbl>
            <c:dLbl>
              <c:idx val="4"/>
              <c:layout>
                <c:manualLayout>
                  <c:x val="1.6857174801206121E-2"/>
                  <c:y val="-6.9988422050318674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FAA-49A2-BBDD-2CD00CD24F4F}"/>
                </c:ext>
              </c:extLst>
            </c:dLbl>
            <c:dLbl>
              <c:idx val="5"/>
              <c:layout>
                <c:manualLayout>
                  <c:x val="5.585619416723351E-2"/>
                  <c:y val="-8.9239601128282553E-3"/>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FAA-49A2-BBDD-2CD00CD24F4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Tables_New target'!$A$48:$A$53</c:f>
              <c:strCache>
                <c:ptCount val="6"/>
                <c:pt idx="0">
                  <c:v>Methane from enteric fermentation</c:v>
                </c:pt>
                <c:pt idx="1">
                  <c:v>Methane from manure management</c:v>
                </c:pt>
                <c:pt idx="2">
                  <c:v>N2O from feed production</c:v>
                </c:pt>
                <c:pt idx="3">
                  <c:v>N2O from manure management</c:v>
                </c:pt>
                <c:pt idx="4">
                  <c:v>Carbon dioxide from energy use</c:v>
                </c:pt>
                <c:pt idx="5">
                  <c:v>Carbon dioxide from feed </c:v>
                </c:pt>
              </c:strCache>
            </c:strRef>
          </c:cat>
          <c:val>
            <c:numRef>
              <c:f>'Summary Tables_New target'!$H$48:$H$53</c:f>
              <c:numCache>
                <c:formatCode>0%</c:formatCode>
                <c:ptCount val="6"/>
                <c:pt idx="0">
                  <c:v>0.82678366044249385</c:v>
                </c:pt>
                <c:pt idx="1">
                  <c:v>5.3724548729552089E-2</c:v>
                </c:pt>
                <c:pt idx="2" formatCode="0.0000%">
                  <c:v>2.8520678917649999E-5</c:v>
                </c:pt>
                <c:pt idx="3" formatCode="0.0%">
                  <c:v>6.2957864889829296E-2</c:v>
                </c:pt>
                <c:pt idx="4" formatCode="0.0%">
                  <c:v>6.220838220439364E-3</c:v>
                </c:pt>
                <c:pt idx="5" formatCode="0.0%">
                  <c:v>5.0284567038767949E-2</c:v>
                </c:pt>
              </c:numCache>
            </c:numRef>
          </c:val>
          <c:extLst>
            <c:ext xmlns:c16="http://schemas.microsoft.com/office/drawing/2014/chart" uri="{C3380CC4-5D6E-409C-BE32-E72D297353CC}">
              <c16:uniqueId val="{0000000C-DFAA-49A2-BBDD-2CD00CD24F4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r>
              <a:rPr lang="en-US" sz="1200"/>
              <a:t>Emissions intensity milk (kg CO2eq/kg milk) </a:t>
            </a:r>
          </a:p>
        </c:rich>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Tables_New target'!$AC$24:$AD$24</c:f>
              <c:strCache>
                <c:ptCount val="2"/>
                <c:pt idx="0">
                  <c:v>WOP</c:v>
                </c:pt>
                <c:pt idx="1">
                  <c:v>With DaIMA</c:v>
                </c:pt>
              </c:strCache>
            </c:strRef>
          </c:cat>
          <c:val>
            <c:numRef>
              <c:f>'Summary Tables_New target'!$AC$25:$AD$25</c:f>
              <c:numCache>
                <c:formatCode>#,##0.00</c:formatCode>
                <c:ptCount val="2"/>
                <c:pt idx="0">
                  <c:v>5.1609442402043895</c:v>
                </c:pt>
                <c:pt idx="1">
                  <c:v>3.5219851916035507</c:v>
                </c:pt>
              </c:numCache>
            </c:numRef>
          </c:val>
          <c:extLst>
            <c:ext xmlns:c16="http://schemas.microsoft.com/office/drawing/2014/chart" uri="{C3380CC4-5D6E-409C-BE32-E72D297353CC}">
              <c16:uniqueId val="{00000000-5E6D-4BC5-8E67-209695FAFCFA}"/>
            </c:ext>
          </c:extLst>
        </c:ser>
        <c:dLbls>
          <c:showLegendKey val="0"/>
          <c:showVal val="0"/>
          <c:showCatName val="0"/>
          <c:showSerName val="0"/>
          <c:showPercent val="0"/>
          <c:showBubbleSize val="0"/>
        </c:dLbls>
        <c:gapWidth val="219"/>
        <c:overlap val="-27"/>
        <c:axId val="1729616976"/>
        <c:axId val="1787617408"/>
      </c:barChart>
      <c:catAx>
        <c:axId val="1729616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7617408"/>
        <c:crosses val="autoZero"/>
        <c:auto val="1"/>
        <c:lblAlgn val="ctr"/>
        <c:lblOffset val="100"/>
        <c:noMultiLvlLbl val="0"/>
      </c:catAx>
      <c:valAx>
        <c:axId val="1787617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296169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Total GHG emissions (t CO2eq/year) </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Tables_New target'!$AC$3:$AD$3</c:f>
              <c:strCache>
                <c:ptCount val="2"/>
                <c:pt idx="0">
                  <c:v>WOP</c:v>
                </c:pt>
                <c:pt idx="1">
                  <c:v>With DaIMA</c:v>
                </c:pt>
              </c:strCache>
            </c:strRef>
          </c:cat>
          <c:val>
            <c:numRef>
              <c:f>'Summary Tables_New target'!$AC$4:$AD$4</c:f>
              <c:numCache>
                <c:formatCode>_(* #,##0_);_(* \(#,##0\);_(* "-"??_);_(@_)</c:formatCode>
                <c:ptCount val="2"/>
                <c:pt idx="0">
                  <c:v>1579242.0115100001</c:v>
                </c:pt>
                <c:pt idx="1">
                  <c:v>1496869.6969699997</c:v>
                </c:pt>
              </c:numCache>
            </c:numRef>
          </c:val>
          <c:extLst>
            <c:ext xmlns:c16="http://schemas.microsoft.com/office/drawing/2014/chart" uri="{C3380CC4-5D6E-409C-BE32-E72D297353CC}">
              <c16:uniqueId val="{00000000-8046-4B0E-9C5B-4D1108B09DF5}"/>
            </c:ext>
          </c:extLst>
        </c:ser>
        <c:dLbls>
          <c:showLegendKey val="0"/>
          <c:showVal val="0"/>
          <c:showCatName val="0"/>
          <c:showSerName val="0"/>
          <c:showPercent val="0"/>
          <c:showBubbleSize val="0"/>
        </c:dLbls>
        <c:gapWidth val="219"/>
        <c:overlap val="-27"/>
        <c:axId val="1786568880"/>
        <c:axId val="1775277184"/>
      </c:barChart>
      <c:catAx>
        <c:axId val="178656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75277184"/>
        <c:crosses val="autoZero"/>
        <c:auto val="1"/>
        <c:lblAlgn val="ctr"/>
        <c:lblOffset val="100"/>
        <c:noMultiLvlLbl val="0"/>
      </c:catAx>
      <c:valAx>
        <c:axId val="1775277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5688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26</xdr:col>
      <xdr:colOff>396489</xdr:colOff>
      <xdr:row>3</xdr:row>
      <xdr:rowOff>25801</xdr:rowOff>
    </xdr:from>
    <xdr:to>
      <xdr:col>34</xdr:col>
      <xdr:colOff>1622504</xdr:colOff>
      <xdr:row>19</xdr:row>
      <xdr:rowOff>139148</xdr:rowOff>
    </xdr:to>
    <xdr:grpSp>
      <xdr:nvGrpSpPr>
        <xdr:cNvPr id="14" name="Groupe 13">
          <a:extLst>
            <a:ext uri="{FF2B5EF4-FFF2-40B4-BE49-F238E27FC236}">
              <a16:creationId xmlns:a16="http://schemas.microsoft.com/office/drawing/2014/main" id="{3F82E3EF-5C8C-F67A-7F6E-288747444DD3}"/>
            </a:ext>
          </a:extLst>
        </xdr:cNvPr>
        <xdr:cNvGrpSpPr/>
      </xdr:nvGrpSpPr>
      <xdr:grpSpPr>
        <a:xfrm>
          <a:off x="25275789" y="1025926"/>
          <a:ext cx="6683840" cy="3542347"/>
          <a:chOff x="26880056" y="1300653"/>
          <a:chExt cx="6881724" cy="3399900"/>
        </a:xfrm>
      </xdr:grpSpPr>
      <xdr:graphicFrame macro="">
        <xdr:nvGraphicFramePr>
          <xdr:cNvPr id="2" name="Chart 1">
            <a:extLst>
              <a:ext uri="{FF2B5EF4-FFF2-40B4-BE49-F238E27FC236}">
                <a16:creationId xmlns:a16="http://schemas.microsoft.com/office/drawing/2014/main" id="{4F4A47DF-E05A-4969-BB08-9A7AD75D410C}"/>
              </a:ext>
            </a:extLst>
          </xdr:cNvPr>
          <xdr:cNvGraphicFramePr>
            <a:graphicFrameLocks/>
          </xdr:cNvGraphicFramePr>
        </xdr:nvGraphicFramePr>
        <xdr:xfrm>
          <a:off x="26880056" y="1300653"/>
          <a:ext cx="3422663" cy="33999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 name="Chart 2">
            <a:extLst>
              <a:ext uri="{FF2B5EF4-FFF2-40B4-BE49-F238E27FC236}">
                <a16:creationId xmlns:a16="http://schemas.microsoft.com/office/drawing/2014/main" id="{31152FCF-1AC0-4E95-8690-FE68C11C3DC6}"/>
              </a:ext>
            </a:extLst>
          </xdr:cNvPr>
          <xdr:cNvGraphicFramePr>
            <a:graphicFrameLocks/>
          </xdr:cNvGraphicFramePr>
        </xdr:nvGraphicFramePr>
        <xdr:xfrm>
          <a:off x="30341740" y="1324533"/>
          <a:ext cx="3420040" cy="3369944"/>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28</xdr:col>
      <xdr:colOff>12133</xdr:colOff>
      <xdr:row>45</xdr:row>
      <xdr:rowOff>189133</xdr:rowOff>
    </xdr:from>
    <xdr:to>
      <xdr:col>32</xdr:col>
      <xdr:colOff>337931</xdr:colOff>
      <xdr:row>59</xdr:row>
      <xdr:rowOff>171036</xdr:rowOff>
    </xdr:to>
    <xdr:graphicFrame macro="">
      <xdr:nvGraphicFramePr>
        <xdr:cNvPr id="4" name="Chart 3">
          <a:extLst>
            <a:ext uri="{FF2B5EF4-FFF2-40B4-BE49-F238E27FC236}">
              <a16:creationId xmlns:a16="http://schemas.microsoft.com/office/drawing/2014/main" id="{A3281E21-FFAF-4AD6-B669-578037A89F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27</xdr:col>
      <xdr:colOff>606411</xdr:colOff>
      <xdr:row>64</xdr:row>
      <xdr:rowOff>183500</xdr:rowOff>
    </xdr:from>
    <xdr:to>
      <xdr:col>32</xdr:col>
      <xdr:colOff>346379</xdr:colOff>
      <xdr:row>81</xdr:row>
      <xdr:rowOff>91108</xdr:rowOff>
    </xdr:to>
    <xdr:graphicFrame macro="">
      <xdr:nvGraphicFramePr>
        <xdr:cNvPr id="5" name="Chart 4">
          <a:extLst>
            <a:ext uri="{FF2B5EF4-FFF2-40B4-BE49-F238E27FC236}">
              <a16:creationId xmlns:a16="http://schemas.microsoft.com/office/drawing/2014/main" id="{7B9EDA4A-6FD9-4E40-8B26-DB13CCBB6D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26</xdr:col>
      <xdr:colOff>289187</xdr:colOff>
      <xdr:row>21</xdr:row>
      <xdr:rowOff>2360</xdr:rowOff>
    </xdr:from>
    <xdr:to>
      <xdr:col>32</xdr:col>
      <xdr:colOff>513977</xdr:colOff>
      <xdr:row>38</xdr:row>
      <xdr:rowOff>50979</xdr:rowOff>
    </xdr:to>
    <xdr:graphicFrame macro="">
      <xdr:nvGraphicFramePr>
        <xdr:cNvPr id="6" name="Chart 5">
          <a:extLst>
            <a:ext uri="{FF2B5EF4-FFF2-40B4-BE49-F238E27FC236}">
              <a16:creationId xmlns:a16="http://schemas.microsoft.com/office/drawing/2014/main" id="{D182ED57-CAAC-4CC0-9353-F89F5187C5A9}"/>
            </a:ext>
            <a:ext uri="{147F2762-F138-4A5C-976F-8EAC2B608ADB}">
              <a16:predDERef xmlns:a16="http://schemas.microsoft.com/office/drawing/2014/main" pred="{7B9EDA4A-6FD9-4E40-8B26-DB13CCBB6D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417609</xdr:colOff>
      <xdr:row>55</xdr:row>
      <xdr:rowOff>21038</xdr:rowOff>
    </xdr:from>
    <xdr:to>
      <xdr:col>6</xdr:col>
      <xdr:colOff>216010</xdr:colOff>
      <xdr:row>70</xdr:row>
      <xdr:rowOff>59262</xdr:rowOff>
    </xdr:to>
    <xdr:grpSp>
      <xdr:nvGrpSpPr>
        <xdr:cNvPr id="9" name="Groupe 8">
          <a:extLst>
            <a:ext uri="{FF2B5EF4-FFF2-40B4-BE49-F238E27FC236}">
              <a16:creationId xmlns:a16="http://schemas.microsoft.com/office/drawing/2014/main" id="{DBFD3361-1707-5879-46A7-94E38F630F83}"/>
            </a:ext>
          </a:extLst>
        </xdr:cNvPr>
        <xdr:cNvGrpSpPr/>
      </xdr:nvGrpSpPr>
      <xdr:grpSpPr>
        <a:xfrm>
          <a:off x="417609" y="11336738"/>
          <a:ext cx="6885001" cy="2905249"/>
          <a:chOff x="417609" y="10531668"/>
          <a:chExt cx="7120227" cy="2779768"/>
        </a:xfrm>
      </xdr:grpSpPr>
      <xdr:graphicFrame macro="">
        <xdr:nvGraphicFramePr>
          <xdr:cNvPr id="7" name="Chart 7">
            <a:extLst>
              <a:ext uri="{FF2B5EF4-FFF2-40B4-BE49-F238E27FC236}">
                <a16:creationId xmlns:a16="http://schemas.microsoft.com/office/drawing/2014/main" id="{AD32E8FE-14E9-4C57-A9D1-D054B02EC832}"/>
              </a:ext>
            </a:extLst>
          </xdr:cNvPr>
          <xdr:cNvGraphicFramePr>
            <a:graphicFrameLocks/>
          </xdr:cNvGraphicFramePr>
        </xdr:nvGraphicFramePr>
        <xdr:xfrm>
          <a:off x="417609" y="10535602"/>
          <a:ext cx="3623062" cy="2775834"/>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8" name="Chart 8">
            <a:extLst>
              <a:ext uri="{FF2B5EF4-FFF2-40B4-BE49-F238E27FC236}">
                <a16:creationId xmlns:a16="http://schemas.microsoft.com/office/drawing/2014/main" id="{998953C3-C0F2-4915-83B1-E1A3A411E5D9}"/>
              </a:ext>
            </a:extLst>
          </xdr:cNvPr>
          <xdr:cNvGraphicFramePr>
            <a:graphicFrameLocks/>
          </xdr:cNvGraphicFramePr>
        </xdr:nvGraphicFramePr>
        <xdr:xfrm>
          <a:off x="4071151" y="10531668"/>
          <a:ext cx="3466685" cy="2775376"/>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35</xdr:col>
      <xdr:colOff>697643</xdr:colOff>
      <xdr:row>46</xdr:row>
      <xdr:rowOff>74543</xdr:rowOff>
    </xdr:from>
    <xdr:to>
      <xdr:col>40</xdr:col>
      <xdr:colOff>538370</xdr:colOff>
      <xdr:row>61</xdr:row>
      <xdr:rowOff>132522</xdr:rowOff>
    </xdr:to>
    <xdr:graphicFrame macro="">
      <xdr:nvGraphicFramePr>
        <xdr:cNvPr id="10" name="Chart 2">
          <a:extLst>
            <a:ext uri="{FF2B5EF4-FFF2-40B4-BE49-F238E27FC236}">
              <a16:creationId xmlns:a16="http://schemas.microsoft.com/office/drawing/2014/main" id="{870BC017-C424-4F1A-916E-3B2ABE41C6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28</xdr:col>
      <xdr:colOff>0</xdr:colOff>
      <xdr:row>87</xdr:row>
      <xdr:rowOff>0</xdr:rowOff>
    </xdr:from>
    <xdr:to>
      <xdr:col>35</xdr:col>
      <xdr:colOff>462337</xdr:colOff>
      <xdr:row>105</xdr:row>
      <xdr:rowOff>119269</xdr:rowOff>
    </xdr:to>
    <xdr:grpSp>
      <xdr:nvGrpSpPr>
        <xdr:cNvPr id="13" name="Groupe 12">
          <a:extLst>
            <a:ext uri="{FF2B5EF4-FFF2-40B4-BE49-F238E27FC236}">
              <a16:creationId xmlns:a16="http://schemas.microsoft.com/office/drawing/2014/main" id="{575B008D-CA81-948B-3A42-8F6FD5C5B39B}"/>
            </a:ext>
          </a:extLst>
        </xdr:cNvPr>
        <xdr:cNvGrpSpPr/>
      </xdr:nvGrpSpPr>
      <xdr:grpSpPr>
        <a:xfrm>
          <a:off x="26060400" y="17421225"/>
          <a:ext cx="7082212" cy="3548269"/>
          <a:chOff x="26798427" y="16507146"/>
          <a:chExt cx="7191910" cy="3355629"/>
        </a:xfrm>
      </xdr:grpSpPr>
      <xdr:graphicFrame macro="">
        <xdr:nvGraphicFramePr>
          <xdr:cNvPr id="11" name="Chart 1">
            <a:extLst>
              <a:ext uri="{FF2B5EF4-FFF2-40B4-BE49-F238E27FC236}">
                <a16:creationId xmlns:a16="http://schemas.microsoft.com/office/drawing/2014/main" id="{19D0073A-D37A-42DA-B964-CF59DF4F098C}"/>
              </a:ext>
            </a:extLst>
          </xdr:cNvPr>
          <xdr:cNvGraphicFramePr>
            <a:graphicFrameLocks/>
          </xdr:cNvGraphicFramePr>
        </xdr:nvGraphicFramePr>
        <xdr:xfrm>
          <a:off x="26798427" y="16507146"/>
          <a:ext cx="3407017" cy="3345731"/>
        </xdr:xfrm>
        <a:graphic>
          <a:graphicData uri="http://schemas.openxmlformats.org/drawingml/2006/chart">
            <c:chart xmlns:c="http://schemas.openxmlformats.org/drawingml/2006/chart" xmlns:r="http://schemas.openxmlformats.org/officeDocument/2006/relationships" r:id="rId9"/>
          </a:graphicData>
        </a:graphic>
      </xdr:graphicFrame>
      <xdr:graphicFrame macro="">
        <xdr:nvGraphicFramePr>
          <xdr:cNvPr id="12" name="Chart 2">
            <a:extLst>
              <a:ext uri="{FF2B5EF4-FFF2-40B4-BE49-F238E27FC236}">
                <a16:creationId xmlns:a16="http://schemas.microsoft.com/office/drawing/2014/main" id="{B014CBBA-51A5-4ABB-8D35-FBE58EB55640}"/>
              </a:ext>
            </a:extLst>
          </xdr:cNvPr>
          <xdr:cNvGraphicFramePr>
            <a:graphicFrameLocks/>
          </xdr:cNvGraphicFramePr>
        </xdr:nvGraphicFramePr>
        <xdr:xfrm>
          <a:off x="30197909" y="16513773"/>
          <a:ext cx="3792428" cy="3349002"/>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539648</xdr:colOff>
      <xdr:row>6</xdr:row>
      <xdr:rowOff>178910</xdr:rowOff>
    </xdr:to>
    <xdr:pic>
      <xdr:nvPicPr>
        <xdr:cNvPr id="2" name="Image 1">
          <a:extLst>
            <a:ext uri="{FF2B5EF4-FFF2-40B4-BE49-F238E27FC236}">
              <a16:creationId xmlns:a16="http://schemas.microsoft.com/office/drawing/2014/main" id="{B8F5796F-58A1-E696-57EA-C5234D12215C}"/>
            </a:ext>
          </a:extLst>
        </xdr:cNvPr>
        <xdr:cNvPicPr>
          <a:picLocks noChangeAspect="1"/>
        </xdr:cNvPicPr>
      </xdr:nvPicPr>
      <xdr:blipFill>
        <a:blip xmlns:r="http://schemas.openxmlformats.org/officeDocument/2006/relationships" r:embed="rId1"/>
        <a:stretch>
          <a:fillRect/>
        </a:stretch>
      </xdr:blipFill>
      <xdr:spPr>
        <a:xfrm>
          <a:off x="0" y="0"/>
          <a:ext cx="10971428" cy="127619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akotovaon\Documents\NSAG%20Dossiers\DaIMA%20-PADNET%20Gleam-i\LSIPT_Barbara\Final%20models%20lsipt\m3_sm1_a2_TOOL_ruminant_B1OM.xlsm" TargetMode="External"/><Relationship Id="rId1" Type="http://schemas.openxmlformats.org/officeDocument/2006/relationships/externalLinkPath" Target="/Users/Rakotovaon/Documents/NSAG%20Dossiers/DaIMA%20-PADNET%20Gleam-i/LSIPT_Barbara/Final%20models%20lsipt/m3_sm1_a2_TOOL_ruminant_B1OM.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akotovaon\Documents\NSAG%20Dossiers\DaIMA%20-PADNET%20Gleam-i\LSIPT_Barbara\Final%20models%20lsipt\m3_sm1_a2_TOOL_ruminant_B1OM%20-%20cross%20exotic.xlsm" TargetMode="External"/><Relationship Id="rId1" Type="http://schemas.openxmlformats.org/officeDocument/2006/relationships/externalLinkPath" Target="/Users/Rakotovaon/Documents/NSAG%20Dossiers/DaIMA%20-PADNET%20Gleam-i/LSIPT_Barbara/Final%20models%20lsipt/m3_sm1_a2_TOOL_ruminant_B1OM%20-%20cross%20exotic.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Rakotovaon\Documents\NSAG%20Dossiers\DaIMA%20-PADNET%20Gleam-i\LSIPT_Barbara\Final%20models%20lsipt\m3_sm1_a2_TOOL_ruminant_B1MR.xlsm" TargetMode="External"/><Relationship Id="rId1" Type="http://schemas.openxmlformats.org/officeDocument/2006/relationships/externalLinkPath" Target="/Users/Rakotovaon/Documents/NSAG%20Dossiers/DaIMA%20-PADNET%20Gleam-i/LSIPT_Barbara/Final%20models%20lsipt/m3_sm1_a2_TOOL_ruminant_B1MR.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Rakotovaon\Documents\NSAG%20Dossiers\DaIMA%20-PADNET%20Gleam-i\LSIPT_Barbara\Final%20models%20lsipt\m3_sm1_a2_TOOL_ruminant_B2MR.xlsm" TargetMode="External"/><Relationship Id="rId1" Type="http://schemas.openxmlformats.org/officeDocument/2006/relationships/externalLinkPath" Target="/Users/Rakotovaon/Documents/NSAG%20Dossiers/DaIMA%20-PADNET%20Gleam-i/LSIPT_Barbara/Final%20models%20lsipt/m3_sm1_a2_TOOL_ruminant_B2MR.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Rakotovaon\Documents\NSAG%20Dossiers\DaIMA%20-PADNET%20Gleam-i\LSIPT_Barbara\Final%20models%20lsipt\m3_sm1_a2_TOOL_ruminant_B3LG.xlsm" TargetMode="External"/><Relationship Id="rId1" Type="http://schemas.openxmlformats.org/officeDocument/2006/relationships/externalLinkPath" Target="/Users/Rakotovaon/Documents/NSAG%20Dossiers/DaIMA%20-PADNET%20Gleam-i/LSIPT_Barbara/Final%20models%20lsipt/m3_sm1_a2_TOOL_ruminant_B3LG.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Projection (without)"/>
      <sheetName val="Diagnostic"/>
      <sheetName val="Projection (with)"/>
      <sheetName val="Impact analysis"/>
      <sheetName val="Investment"/>
      <sheetName val="Synthesis"/>
      <sheetName val="Lexique"/>
      <sheetName val="Tmp_Projection (without)"/>
      <sheetName val="Tmp_Projection (with)"/>
    </sheetNames>
    <sheetDataSet>
      <sheetData sheetId="0" refreshError="1"/>
      <sheetData sheetId="1" refreshError="1">
        <row r="7">
          <cell r="B7">
            <v>12</v>
          </cell>
        </row>
        <row r="8">
          <cell r="B8">
            <v>24</v>
          </cell>
        </row>
        <row r="9">
          <cell r="B9">
            <v>102</v>
          </cell>
        </row>
        <row r="22">
          <cell r="V22">
            <v>0.67500000000000004</v>
          </cell>
        </row>
        <row r="29">
          <cell r="V29">
            <v>0.09</v>
          </cell>
        </row>
        <row r="30">
          <cell r="V30">
            <v>0.06</v>
          </cell>
        </row>
        <row r="33">
          <cell r="V33">
            <v>0.09</v>
          </cell>
        </row>
        <row r="58">
          <cell r="V58">
            <v>277.24799999999999</v>
          </cell>
        </row>
        <row r="59">
          <cell r="V59">
            <v>400</v>
          </cell>
        </row>
        <row r="62">
          <cell r="V62">
            <v>277.24799999999999</v>
          </cell>
        </row>
        <row r="63">
          <cell r="V63">
            <v>400</v>
          </cell>
        </row>
        <row r="85">
          <cell r="C85">
            <v>1870</v>
          </cell>
        </row>
      </sheetData>
      <sheetData sheetId="2" refreshError="1"/>
      <sheetData sheetId="3" refreshError="1">
        <row r="7">
          <cell r="B7">
            <v>12</v>
          </cell>
        </row>
        <row r="8">
          <cell r="B8">
            <v>18</v>
          </cell>
        </row>
        <row r="9">
          <cell r="B9">
            <v>102</v>
          </cell>
        </row>
        <row r="22">
          <cell r="V22">
            <v>0.7430000000000001</v>
          </cell>
        </row>
        <row r="29">
          <cell r="V29">
            <v>6.9640284374999986E-2</v>
          </cell>
        </row>
        <row r="30">
          <cell r="V30">
            <v>4.6426856249999988E-2</v>
          </cell>
        </row>
        <row r="33">
          <cell r="V33">
            <v>6.9640284374999986E-2</v>
          </cell>
        </row>
        <row r="58">
          <cell r="V58">
            <v>305.66592000000003</v>
          </cell>
        </row>
        <row r="59">
          <cell r="V59">
            <v>441</v>
          </cell>
        </row>
        <row r="62">
          <cell r="V62">
            <v>305.66592000000003</v>
          </cell>
        </row>
        <row r="63">
          <cell r="V63">
            <v>441</v>
          </cell>
        </row>
        <row r="85">
          <cell r="C85">
            <v>1870</v>
          </cell>
          <cell r="V85">
            <v>2787.2593273115854</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Projection (without)"/>
      <sheetName val="Diagnostic"/>
      <sheetName val="Projection (with)"/>
      <sheetName val="Impact analysis"/>
      <sheetName val="Investment"/>
      <sheetName val="Synthesis"/>
      <sheetName val="Lexique"/>
      <sheetName val="Tmp_Projection (without)"/>
      <sheetName val="Tmp_Projection (with)"/>
    </sheetNames>
    <sheetDataSet>
      <sheetData sheetId="0" refreshError="1"/>
      <sheetData sheetId="1" refreshError="1">
        <row r="7">
          <cell r="B7">
            <v>12</v>
          </cell>
        </row>
        <row r="8">
          <cell r="B8">
            <v>24</v>
          </cell>
        </row>
        <row r="9">
          <cell r="B9">
            <v>102</v>
          </cell>
        </row>
        <row r="22">
          <cell r="V22">
            <v>0.67500000000000004</v>
          </cell>
        </row>
        <row r="29">
          <cell r="V29">
            <v>0.09</v>
          </cell>
        </row>
        <row r="30">
          <cell r="V30">
            <v>0.06</v>
          </cell>
        </row>
        <row r="33">
          <cell r="V33">
            <v>0.09</v>
          </cell>
        </row>
        <row r="58">
          <cell r="V58">
            <v>299.13599999999997</v>
          </cell>
        </row>
        <row r="59">
          <cell r="V59">
            <v>435</v>
          </cell>
        </row>
        <row r="62">
          <cell r="V62">
            <v>299.13599999999997</v>
          </cell>
        </row>
        <row r="63">
          <cell r="V63">
            <v>435</v>
          </cell>
        </row>
        <row r="85">
          <cell r="C85">
            <v>2475</v>
          </cell>
        </row>
      </sheetData>
      <sheetData sheetId="2" refreshError="1"/>
      <sheetData sheetId="3" refreshError="1">
        <row r="7">
          <cell r="B7">
            <v>12</v>
          </cell>
        </row>
        <row r="8">
          <cell r="B8">
            <v>18</v>
          </cell>
        </row>
        <row r="9">
          <cell r="B9">
            <v>102</v>
          </cell>
        </row>
        <row r="22">
          <cell r="V22">
            <v>0.7430000000000001</v>
          </cell>
        </row>
        <row r="29">
          <cell r="V29">
            <v>6.9640284374999986E-2</v>
          </cell>
        </row>
        <row r="30">
          <cell r="V30">
            <v>4.6426856249999988E-2</v>
          </cell>
        </row>
        <row r="33">
          <cell r="V33">
            <v>6.9640284374999986E-2</v>
          </cell>
        </row>
        <row r="58">
          <cell r="V58">
            <v>329.79743999999994</v>
          </cell>
        </row>
        <row r="59">
          <cell r="V59">
            <v>479.58750000000003</v>
          </cell>
        </row>
        <row r="62">
          <cell r="V62">
            <v>329.79743999999994</v>
          </cell>
        </row>
        <row r="63">
          <cell r="V63">
            <v>479.58750000000003</v>
          </cell>
        </row>
        <row r="85">
          <cell r="C85">
            <v>2475</v>
          </cell>
          <cell r="V85">
            <v>3804.1821332156246</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Projection (without)"/>
      <sheetName val="Diagnostic"/>
      <sheetName val="Projection (with)"/>
      <sheetName val="Impact analysis"/>
      <sheetName val="Investment"/>
      <sheetName val="Synthesis"/>
      <sheetName val="Lexique"/>
      <sheetName val="Tmp_Projection (without)"/>
      <sheetName val="Tmp_Projection (with)"/>
    </sheetNames>
    <sheetDataSet>
      <sheetData sheetId="0" refreshError="1"/>
      <sheetData sheetId="1" refreshError="1">
        <row r="7">
          <cell r="B7">
            <v>12</v>
          </cell>
        </row>
        <row r="8">
          <cell r="B8">
            <v>36</v>
          </cell>
        </row>
        <row r="9">
          <cell r="B9">
            <v>96</v>
          </cell>
        </row>
        <row r="22">
          <cell r="V22">
            <v>0.6</v>
          </cell>
        </row>
        <row r="29">
          <cell r="V29">
            <v>0.09</v>
          </cell>
        </row>
        <row r="30">
          <cell r="V30">
            <v>0.06</v>
          </cell>
        </row>
        <row r="33">
          <cell r="V33">
            <v>0.09</v>
          </cell>
        </row>
        <row r="58">
          <cell r="V58">
            <v>204.28799999999998</v>
          </cell>
        </row>
        <row r="59">
          <cell r="V59">
            <v>350</v>
          </cell>
        </row>
        <row r="62">
          <cell r="V62">
            <v>204.28799999999998</v>
          </cell>
        </row>
        <row r="63">
          <cell r="V63">
            <v>350</v>
          </cell>
        </row>
      </sheetData>
      <sheetData sheetId="2" refreshError="1"/>
      <sheetData sheetId="3" refreshError="1">
        <row r="7">
          <cell r="B7">
            <v>12</v>
          </cell>
        </row>
        <row r="8">
          <cell r="B8">
            <v>24</v>
          </cell>
        </row>
        <row r="9">
          <cell r="B9">
            <v>96</v>
          </cell>
        </row>
        <row r="22">
          <cell r="V22">
            <v>0.63749999999999973</v>
          </cell>
        </row>
        <row r="29">
          <cell r="V29">
            <v>6.9640284374999986E-2</v>
          </cell>
        </row>
        <row r="30">
          <cell r="V30">
            <v>4.5246599999999998E-2</v>
          </cell>
        </row>
        <row r="33">
          <cell r="V33">
            <v>6.9640284374999986E-2</v>
          </cell>
        </row>
        <row r="58">
          <cell r="V58">
            <v>220.9579008</v>
          </cell>
        </row>
        <row r="59">
          <cell r="V59">
            <v>348.27519999999998</v>
          </cell>
        </row>
        <row r="62">
          <cell r="V62">
            <v>220.9579008</v>
          </cell>
        </row>
        <row r="63">
          <cell r="V63">
            <v>348.27519999999998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Projection (without)"/>
      <sheetName val="Diagnostic"/>
      <sheetName val="Projection (with)"/>
      <sheetName val="Impact analysis"/>
      <sheetName val="Investment"/>
      <sheetName val="Synthesis"/>
      <sheetName val="Lexique"/>
      <sheetName val="Tmp_Projection (without)"/>
      <sheetName val="Tmp_Projection (with)"/>
    </sheetNames>
    <sheetDataSet>
      <sheetData sheetId="0" refreshError="1"/>
      <sheetData sheetId="1" refreshError="1">
        <row r="7">
          <cell r="B7">
            <v>12</v>
          </cell>
        </row>
        <row r="8">
          <cell r="B8">
            <v>33</v>
          </cell>
        </row>
        <row r="9">
          <cell r="B9">
            <v>96</v>
          </cell>
        </row>
        <row r="22">
          <cell r="V22">
            <v>0.6</v>
          </cell>
        </row>
        <row r="29">
          <cell r="V29">
            <v>0.1</v>
          </cell>
        </row>
        <row r="30">
          <cell r="V30">
            <v>7.0000000000000007E-2</v>
          </cell>
        </row>
        <row r="33">
          <cell r="V33">
            <v>0.1</v>
          </cell>
        </row>
        <row r="58">
          <cell r="V58">
            <v>204.28799999999998</v>
          </cell>
        </row>
        <row r="59">
          <cell r="V59">
            <v>322</v>
          </cell>
        </row>
        <row r="62">
          <cell r="V62">
            <v>204.28799999999998</v>
          </cell>
        </row>
        <row r="63">
          <cell r="V63">
            <v>322</v>
          </cell>
        </row>
      </sheetData>
      <sheetData sheetId="2" refreshError="1"/>
      <sheetData sheetId="3" refreshError="1">
        <row r="7">
          <cell r="B7">
            <v>12</v>
          </cell>
        </row>
        <row r="8">
          <cell r="B8">
            <v>24</v>
          </cell>
        </row>
        <row r="9">
          <cell r="B9">
            <v>96</v>
          </cell>
        </row>
        <row r="22">
          <cell r="V22">
            <v>0.64</v>
          </cell>
        </row>
        <row r="29">
          <cell r="V29">
            <v>5.9049000000000018E-2</v>
          </cell>
        </row>
        <row r="30">
          <cell r="V30">
            <v>4.1334300000000011E-2</v>
          </cell>
        </row>
        <row r="33">
          <cell r="V33">
            <v>5.9049000000000018E-2</v>
          </cell>
        </row>
        <row r="58">
          <cell r="V58">
            <v>225.22752</v>
          </cell>
        </row>
        <row r="59">
          <cell r="V59">
            <v>355.00500000000005</v>
          </cell>
        </row>
        <row r="62">
          <cell r="V62">
            <v>225.22752</v>
          </cell>
        </row>
        <row r="63">
          <cell r="V63">
            <v>355.00500000000005</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Projection (without)"/>
      <sheetName val="Diagnostic"/>
      <sheetName val="Projection (with)"/>
      <sheetName val="Impact analysis"/>
      <sheetName val="Investment"/>
      <sheetName val="Synthesis"/>
      <sheetName val="Lexique"/>
      <sheetName val="Tmp_Projection (without)"/>
      <sheetName val="Tmp_Projection (with)"/>
    </sheetNames>
    <sheetDataSet>
      <sheetData sheetId="0" refreshError="1"/>
      <sheetData sheetId="1" refreshError="1">
        <row r="7">
          <cell r="B7">
            <v>12</v>
          </cell>
        </row>
        <row r="8">
          <cell r="B8">
            <v>36</v>
          </cell>
        </row>
        <row r="9">
          <cell r="B9">
            <v>92</v>
          </cell>
        </row>
        <row r="22">
          <cell r="V22">
            <v>0.59</v>
          </cell>
        </row>
        <row r="29">
          <cell r="V29">
            <v>0.09</v>
          </cell>
        </row>
        <row r="30">
          <cell r="V30">
            <v>0.06</v>
          </cell>
        </row>
        <row r="33">
          <cell r="V33">
            <v>0.09</v>
          </cell>
        </row>
        <row r="58">
          <cell r="V58">
            <v>204.28799999999998</v>
          </cell>
        </row>
        <row r="59">
          <cell r="V59">
            <v>322</v>
          </cell>
        </row>
        <row r="62">
          <cell r="V62">
            <v>204.28799999999998</v>
          </cell>
        </row>
        <row r="63">
          <cell r="V63">
            <v>322</v>
          </cell>
        </row>
      </sheetData>
      <sheetData sheetId="2" refreshError="1"/>
      <sheetData sheetId="3" refreshError="1">
        <row r="7">
          <cell r="B7">
            <v>12</v>
          </cell>
        </row>
        <row r="8">
          <cell r="B8">
            <v>28</v>
          </cell>
        </row>
        <row r="9">
          <cell r="B9">
            <v>96</v>
          </cell>
        </row>
        <row r="22">
          <cell r="V22">
            <v>0.64</v>
          </cell>
        </row>
        <row r="29">
          <cell r="V29">
            <v>6.7324680900000017E-2</v>
          </cell>
        </row>
        <row r="30">
          <cell r="V30">
            <v>4.8261420000000006E-2</v>
          </cell>
        </row>
        <row r="33">
          <cell r="V33">
            <v>6.7324680900000017E-2</v>
          </cell>
        </row>
        <row r="58">
          <cell r="V58">
            <v>225.22752</v>
          </cell>
        </row>
        <row r="59">
          <cell r="V59">
            <v>355.00500000000005</v>
          </cell>
        </row>
        <row r="62">
          <cell r="V62">
            <v>225.22752</v>
          </cell>
        </row>
        <row r="63">
          <cell r="V63">
            <v>355.00500000000005</v>
          </cell>
        </row>
      </sheetData>
      <sheetData sheetId="4" refreshError="1"/>
      <sheetData sheetId="5" refreshError="1"/>
      <sheetData sheetId="6" refreshError="1"/>
      <sheetData sheetId="7" refreshError="1"/>
      <sheetData sheetId="8" refreshError="1"/>
      <sheetData sheetId="9" refreshError="1"/>
    </sheetDataSet>
  </externalBook>
</externalLink>
</file>

<file path=xl/persons/person.xml><?xml version="1.0" encoding="utf-8"?>
<personList xmlns="http://schemas.microsoft.com/office/spreadsheetml/2018/threadedcomments" xmlns:x="http://schemas.openxmlformats.org/spreadsheetml/2006/main">
  <person displayName="Wanjugu Ndung'u" id="{4892528A-9A90-4741-A101-2ED8E4EE8125}" userId="454d643b68a8e4bc" providerId="Windows Live"/>
  <person displayName="Rakotovao, Narindra (NSAP)" id="{C5BA3901-D0A0-4FB7-857D-0690915CFCDC}" userId="S::Narindra.Rakotovao@fao.org::c5649f76-c67e-4ce1-b939-c00d9fde436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O14" dT="2024-03-28T10:42:55.46" personId="{C5BA3901-D0A0-4FB7-857D-0690915CFCDC}" id="{7C9902E8-4683-49C7-BF41-5D07E163EFDE}">
    <text xml:space="preserve">546 </text>
  </threadedComment>
  <threadedComment ref="F24" dT="2024-04-03T07:18:44.09" personId="{C5BA3901-D0A0-4FB7-857D-0690915CFCDC}" id="{4F249759-67B1-4172-B1BC-50492451F874}">
    <text>Reduire de moitié par le fourrage cultivé nappier, légumineuses</text>
  </threadedComment>
  <threadedComment ref="I24" dT="2024-04-03T07:18:44.09" personId="{C5BA3901-D0A0-4FB7-857D-0690915CFCDC}" id="{A0BB583C-108F-4931-8B69-44EBEB0F65FB}">
    <text>Reduire de moitié par le fourrage cultivé nappier, légumineuses</text>
  </threadedComment>
</ThreadedComments>
</file>

<file path=xl/threadedComments/threadedComment2.xml><?xml version="1.0" encoding="utf-8"?>
<ThreadedComments xmlns="http://schemas.microsoft.com/office/spreadsheetml/2018/threadedcomments" xmlns:x="http://schemas.openxmlformats.org/spreadsheetml/2006/main">
  <threadedComment ref="D1" dT="2024-03-11T15:18:19.61" personId="{C5BA3901-D0A0-4FB7-857D-0690915CFCDC}" id="{C3498902-DFE0-4DE4-A19A-BE2418375205}">
    <text xml:space="preserve">Taking into account the national share of each system </text>
  </threadedComment>
  <threadedComment ref="L1" dT="2024-03-12T07:58:37.28" personId="{C5BA3901-D0A0-4FB7-857D-0690915CFCDC}" id="{FAB0D029-8182-4B38-93DD-2253FCF7B7E2}">
    <text>Nombre de menage possedant des bovins de ce systeme de production</text>
  </threadedComment>
  <threadedComment ref="M1" dT="2024-03-12T08:00:45.03" personId="{C5BA3901-D0A0-4FB7-857D-0690915CFCDC}" id="{2A6C4F24-5808-4D13-B35E-F2029A733767}">
    <text>Nombre de ménage ayant bovin correspondant à ce LPS</text>
  </threadedComment>
  <threadedComment ref="Q12" dT="2024-03-07T14:31:52.13" personId="{C5BA3901-D0A0-4FB7-857D-0690915CFCDC}" id="{227DCF0D-2190-46AA-878D-ACC2307F7715}">
    <text>Out</text>
  </threadedComment>
  <threadedComment ref="R12" dT="2024-03-07T14:32:34.69" personId="{C5BA3901-D0A0-4FB7-857D-0690915CFCDC}" id="{D190DE9B-785F-410B-9102-25A0A649F706}">
    <text>Merged because of the small scale of number of animnals</text>
  </threadedComment>
</ThreadedComments>
</file>

<file path=xl/threadedComments/threadedComment3.xml><?xml version="1.0" encoding="utf-8"?>
<ThreadedComments xmlns="http://schemas.microsoft.com/office/spreadsheetml/2018/threadedcomments" xmlns:x="http://schemas.openxmlformats.org/spreadsheetml/2006/main">
  <threadedComment ref="D1" dT="2024-03-11T15:18:19.61" personId="{C5BA3901-D0A0-4FB7-857D-0690915CFCDC}" id="{9BA7076B-3180-45F6-B07F-0DE397AEF9FA}">
    <text xml:space="preserve">Taking into account the national share of each system </text>
  </threadedComment>
  <threadedComment ref="L1" dT="2024-03-12T07:58:37.28" personId="{C5BA3901-D0A0-4FB7-857D-0690915CFCDC}" id="{118F148D-908F-4CFE-A67E-126D3A07A19F}">
    <text>Nombre de menage possedant des bovins de ce systeme de production</text>
  </threadedComment>
  <threadedComment ref="M1" dT="2024-03-12T08:00:45.03" personId="{C5BA3901-D0A0-4FB7-857D-0690915CFCDC}" id="{D0FF9D13-3263-4D20-8D47-5CD600928B86}">
    <text>Nombre de ménage ayant bovin correspondant à ce LPS</text>
  </threadedComment>
  <threadedComment ref="B12" dT="2024-03-12T14:19:53.10" personId="{C5BA3901-D0A0-4FB7-857D-0690915CFCDC}" id="{1A09D6E5-4EBD-4AE9-87BE-59BFEDED98A9}">
    <text>Venant du fichier new target et cattle population of 2008</text>
  </threadedComment>
  <threadedComment ref="H12" dT="2024-03-13T08:40:19.78" personId="{C5BA3901-D0A0-4FB7-857D-0690915CFCDC}" id="{74B9CFAA-977A-4063-B709-488EC7C85A75}">
    <text>out</text>
  </threadedComment>
  <threadedComment ref="I12" dT="2024-03-07T14:32:34.69" personId="{C5BA3901-D0A0-4FB7-857D-0690915CFCDC}" id="{90171140-75F4-4A16-94EE-4D98E4979E89}">
    <text>Merged because of the small scale of number of animnals</text>
  </threadedComment>
  <threadedComment ref="Q12" dT="2024-03-07T14:31:52.13" personId="{C5BA3901-D0A0-4FB7-857D-0690915CFCDC}" id="{C59BEB9E-1440-402E-B2F4-D3B4D667D9B3}">
    <text>Out</text>
  </threadedComment>
  <threadedComment ref="R12" dT="2024-03-07T14:32:34.69" personId="{C5BA3901-D0A0-4FB7-857D-0690915CFCDC}" id="{F504340B-76CE-4694-ADDE-3B681EE85995}">
    <text>Merged because of the small scale of number of animnals</text>
  </threadedComment>
</ThreadedComments>
</file>

<file path=xl/threadedComments/threadedComment4.xml><?xml version="1.0" encoding="utf-8"?>
<ThreadedComments xmlns="http://schemas.microsoft.com/office/spreadsheetml/2018/threadedcomments" xmlns:x="http://schemas.openxmlformats.org/spreadsheetml/2006/main">
  <threadedComment ref="D1" dT="2024-03-11T15:18:19.61" personId="{C5BA3901-D0A0-4FB7-857D-0690915CFCDC}" id="{6B692BE5-0F2F-42BC-9979-38D501322F6C}">
    <text xml:space="preserve">Taking into account the national share of each system </text>
  </threadedComment>
  <threadedComment ref="L1" dT="2024-03-12T07:58:37.28" personId="{C5BA3901-D0A0-4FB7-857D-0690915CFCDC}" id="{3667CF9C-2362-43D0-8072-4E18D94FA0CB}">
    <text>Nombre de menage possedant des bovins de ce systeme de production</text>
  </threadedComment>
  <threadedComment ref="M1" dT="2024-03-12T08:00:45.03" personId="{C5BA3901-D0A0-4FB7-857D-0690915CFCDC}" id="{B0F7B30A-595A-45AF-8F52-FB90F259AE94}">
    <text>Nombre de ménage ayant bovin correspondant à ce LPS</text>
  </threadedComment>
  <threadedComment ref="B12" dT="2024-03-12T14:19:53.10" personId="{C5BA3901-D0A0-4FB7-857D-0690915CFCDC}" id="{C94C7E7F-7FE7-409C-B1EE-DDF28F162FD5}">
    <text>Venant du fichier new target et cattle population of 2008</text>
  </threadedComment>
  <threadedComment ref="H12" dT="2024-03-13T08:40:19.78" personId="{C5BA3901-D0A0-4FB7-857D-0690915CFCDC}" id="{E25CB2E9-621C-4E17-B10F-28171D1568F7}">
    <text>out</text>
  </threadedComment>
  <threadedComment ref="I12" dT="2024-03-07T14:32:34.69" personId="{C5BA3901-D0A0-4FB7-857D-0690915CFCDC}" id="{37E80B29-7245-4DB0-A634-BE65EBD6EB42}">
    <text>Merged because of the small scale of number of animnals</text>
  </threadedComment>
  <threadedComment ref="Q12" dT="2024-03-07T14:31:52.13" personId="{C5BA3901-D0A0-4FB7-857D-0690915CFCDC}" id="{B26D4754-3BD2-4162-BDA8-9EEC69715054}">
    <text>Out</text>
  </threadedComment>
  <threadedComment ref="R12" dT="2024-03-07T14:32:34.69" personId="{C5BA3901-D0A0-4FB7-857D-0690915CFCDC}" id="{0A37C404-BBC8-4148-8B4A-4E627AB90BBD}">
    <text>Merged because of the small scale of number of animnals</text>
  </threadedComment>
</ThreadedComments>
</file>

<file path=xl/threadedComments/threadedComment5.xml><?xml version="1.0" encoding="utf-8"?>
<ThreadedComments xmlns="http://schemas.microsoft.com/office/spreadsheetml/2018/threadedcomments" xmlns:x="http://schemas.openxmlformats.org/spreadsheetml/2006/main">
  <threadedComment ref="D1" dT="2024-03-11T15:18:19.61" personId="{C5BA3901-D0A0-4FB7-857D-0690915CFCDC}" id="{BE5C32C9-2A02-486B-BD72-EE0DEAB58D79}">
    <text xml:space="preserve">Taking into account the national share of each system </text>
  </threadedComment>
  <threadedComment ref="L1" dT="2024-03-12T07:58:37.28" personId="{C5BA3901-D0A0-4FB7-857D-0690915CFCDC}" id="{65DA8343-4F31-4D9B-9667-74C6AC4F266F}">
    <text>Nombre de menage possedant des bovins de ce systeme de production</text>
  </threadedComment>
  <threadedComment ref="M1" dT="2024-03-12T08:00:45.03" personId="{C5BA3901-D0A0-4FB7-857D-0690915CFCDC}" id="{2F610397-9FCD-470E-88BD-102ED990DCAD}">
    <text>Nombre de ménage ayant bovin correspondant à ce LPS</text>
  </threadedComment>
  <threadedComment ref="B12" dT="2024-03-12T14:19:53.10" personId="{C5BA3901-D0A0-4FB7-857D-0690915CFCDC}" id="{23E59FFD-E73D-4227-9D36-10DCEE5308B7}">
    <text>Venant du fichier new target et cattle population of 2008</text>
  </threadedComment>
  <threadedComment ref="H12" dT="2024-03-13T08:40:19.78" personId="{C5BA3901-D0A0-4FB7-857D-0690915CFCDC}" id="{C0ED8E66-9644-4762-B264-B23DA68B68EE}">
    <text>out</text>
  </threadedComment>
  <threadedComment ref="I12" dT="2024-03-07T14:32:34.69" personId="{C5BA3901-D0A0-4FB7-857D-0690915CFCDC}" id="{09AFB7B6-AC6B-48FC-A19E-39400D5234A0}">
    <text>Merged because of the small scale of number of animnals</text>
  </threadedComment>
  <threadedComment ref="Q12" dT="2024-03-07T14:31:52.13" personId="{C5BA3901-D0A0-4FB7-857D-0690915CFCDC}" id="{7A8292CC-84AF-4E10-B68E-793D7ADEF0C8}">
    <text>Out</text>
  </threadedComment>
  <threadedComment ref="R12" dT="2024-03-07T14:32:34.69" personId="{C5BA3901-D0A0-4FB7-857D-0690915CFCDC}" id="{064D7C0F-4987-4C92-91F0-F2F35069C786}">
    <text>Merged because of the small scale of number of animnals</text>
  </threadedComment>
</ThreadedComments>
</file>

<file path=xl/threadedComments/threadedComment6.xml><?xml version="1.0" encoding="utf-8"?>
<ThreadedComments xmlns="http://schemas.microsoft.com/office/spreadsheetml/2018/threadedcomments" xmlns:x="http://schemas.openxmlformats.org/spreadsheetml/2006/main">
  <threadedComment ref="O8" dT="2024-03-11T10:06:06.49" personId="{C5BA3901-D0A0-4FB7-857D-0690915CFCDC}" id="{22D096F2-4F5D-41EA-8818-F242F4B1153B}">
    <text>Sans Karamoja</text>
  </threadedComment>
</ThreadedComments>
</file>

<file path=xl/threadedComments/threadedComment7.xml><?xml version="1.0" encoding="utf-8"?>
<ThreadedComments xmlns="http://schemas.microsoft.com/office/spreadsheetml/2018/threadedcomments" xmlns:x="http://schemas.openxmlformats.org/spreadsheetml/2006/main">
  <threadedComment ref="R4" dT="2023-12-14T14:59:57.71" personId="{4892528A-9A90-4741-A101-2ED8E4EE8125}" id="{AA5C6B4E-193B-4338-8765-960C097D82C6}">
    <text>Borrowed the information from Kenya extensive (pastoral) system</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3" Type="http://schemas.microsoft.com/office/2017/10/relationships/threadedComment" Target="../threadedComments/threadedComment5.xml"/><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3" Type="http://schemas.microsoft.com/office/2017/10/relationships/threadedComment" Target="../threadedComments/threadedComment6.xml"/><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4.bin"/><Relationship Id="rId4" Type="http://schemas.microsoft.com/office/2017/10/relationships/threadedComment" Target="../threadedComments/threadedComment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0E5F0-C625-4509-9EEB-457F3F3C5DC2}">
  <sheetPr>
    <tabColor rgb="FFFF0000"/>
  </sheetPr>
  <dimension ref="A1:AO64"/>
  <sheetViews>
    <sheetView tabSelected="1" zoomScale="85" zoomScaleNormal="85" workbookViewId="0">
      <pane xSplit="2" ySplit="2" topLeftCell="U13" activePane="bottomRight" state="frozen"/>
      <selection pane="bottomRight" activeCell="J15" sqref="J15"/>
      <selection pane="bottomLeft" activeCell="A3" sqref="A3"/>
      <selection pane="topRight" activeCell="C1" sqref="C1"/>
    </sheetView>
  </sheetViews>
  <sheetFormatPr defaultColWidth="8.85546875" defaultRowHeight="15"/>
  <cols>
    <col min="1" max="1" width="49.7109375" customWidth="1"/>
    <col min="2" max="2" width="13" customWidth="1"/>
    <col min="3" max="3" width="11.85546875" style="136" bestFit="1" customWidth="1"/>
    <col min="4" max="5" width="11.85546875" bestFit="1" customWidth="1"/>
    <col min="6" max="6" width="8" style="146" bestFit="1" customWidth="1"/>
    <col min="7" max="7" width="13.140625" bestFit="1" customWidth="1"/>
    <col min="8" max="8" width="14.140625" bestFit="1" customWidth="1"/>
    <col min="9" max="9" width="17" bestFit="1" customWidth="1"/>
    <col min="10" max="10" width="9.28515625" style="146" customWidth="1"/>
    <col min="11" max="11" width="14.5703125" style="136" bestFit="1" customWidth="1"/>
    <col min="12" max="13" width="14.5703125" bestFit="1" customWidth="1"/>
    <col min="14" max="14" width="8.140625" style="146" customWidth="1"/>
    <col min="15" max="15" width="15.7109375" style="136" bestFit="1" customWidth="1"/>
    <col min="16" max="17" width="15.7109375" bestFit="1" customWidth="1"/>
    <col min="18" max="18" width="8.42578125" style="146" bestFit="1" customWidth="1"/>
    <col min="19" max="19" width="13.5703125" style="136" bestFit="1" customWidth="1"/>
    <col min="20" max="21" width="14.5703125" bestFit="1" customWidth="1"/>
    <col min="22" max="22" width="8" style="146" bestFit="1" customWidth="1"/>
    <col min="23" max="23" width="15.7109375" style="136" bestFit="1" customWidth="1"/>
    <col min="24" max="25" width="15.7109375" bestFit="1" customWidth="1"/>
    <col min="26" max="26" width="8" style="146" bestFit="1" customWidth="1"/>
    <col min="29" max="29" width="14.7109375" customWidth="1"/>
    <col min="30" max="30" width="12.85546875" bestFit="1" customWidth="1"/>
    <col min="31" max="31" width="9" bestFit="1" customWidth="1"/>
    <col min="34" max="34" width="9.85546875" bestFit="1" customWidth="1"/>
    <col min="35" max="35" width="35.140625" style="54" bestFit="1" customWidth="1"/>
    <col min="36" max="36" width="13.5703125" style="54" bestFit="1" customWidth="1"/>
    <col min="37" max="37" width="11.28515625" style="54" bestFit="1" customWidth="1"/>
    <col min="38" max="41" width="8.85546875" style="115"/>
  </cols>
  <sheetData>
    <row r="1" spans="1:41" ht="28.15" customHeight="1">
      <c r="C1" s="290" t="s">
        <v>0</v>
      </c>
      <c r="D1" s="291"/>
      <c r="E1" s="291"/>
      <c r="F1" s="292"/>
      <c r="G1" s="293" t="s">
        <v>1</v>
      </c>
      <c r="H1" s="294"/>
      <c r="I1" s="294"/>
      <c r="J1" s="295"/>
      <c r="K1" s="296" t="s">
        <v>2</v>
      </c>
      <c r="L1" s="297"/>
      <c r="M1" s="297"/>
      <c r="N1" s="298"/>
      <c r="O1" s="299" t="s">
        <v>3</v>
      </c>
      <c r="P1" s="300"/>
      <c r="Q1" s="300"/>
      <c r="R1" s="301"/>
      <c r="S1" s="302" t="s">
        <v>4</v>
      </c>
      <c r="T1" s="303"/>
      <c r="U1" s="303"/>
      <c r="V1" s="304"/>
      <c r="W1" s="287" t="s">
        <v>5</v>
      </c>
      <c r="X1" s="288"/>
      <c r="Y1" s="288"/>
      <c r="Z1" s="289"/>
    </row>
    <row r="2" spans="1:41" s="96" customFormat="1" ht="36.6" customHeight="1">
      <c r="C2" s="206" t="s">
        <v>6</v>
      </c>
      <c r="D2" s="207" t="s">
        <v>7</v>
      </c>
      <c r="E2" s="207" t="s">
        <v>8</v>
      </c>
      <c r="F2" s="208" t="s">
        <v>9</v>
      </c>
      <c r="G2" s="209" t="s">
        <v>6</v>
      </c>
      <c r="H2" s="209" t="s">
        <v>10</v>
      </c>
      <c r="I2" s="209" t="s">
        <v>11</v>
      </c>
      <c r="J2" s="210" t="s">
        <v>9</v>
      </c>
      <c r="K2" s="211" t="s">
        <v>6</v>
      </c>
      <c r="L2" s="212" t="s">
        <v>12</v>
      </c>
      <c r="M2" s="212" t="s">
        <v>13</v>
      </c>
      <c r="N2" s="213" t="s">
        <v>9</v>
      </c>
      <c r="O2" s="214" t="s">
        <v>6</v>
      </c>
      <c r="P2" s="215" t="s">
        <v>14</v>
      </c>
      <c r="Q2" s="215" t="s">
        <v>15</v>
      </c>
      <c r="R2" s="216" t="s">
        <v>9</v>
      </c>
      <c r="S2" s="217" t="s">
        <v>6</v>
      </c>
      <c r="T2" s="218" t="s">
        <v>16</v>
      </c>
      <c r="U2" s="218" t="s">
        <v>17</v>
      </c>
      <c r="V2" s="219" t="s">
        <v>9</v>
      </c>
      <c r="W2" s="174" t="s">
        <v>6</v>
      </c>
      <c r="X2" s="175" t="s">
        <v>18</v>
      </c>
      <c r="Y2" s="175" t="s">
        <v>19</v>
      </c>
      <c r="Z2" s="176" t="s">
        <v>9</v>
      </c>
      <c r="AC2" s="286" t="s">
        <v>20</v>
      </c>
      <c r="AD2" s="286"/>
      <c r="AE2" s="286"/>
      <c r="AI2" s="177"/>
      <c r="AJ2" s="177" t="s">
        <v>21</v>
      </c>
      <c r="AK2" s="177"/>
      <c r="AL2" s="220"/>
      <c r="AM2" s="220"/>
      <c r="AN2" s="220"/>
      <c r="AO2" s="220"/>
    </row>
    <row r="3" spans="1:41">
      <c r="A3" s="54" t="s">
        <v>22</v>
      </c>
      <c r="B3" s="54" t="s">
        <v>23</v>
      </c>
      <c r="C3" s="125">
        <f>'Raw Results_new target'!G60/1000</f>
        <v>4006.0503199999998</v>
      </c>
      <c r="D3" s="126">
        <f>'Raw Results_new target'!H60/1000</f>
        <v>6044.4769999999999</v>
      </c>
      <c r="E3" s="126">
        <f>'Raw Results_new target'!I60/1000</f>
        <v>5063.5413899999994</v>
      </c>
      <c r="F3" s="127">
        <f>(E3-D3)/D3</f>
        <v>-0.16228626728168549</v>
      </c>
      <c r="G3" s="126">
        <f>'Raw Results_new target'!K60/1000</f>
        <v>1653.37492</v>
      </c>
      <c r="H3" s="126">
        <f>'Raw Results_new target'!L60/1000</f>
        <v>2356.8896400000003</v>
      </c>
      <c r="I3" s="126">
        <f>'Raw Results_new target'!M60/1000</f>
        <v>2218.9712999999997</v>
      </c>
      <c r="J3" s="127">
        <f>(I3-H3)/H3</f>
        <v>-5.8517097134849559E-2</v>
      </c>
      <c r="K3" s="126">
        <f>'Raw Results_new target'!O60/1000</f>
        <v>328150.35672000004</v>
      </c>
      <c r="L3" s="126">
        <f>'Raw Results_new target'!P60/1000</f>
        <v>507224.31539</v>
      </c>
      <c r="M3" s="126">
        <f>'Raw Results_new target'!Q60/1000</f>
        <v>454617.32585000002</v>
      </c>
      <c r="N3" s="127">
        <f>(M3-L3)/L3</f>
        <v>-0.10371543308122159</v>
      </c>
      <c r="O3" s="126">
        <f>'Raw Results_new target'!S60/1000</f>
        <v>786070.18674000003</v>
      </c>
      <c r="P3" s="126">
        <f>'Raw Results_new target'!T60/1000</f>
        <v>992871.99187000003</v>
      </c>
      <c r="Q3" s="126">
        <f>'Raw Results_new target'!U60/1000</f>
        <v>964656.79404999991</v>
      </c>
      <c r="R3" s="228">
        <f>(Q3-P3)/P3</f>
        <v>-2.8417759843198824E-2</v>
      </c>
      <c r="S3" s="126">
        <f>'Raw Results_new target'!W60/1000</f>
        <v>57497.081189999997</v>
      </c>
      <c r="T3" s="126">
        <f>'Raw Results_new target'!X60/1000</f>
        <v>70744.337610000002</v>
      </c>
      <c r="U3" s="126">
        <f>'Raw Results_new target'!Y60/1000</f>
        <v>70313.064379999996</v>
      </c>
      <c r="V3" s="228">
        <f>(U3-T3)/T3</f>
        <v>-6.0962226033910013E-3</v>
      </c>
      <c r="W3" s="126">
        <f>'Raw Results_new target'!AA60/1000</f>
        <v>1177377.0498900001</v>
      </c>
      <c r="X3" s="126">
        <f>'Raw Results_new target'!AB60/1000</f>
        <v>1579242.0115100001</v>
      </c>
      <c r="Y3" s="126">
        <f>'Raw Results_new target'!AC60/1000</f>
        <v>1496869.6969699997</v>
      </c>
      <c r="Z3" s="127">
        <f>(Y3-X3)/X3</f>
        <v>-5.2159399217881562E-2</v>
      </c>
      <c r="AC3" s="40" t="s">
        <v>18</v>
      </c>
      <c r="AD3" s="40" t="s">
        <v>19</v>
      </c>
      <c r="AE3" s="116" t="s">
        <v>24</v>
      </c>
      <c r="AI3" s="193" t="s">
        <v>25</v>
      </c>
      <c r="AJ3" s="194">
        <f>W3</f>
        <v>1177377.0498900001</v>
      </c>
      <c r="AK3" s="195"/>
    </row>
    <row r="4" spans="1:41">
      <c r="A4" s="54" t="s">
        <v>26</v>
      </c>
      <c r="B4" s="54" t="s">
        <v>23</v>
      </c>
      <c r="C4" s="125">
        <f>'Raw Results_new target'!G32/1000</f>
        <v>878.95209999999997</v>
      </c>
      <c r="D4" s="126">
        <f>'Raw Results_new target'!H32/1000</f>
        <v>1326.519</v>
      </c>
      <c r="E4" s="126">
        <f>'Raw Results_new target'!I32/1000</f>
        <v>1195.1552300000001</v>
      </c>
      <c r="F4" s="127">
        <f t="shared" ref="F4:F42" si="0">(E4-D4)/D4</f>
        <v>-9.9028939653333217E-2</v>
      </c>
      <c r="G4" s="126">
        <f>'Raw Results_new target'!K32/1000</f>
        <v>383.71214000000003</v>
      </c>
      <c r="H4" s="126">
        <f>'Raw Results_new target'!L32/1000</f>
        <v>547.19765000000007</v>
      </c>
      <c r="I4" s="126">
        <f>'Raw Results_new target'!M32/1000</f>
        <v>534.06681999999989</v>
      </c>
      <c r="J4" s="127">
        <f t="shared" ref="J4:J42" si="1">(I4-H4)/H4</f>
        <v>-2.3996502908958349E-2</v>
      </c>
      <c r="K4" s="126">
        <f>'Raw Results_new target'!O32/1000</f>
        <v>76879.658009999999</v>
      </c>
      <c r="L4" s="126">
        <f>'Raw Results_new target'!P32/1000</f>
        <v>118834.06693</v>
      </c>
      <c r="M4" s="126">
        <f>'Raw Results_new target'!Q32/1000</f>
        <v>115511.57298</v>
      </c>
      <c r="N4" s="127">
        <f t="shared" ref="N4:N42" si="2">(M4-L4)/L4</f>
        <v>-2.7959103275975068E-2</v>
      </c>
      <c r="O4" s="126">
        <f>'Raw Results_new target'!S32/1000</f>
        <v>219000.19356000001</v>
      </c>
      <c r="P4" s="126">
        <f>'Raw Results_new target'!T32/1000</f>
        <v>276615.69024999999</v>
      </c>
      <c r="Q4" s="126">
        <f>'Raw Results_new target'!U32/1000</f>
        <v>322730.90299000003</v>
      </c>
      <c r="R4" s="228">
        <f t="shared" ref="R4:R42" si="3">(Q4-P4)/P4</f>
        <v>0.1667122089073183</v>
      </c>
      <c r="S4" s="126">
        <f>'Raw Results_new target'!W32/1000</f>
        <v>21147.724870000002</v>
      </c>
      <c r="T4" s="126">
        <f>'Raw Results_new target'!X32/1000</f>
        <v>26019.962149999999</v>
      </c>
      <c r="U4" s="126">
        <f>'Raw Results_new target'!Y32/1000</f>
        <v>27098.893780000002</v>
      </c>
      <c r="V4" s="127">
        <f t="shared" ref="V4:V42" si="4">(U4-T4)/T4</f>
        <v>4.146553418410729E-2</v>
      </c>
      <c r="W4" s="126">
        <f>'Raw Results_new target'!AA32/1000</f>
        <v>318290.24067999999</v>
      </c>
      <c r="X4" s="126">
        <f>'Raw Results_new target'!AB32/1000</f>
        <v>423343.43598000001</v>
      </c>
      <c r="Y4" s="126">
        <f>'Raw Results_new target'!AC32/1000</f>
        <v>467070.59179999994</v>
      </c>
      <c r="Z4" s="127">
        <f t="shared" ref="Z4:Z42" si="5">(Y4-X4)/X4</f>
        <v>0.10329002909605932</v>
      </c>
      <c r="AC4" s="34">
        <f>X3</f>
        <v>1579242.0115100001</v>
      </c>
      <c r="AD4" s="34">
        <f>Y3</f>
        <v>1496869.6969699997</v>
      </c>
      <c r="AE4" s="224">
        <f>(AD4-AC4)/AC4</f>
        <v>-5.2159399217881562E-2</v>
      </c>
      <c r="AG4" s="22">
        <f>AC4-AD4</f>
        <v>82372.3145400004</v>
      </c>
      <c r="AH4" s="25">
        <f>AG4/20</f>
        <v>4118.6157270000203</v>
      </c>
      <c r="AI4" s="196" t="s">
        <v>27</v>
      </c>
      <c r="AJ4" s="58">
        <f>AD4</f>
        <v>1496869.6969699997</v>
      </c>
      <c r="AK4" s="197"/>
    </row>
    <row r="5" spans="1:41">
      <c r="A5" s="54" t="s">
        <v>28</v>
      </c>
      <c r="B5" s="54" t="s">
        <v>23</v>
      </c>
      <c r="C5" s="125">
        <f>'Raw Results_new target'!G33/1000</f>
        <v>2628.6558399999999</v>
      </c>
      <c r="D5" s="126">
        <f>'Raw Results_new target'!H33/1000</f>
        <v>3966.5183500000003</v>
      </c>
      <c r="E5" s="126">
        <f>'Raw Results_new target'!I33/1000</f>
        <v>3231.2616899999998</v>
      </c>
      <c r="F5" s="127">
        <f t="shared" si="0"/>
        <v>-0.18536575281442991</v>
      </c>
      <c r="G5" s="126">
        <f>'Raw Results_new target'!K33/1000</f>
        <v>1141.25485</v>
      </c>
      <c r="H5" s="126">
        <f>'Raw Results_new target'!L33/1000</f>
        <v>1627.0673700000002</v>
      </c>
      <c r="I5" s="126">
        <f>'Raw Results_new target'!M33/1000</f>
        <v>1516.2648200000001</v>
      </c>
      <c r="J5" s="127">
        <f t="shared" si="1"/>
        <v>-6.809954648651094E-2</v>
      </c>
      <c r="K5" s="126">
        <f>'Raw Results_new target'!O33/1000</f>
        <v>218002.20983000001</v>
      </c>
      <c r="L5" s="126">
        <f>'Raw Results_new target'!P33/1000</f>
        <v>336968.32934</v>
      </c>
      <c r="M5" s="126">
        <f>'Raw Results_new target'!Q33/1000</f>
        <v>296891.07780999999</v>
      </c>
      <c r="N5" s="127">
        <f t="shared" si="2"/>
        <v>-0.11893477232265999</v>
      </c>
      <c r="O5" s="126">
        <f>'Raw Results_new target'!S33/1000</f>
        <v>536914.43298000004</v>
      </c>
      <c r="P5" s="126">
        <f>'Raw Results_new target'!T33/1000</f>
        <v>678167.82875999995</v>
      </c>
      <c r="Q5" s="126">
        <f>'Raw Results_new target'!U33/1000</f>
        <v>603264.93504999997</v>
      </c>
      <c r="R5" s="228">
        <f t="shared" si="3"/>
        <v>-0.11044890443558289</v>
      </c>
      <c r="S5" s="126">
        <f>'Raw Results_new target'!W33/1000</f>
        <v>36349.111189999996</v>
      </c>
      <c r="T5" s="126">
        <f>'Raw Results_new target'!X33/1000</f>
        <v>44724.073539999998</v>
      </c>
      <c r="U5" s="126">
        <f>'Raw Results_new target'!Y33/1000</f>
        <v>43213.845789999999</v>
      </c>
      <c r="V5" s="127">
        <f t="shared" si="4"/>
        <v>-3.3767669857918722E-2</v>
      </c>
      <c r="W5" s="126">
        <f>'Raw Results_new target'!AA33/1000</f>
        <v>795035.66469000001</v>
      </c>
      <c r="X5" s="126">
        <f>'Raw Results_new target'!AB33/1000</f>
        <v>1065453.81736</v>
      </c>
      <c r="Y5" s="126">
        <f>'Raw Results_new target'!AC33/1000</f>
        <v>948117.38515999983</v>
      </c>
      <c r="Z5" s="127">
        <f t="shared" si="5"/>
        <v>-0.11012812595738632</v>
      </c>
      <c r="AI5" s="196" t="s">
        <v>29</v>
      </c>
      <c r="AJ5" s="58">
        <f>AC4</f>
        <v>1579242.0115100001</v>
      </c>
      <c r="AK5" s="197"/>
    </row>
    <row r="6" spans="1:41">
      <c r="A6" t="s">
        <v>30</v>
      </c>
      <c r="B6" t="s">
        <v>31</v>
      </c>
      <c r="C6" s="128">
        <f>'Raw Results_new target'!G52</f>
        <v>39552.300000000003</v>
      </c>
      <c r="D6" s="129">
        <f>'Raw Results_new target'!H52</f>
        <v>59683.88</v>
      </c>
      <c r="E6" s="129">
        <f>'Raw Results_new target'!I52</f>
        <v>64613.24</v>
      </c>
      <c r="F6" s="127">
        <f t="shared" si="0"/>
        <v>8.2591145213749523E-2</v>
      </c>
      <c r="G6" s="129">
        <f>'Raw Results_new target'!K52</f>
        <v>23299.38</v>
      </c>
      <c r="H6" s="129">
        <f>'Raw Results_new target'!L52</f>
        <v>33218.65</v>
      </c>
      <c r="I6" s="129">
        <f>'Raw Results_new target'!M52</f>
        <v>38232.49</v>
      </c>
      <c r="J6" s="127">
        <f t="shared" si="1"/>
        <v>0.15093449011323448</v>
      </c>
      <c r="K6" s="129">
        <f>'Raw Results_new target'!O52</f>
        <v>3975862.52</v>
      </c>
      <c r="L6" s="129">
        <f>'Raw Results_new target'!P52</f>
        <v>6145535.5999999996</v>
      </c>
      <c r="M6" s="129">
        <f>'Raw Results_new target'!Q52</f>
        <v>7165153.6600000001</v>
      </c>
      <c r="N6" s="127">
        <f t="shared" si="2"/>
        <v>0.16591199308974805</v>
      </c>
      <c r="O6" s="129">
        <f>'Raw Results_new target'!S52</f>
        <v>9046676.6300000008</v>
      </c>
      <c r="P6" s="129">
        <f>'Raw Results_new target'!T52</f>
        <v>11426710.42</v>
      </c>
      <c r="Q6" s="129">
        <f>'Raw Results_new target'!U52</f>
        <v>17462730.07</v>
      </c>
      <c r="R6" s="228">
        <f t="shared" si="3"/>
        <v>0.52823773668362561</v>
      </c>
      <c r="S6" s="129">
        <f>'Raw Results_new target'!W52</f>
        <v>731982.87</v>
      </c>
      <c r="T6" s="129">
        <f>'Raw Results_new target'!X52</f>
        <v>900605.61</v>
      </c>
      <c r="U6" s="129">
        <f>'Raw Results_new target'!Y52</f>
        <v>1176579.77</v>
      </c>
      <c r="V6" s="127">
        <f t="shared" si="4"/>
        <v>0.30643175762584918</v>
      </c>
      <c r="W6" s="129">
        <f>'Raw Results_new target'!AA52</f>
        <v>13817373.700000001</v>
      </c>
      <c r="X6" s="129">
        <f>'Raw Results_new target'!AB52</f>
        <v>18565754.16</v>
      </c>
      <c r="Y6" s="129">
        <f>'Raw Results_new target'!AC52</f>
        <v>25907309.23</v>
      </c>
      <c r="Z6" s="127">
        <f t="shared" si="5"/>
        <v>0.39543532714751839</v>
      </c>
      <c r="AI6" s="196" t="s">
        <v>32</v>
      </c>
      <c r="AJ6" s="139">
        <f>AJ4-AJ5</f>
        <v>-82372.3145400004</v>
      </c>
      <c r="AK6" s="197"/>
    </row>
    <row r="7" spans="1:41" s="54" customFormat="1">
      <c r="A7" s="54" t="s">
        <v>33</v>
      </c>
      <c r="B7" s="54" t="s">
        <v>31</v>
      </c>
      <c r="C7" s="125">
        <f>'Raw Results_new target'!G40</f>
        <v>1039720</v>
      </c>
      <c r="D7" s="126">
        <f>'Raw Results_new target'!H40</f>
        <v>1568930</v>
      </c>
      <c r="E7" s="126">
        <f>'Raw Results_new target'!I40</f>
        <v>1884012</v>
      </c>
      <c r="F7" s="127">
        <f t="shared" si="0"/>
        <v>0.20082604067740434</v>
      </c>
      <c r="G7" s="126">
        <f>'Raw Results_new target'!K40</f>
        <v>749925</v>
      </c>
      <c r="H7" s="126">
        <f>'Raw Results_new target'!L40</f>
        <v>1069200</v>
      </c>
      <c r="I7" s="126">
        <f>'Raw Results_new target'!M40</f>
        <v>1415088</v>
      </c>
      <c r="J7" s="127">
        <f t="shared" si="1"/>
        <v>0.32350168350168351</v>
      </c>
      <c r="K7" s="126">
        <f>'Raw Results_new target'!O40</f>
        <v>59333760</v>
      </c>
      <c r="L7" s="126">
        <f>'Raw Results_new target'!P40</f>
        <v>91712880</v>
      </c>
      <c r="M7" s="126">
        <f>'Raw Results_new target'!Q40</f>
        <v>117812704</v>
      </c>
      <c r="N7" s="127">
        <f t="shared" si="2"/>
        <v>0.28458188206498369</v>
      </c>
      <c r="O7" s="238">
        <f>'Raw Results_new target'!S40</f>
        <v>84601200</v>
      </c>
      <c r="P7" s="238">
        <f>'Raw Results_new target'!T40</f>
        <v>106858400</v>
      </c>
      <c r="Q7" s="238">
        <f>'Raw Results_new target'!U40</f>
        <v>141299340</v>
      </c>
      <c r="R7" s="239">
        <f>(O7-M7)/M7</f>
        <v>-0.28190087208252174</v>
      </c>
      <c r="S7" s="126">
        <f>'Raw Results_new target'!W40</f>
        <v>4255740</v>
      </c>
      <c r="T7" s="126">
        <f>'Raw Results_new target'!X40</f>
        <v>5236110</v>
      </c>
      <c r="U7" s="126">
        <f>'Raw Results_new target'!Y40</f>
        <v>6788564</v>
      </c>
      <c r="V7" s="127">
        <f t="shared" si="4"/>
        <v>0.29648995150980406</v>
      </c>
      <c r="W7" s="126">
        <f>'Raw Results_new target'!AA40</f>
        <v>149980345</v>
      </c>
      <c r="X7" s="126">
        <f>'Raw Results_new target'!AB40</f>
        <v>206445520</v>
      </c>
      <c r="Y7" s="126">
        <f>'Raw Results_new target'!AC40</f>
        <v>269199708</v>
      </c>
      <c r="Z7" s="127">
        <f t="shared" si="5"/>
        <v>0.30397456917447274</v>
      </c>
      <c r="AI7" s="196"/>
      <c r="AJ7" s="139">
        <f>AJ6/20</f>
        <v>-4118.6157270000203</v>
      </c>
      <c r="AK7" s="197"/>
    </row>
    <row r="8" spans="1:41" s="54" customFormat="1">
      <c r="A8" s="54" t="s">
        <v>34</v>
      </c>
      <c r="B8" s="54" t="s">
        <v>35</v>
      </c>
      <c r="C8" s="152">
        <f>((C4*1000/C9)+(C5*1000/C10))/1000</f>
        <v>41.961033465899284</v>
      </c>
      <c r="D8" s="130">
        <f>((D4*1000/D9)+(D5*1000/D10))/1000</f>
        <v>63.325704097665586</v>
      </c>
      <c r="E8" s="130">
        <f t="shared" ref="E8:U8" si="6">((E4*1000/E9)+(E5*1000/E10))/1000</f>
        <v>75.0258427941815</v>
      </c>
      <c r="F8" s="127">
        <f t="shared" si="0"/>
        <v>0.18476128869362582</v>
      </c>
      <c r="G8" s="126">
        <f t="shared" ref="G8" si="7">((G4*1000/G9)+(G5*1000/G10))/1000</f>
        <v>29.682399356832747</v>
      </c>
      <c r="H8" s="126">
        <f t="shared" si="6"/>
        <v>42.318990816837072</v>
      </c>
      <c r="I8" s="126">
        <f t="shared" si="6"/>
        <v>55.160851417366871</v>
      </c>
      <c r="J8" s="127">
        <f t="shared" si="1"/>
        <v>0.30345384785075086</v>
      </c>
      <c r="K8" s="126">
        <f t="shared" ref="K8" si="8">((K4*1000/K9)+(K5*1000/K10))/1000</f>
        <v>2660.178176231158</v>
      </c>
      <c r="L8" s="126">
        <f t="shared" si="6"/>
        <v>4111.868399113765</v>
      </c>
      <c r="M8" s="126">
        <f t="shared" si="6"/>
        <v>5173.6878735038918</v>
      </c>
      <c r="N8" s="127">
        <f t="shared" si="2"/>
        <v>0.25823284485928144</v>
      </c>
      <c r="O8" s="126">
        <f t="shared" ref="O8" si="9">((O4*1000/O9)+(O5*1000/O10))/1000</f>
        <v>4353.4020020338448</v>
      </c>
      <c r="P8" s="126">
        <f t="shared" si="6"/>
        <v>5498.7116228043124</v>
      </c>
      <c r="Q8" s="126">
        <f t="shared" si="6"/>
        <v>7630.1079080350828</v>
      </c>
      <c r="R8" s="50">
        <f>(O8-M8)/M8</f>
        <v>-0.15854954754247794</v>
      </c>
      <c r="S8" s="126">
        <f t="shared" ref="S8" si="10">((S4*1000/S9)+(S5*1000/S10))/1000</f>
        <v>264.95216349667396</v>
      </c>
      <c r="T8" s="126">
        <f t="shared" si="6"/>
        <v>325.9890640134887</v>
      </c>
      <c r="U8" s="126">
        <f t="shared" si="6"/>
        <v>424.05992443212705</v>
      </c>
      <c r="V8" s="127">
        <f t="shared" si="4"/>
        <v>0.30084095218169771</v>
      </c>
      <c r="W8" s="126">
        <f>C8+G8+K8+O8+S8</f>
        <v>7350.1757745844088</v>
      </c>
      <c r="X8" s="126">
        <f t="shared" ref="X8:Y8" si="11">D8+H8+L8+P8+T8</f>
        <v>10042.21378084607</v>
      </c>
      <c r="Y8" s="126">
        <f t="shared" si="11"/>
        <v>13358.04240018265</v>
      </c>
      <c r="Z8" s="127">
        <f t="shared" si="5"/>
        <v>0.33018900928607964</v>
      </c>
      <c r="AI8" s="196"/>
      <c r="AK8" s="197"/>
    </row>
    <row r="9" spans="1:41">
      <c r="A9" s="54" t="s">
        <v>36</v>
      </c>
      <c r="B9" s="54" t="s">
        <v>37</v>
      </c>
      <c r="C9" s="131">
        <f>'Raw Results_new target'!G34</f>
        <v>157.71</v>
      </c>
      <c r="D9" s="58">
        <f>'Raw Results_new target'!H34</f>
        <v>157.72</v>
      </c>
      <c r="E9" s="58">
        <f>'Raw Results_new target'!I34</f>
        <v>131.6</v>
      </c>
      <c r="F9" s="127">
        <f t="shared" si="0"/>
        <v>-0.16560994166878015</v>
      </c>
      <c r="G9" s="58">
        <f>'Raw Results_new target'!K34</f>
        <v>111.72</v>
      </c>
      <c r="H9" s="58">
        <f>'Raw Results_new target'!L34</f>
        <v>111.72</v>
      </c>
      <c r="I9" s="58">
        <f>'Raw Results_new target'!M34</f>
        <v>94.93</v>
      </c>
      <c r="J9" s="127">
        <f t="shared" si="1"/>
        <v>-0.15028643036161826</v>
      </c>
      <c r="K9" s="58">
        <f>'Raw Results_new target'!O34</f>
        <v>131.74</v>
      </c>
      <c r="L9" s="58">
        <f>'Raw Results_new target'!P34</f>
        <v>131.74</v>
      </c>
      <c r="M9" s="58">
        <f>'Raw Results_new target'!Q34</f>
        <v>109.99</v>
      </c>
      <c r="N9" s="127">
        <f t="shared" si="2"/>
        <v>-0.16509792014574171</v>
      </c>
      <c r="O9" s="58">
        <f>'Raw Results_new target'!S34</f>
        <v>157.28</v>
      </c>
      <c r="P9" s="58">
        <f>'Raw Results_new target'!T34</f>
        <v>157.28</v>
      </c>
      <c r="Q9" s="58">
        <f>'Raw Results_new target'!U34</f>
        <v>120.22</v>
      </c>
      <c r="R9" s="127">
        <f t="shared" si="3"/>
        <v>-0.23563072227873857</v>
      </c>
      <c r="S9" s="58">
        <f>'Raw Results_new target'!W34</f>
        <v>182.31</v>
      </c>
      <c r="T9" s="58">
        <f>'Raw Results_new target'!X34</f>
        <v>182.31</v>
      </c>
      <c r="U9" s="58">
        <f>'Raw Results_new target'!Y34</f>
        <v>145.33000000000001</v>
      </c>
      <c r="V9" s="127">
        <f t="shared" si="4"/>
        <v>-0.20284131424496729</v>
      </c>
      <c r="W9" s="58">
        <f>'Raw Results_new target'!AA34</f>
        <v>740.76</v>
      </c>
      <c r="X9" s="58">
        <f>'Raw Results_new target'!AB34</f>
        <v>740.77</v>
      </c>
      <c r="Y9" s="58">
        <f>'Raw Results_new target'!AC34</f>
        <v>602.07000000000005</v>
      </c>
      <c r="Z9" s="127">
        <f t="shared" si="5"/>
        <v>-0.18723760411463738</v>
      </c>
      <c r="AI9" s="196"/>
      <c r="AK9" s="197"/>
    </row>
    <row r="10" spans="1:41">
      <c r="A10" s="54" t="s">
        <v>38</v>
      </c>
      <c r="B10" s="54" t="s">
        <v>37</v>
      </c>
      <c r="C10" s="131">
        <f>'Raw Results_new target'!G39</f>
        <v>72.239999999999995</v>
      </c>
      <c r="D10" s="58">
        <f>'Raw Results_new target'!H39</f>
        <v>72.23</v>
      </c>
      <c r="E10" s="58">
        <f>'Raw Results_new target'!I39</f>
        <v>49</v>
      </c>
      <c r="F10" s="127">
        <f t="shared" si="0"/>
        <v>-0.32161151875951827</v>
      </c>
      <c r="G10" s="58">
        <f>'Raw Results_new target'!K39</f>
        <v>43.48</v>
      </c>
      <c r="H10" s="58">
        <f>'Raw Results_new target'!L39</f>
        <v>43.48</v>
      </c>
      <c r="I10" s="58">
        <f>'Raw Results_new target'!M39</f>
        <v>30.61</v>
      </c>
      <c r="J10" s="127">
        <f t="shared" si="1"/>
        <v>-0.29599816007359703</v>
      </c>
      <c r="K10" s="58">
        <f>'Raw Results_new target'!O39</f>
        <v>104.98</v>
      </c>
      <c r="L10" s="58">
        <f>'Raw Results_new target'!P39</f>
        <v>104.98</v>
      </c>
      <c r="M10" s="58">
        <f>'Raw Results_new target'!Q39</f>
        <v>72</v>
      </c>
      <c r="N10" s="127">
        <f t="shared" si="2"/>
        <v>-0.31415507715755386</v>
      </c>
      <c r="O10" s="58">
        <f>'Raw Results_new target'!S39</f>
        <v>181.33</v>
      </c>
      <c r="P10" s="58">
        <f>'Raw Results_new target'!T39</f>
        <v>181.33</v>
      </c>
      <c r="Q10" s="58">
        <f>'Raw Results_new target'!U39</f>
        <v>121.98</v>
      </c>
      <c r="R10" s="127">
        <f t="shared" si="3"/>
        <v>-0.32730381073181497</v>
      </c>
      <c r="S10" s="58">
        <f>'Raw Results_new target'!W39</f>
        <v>244.03</v>
      </c>
      <c r="T10" s="58">
        <f>'Raw Results_new target'!X39</f>
        <v>244.04</v>
      </c>
      <c r="U10" s="58">
        <f>'Raw Results_new target'!Y39</f>
        <v>181.88</v>
      </c>
      <c r="V10" s="127">
        <f t="shared" si="4"/>
        <v>-0.25471234223897721</v>
      </c>
      <c r="W10" s="58">
        <f>'Raw Results_new target'!AA39</f>
        <v>646.05999999999995</v>
      </c>
      <c r="X10" s="58">
        <f>'Raw Results_new target'!AB39</f>
        <v>646.05999999999995</v>
      </c>
      <c r="Y10" s="58">
        <f>'Raw Results_new target'!AC39</f>
        <v>455.47</v>
      </c>
      <c r="Z10" s="127">
        <f t="shared" si="5"/>
        <v>-0.29500356004086298</v>
      </c>
      <c r="AI10" s="196"/>
      <c r="AJ10" s="236" t="s">
        <v>18</v>
      </c>
      <c r="AK10" s="237" t="s">
        <v>19</v>
      </c>
    </row>
    <row r="11" spans="1:41">
      <c r="A11" s="54" t="s">
        <v>39</v>
      </c>
      <c r="B11" s="54" t="s">
        <v>40</v>
      </c>
      <c r="C11" s="152">
        <f>'Raw Results_new target'!G59/1000</f>
        <v>3870.0807599999998</v>
      </c>
      <c r="D11" s="130">
        <f>'Raw Results_new target'!H59/1000</f>
        <v>5839.3068200000007</v>
      </c>
      <c r="E11" s="130">
        <f>'Raw Results_new target'!I59/1000</f>
        <v>5029.87291</v>
      </c>
      <c r="F11" s="127">
        <f t="shared" si="0"/>
        <v>-0.13861815022763277</v>
      </c>
      <c r="G11" s="126">
        <f>'Raw Results_new target'!K59/1000</f>
        <v>2303.9437799999996</v>
      </c>
      <c r="H11" s="126">
        <f>'Raw Results_new target'!L59/1000</f>
        <v>3284.2478999999998</v>
      </c>
      <c r="I11" s="126">
        <f>'Raw Results_new target'!M59/1000</f>
        <v>3064.3865000000001</v>
      </c>
      <c r="J11" s="127">
        <f t="shared" si="1"/>
        <v>-6.6944215751801137E-2</v>
      </c>
      <c r="K11" s="126">
        <f>'Raw Results_new target'!O59/1000</f>
        <v>460298.02854000003</v>
      </c>
      <c r="L11" s="126">
        <f>'Raw Results_new target'!P59/1000</f>
        <v>711485.81982000009</v>
      </c>
      <c r="M11" s="126">
        <f>'Raw Results_new target'!Q59/1000</f>
        <v>637652.50724000006</v>
      </c>
      <c r="N11" s="127">
        <f t="shared" si="2"/>
        <v>-0.10377341406281186</v>
      </c>
      <c r="O11" s="126">
        <f>'Raw Results_new target'!S59/1000</f>
        <v>1098741.40334</v>
      </c>
      <c r="P11" s="126">
        <f>'Raw Results_new target'!T59/1000</f>
        <v>1387801.6999100002</v>
      </c>
      <c r="Q11" s="126">
        <f>'Raw Results_new target'!U59/1000</f>
        <v>1360443.49275</v>
      </c>
      <c r="R11" s="127">
        <f t="shared" si="3"/>
        <v>-1.9713340286133401E-2</v>
      </c>
      <c r="S11" s="126">
        <f>'Raw Results_new target'!W59/1000</f>
        <v>84597.21269</v>
      </c>
      <c r="T11" s="126">
        <f>'Raw Results_new target'!X59/1000</f>
        <v>104088.28982999999</v>
      </c>
      <c r="U11" s="126">
        <f>'Raw Results_new target'!Y59/1000</f>
        <v>104087.07045</v>
      </c>
      <c r="V11" s="127">
        <f t="shared" si="4"/>
        <v>-1.1714862469030142E-5</v>
      </c>
      <c r="W11" s="126">
        <f>'Raw Results_new target'!AA59/1000</f>
        <v>1649810.6691100001</v>
      </c>
      <c r="X11" s="126">
        <f>'Raw Results_new target'!AB59/1000</f>
        <v>2212499.3642800003</v>
      </c>
      <c r="Y11" s="126">
        <f>'Raw Results_new target'!AC59/1000</f>
        <v>2110277.3298500003</v>
      </c>
      <c r="Z11" s="127">
        <f t="shared" si="5"/>
        <v>-4.6202062735175277E-2</v>
      </c>
      <c r="AI11" s="196" t="s">
        <v>41</v>
      </c>
      <c r="AJ11" s="58">
        <f>AJ3</f>
        <v>1177377.0498900001</v>
      </c>
      <c r="AK11" s="198">
        <f>AJ3</f>
        <v>1177377.0498900001</v>
      </c>
      <c r="AL11" s="115">
        <f>(AK11-AJ11)/AJ11*100</f>
        <v>0</v>
      </c>
    </row>
    <row r="12" spans="1:41" s="59" customFormat="1">
      <c r="A12" s="84" t="s">
        <v>42</v>
      </c>
      <c r="B12" s="84" t="s">
        <v>43</v>
      </c>
      <c r="C12" s="269">
        <f>'Raw Results_new target'!G49</f>
        <v>1708.97</v>
      </c>
      <c r="D12" s="270">
        <f>'Raw Results_new target'!H49</f>
        <v>2578.5700000000002</v>
      </c>
      <c r="E12" s="270">
        <f>'Raw Results_new target'!I49</f>
        <v>2043.77</v>
      </c>
      <c r="F12" s="271">
        <f t="shared" si="0"/>
        <v>-0.20740177695389311</v>
      </c>
      <c r="G12" s="270">
        <f>'Raw Results_new target'!K49</f>
        <v>891.62</v>
      </c>
      <c r="H12" s="270">
        <f>'Raw Results_new target'!L49</f>
        <v>1271</v>
      </c>
      <c r="I12" s="270">
        <f>'Raw Results_new target'!M49</f>
        <v>1075.3900000000001</v>
      </c>
      <c r="J12" s="271">
        <f t="shared" si="1"/>
        <v>-0.15390243902439016</v>
      </c>
      <c r="K12" s="270">
        <f>'Raw Results_new target'!O49</f>
        <v>252541.97</v>
      </c>
      <c r="L12" s="270">
        <f>'Raw Results_new target'!P49</f>
        <v>390356.08</v>
      </c>
      <c r="M12" s="270">
        <f>'Raw Results_new target'!Q49</f>
        <v>331994.06</v>
      </c>
      <c r="N12" s="271">
        <f t="shared" si="2"/>
        <v>-0.1495096989394914</v>
      </c>
      <c r="O12" s="270">
        <f>'Raw Results_new target'!S49</f>
        <v>604058.74</v>
      </c>
      <c r="P12" s="270">
        <f>'Raw Results_new target'!T49</f>
        <v>762976.45</v>
      </c>
      <c r="Q12" s="270">
        <f>'Raw Results_new target'!U49</f>
        <v>720666.53</v>
      </c>
      <c r="R12" s="271">
        <f t="shared" si="3"/>
        <v>-5.5453769248054681E-2</v>
      </c>
      <c r="S12" s="270">
        <f>'Raw Results_new target'!W49</f>
        <v>46882.31</v>
      </c>
      <c r="T12" s="270">
        <f>'Raw Results_new target'!X49</f>
        <v>57683.59</v>
      </c>
      <c r="U12" s="270">
        <f>'Raw Results_new target'!Y49</f>
        <v>54455.78</v>
      </c>
      <c r="V12" s="271">
        <f t="shared" si="4"/>
        <v>-5.5957162166917797E-2</v>
      </c>
      <c r="W12" s="270">
        <f>'Raw Results_new target'!AA49</f>
        <v>906083.6100000001</v>
      </c>
      <c r="X12" s="270">
        <f>'Raw Results_new target'!AB49</f>
        <v>1214865.6900000002</v>
      </c>
      <c r="Y12" s="270">
        <f>'Raw Results_new target'!AC49</f>
        <v>1110235.53</v>
      </c>
      <c r="Z12" s="271">
        <f t="shared" si="5"/>
        <v>-8.6124878545216083E-2</v>
      </c>
      <c r="AI12" s="272" t="s">
        <v>44</v>
      </c>
      <c r="AJ12" s="273">
        <f>AJ11+(($AJ$5-$AJ$3)/20)</f>
        <v>1197470.2979710002</v>
      </c>
      <c r="AK12" s="274">
        <f>AK11+(($AJ$4-$AJ$3)/20)</f>
        <v>1193351.682244</v>
      </c>
      <c r="AL12" s="115">
        <f t="shared" ref="AL12:AL31" si="12">(AK12-AJ12)/AJ12*100</f>
        <v>-0.34394303841847057</v>
      </c>
      <c r="AM12" s="275"/>
      <c r="AN12" s="275"/>
      <c r="AO12" s="275"/>
    </row>
    <row r="13" spans="1:41" s="54" customFormat="1">
      <c r="A13" s="54" t="s">
        <v>38</v>
      </c>
      <c r="B13" s="54" t="s">
        <v>45</v>
      </c>
      <c r="C13" s="132">
        <f>C3*1000/C7</f>
        <v>3.8530088100642481</v>
      </c>
      <c r="D13" s="133">
        <f>D3*1000/D7</f>
        <v>3.8526110151504529</v>
      </c>
      <c r="E13" s="133">
        <f t="shared" ref="E13:Y13" si="13">E3*1000/E7</f>
        <v>2.6876375468946057</v>
      </c>
      <c r="F13" s="127">
        <f t="shared" si="0"/>
        <v>-0.30238543773938531</v>
      </c>
      <c r="G13" s="133">
        <f t="shared" ref="G13" si="14">G3*1000/G7</f>
        <v>2.2047203653698704</v>
      </c>
      <c r="H13" s="133">
        <f t="shared" si="13"/>
        <v>2.2043487093153762</v>
      </c>
      <c r="I13" s="133">
        <f t="shared" si="13"/>
        <v>1.5680800769987449</v>
      </c>
      <c r="J13" s="127">
        <f t="shared" si="1"/>
        <v>-0.28864245916620102</v>
      </c>
      <c r="K13" s="133">
        <f t="shared" ref="K13" si="15">K3*1000/K7</f>
        <v>5.5305842191696604</v>
      </c>
      <c r="L13" s="133">
        <f t="shared" si="13"/>
        <v>5.5305679571942346</v>
      </c>
      <c r="M13" s="133">
        <f t="shared" ref="M13:Q13" si="16">M3*1000/M7</f>
        <v>3.8588141211833999</v>
      </c>
      <c r="N13" s="127">
        <f t="shared" si="2"/>
        <v>-0.3022752543590384</v>
      </c>
      <c r="O13" s="133">
        <f>O3*1000/O7</f>
        <v>9.2914779783265491</v>
      </c>
      <c r="P13" s="133">
        <f>P3*1000/P7</f>
        <v>9.2914735001647042</v>
      </c>
      <c r="Q13" s="133">
        <f t="shared" si="16"/>
        <v>6.8270438775580971</v>
      </c>
      <c r="R13" s="127">
        <f t="shared" si="3"/>
        <v>-0.26523560795420897</v>
      </c>
      <c r="S13" s="133">
        <f t="shared" ref="S13" si="17">S3*1000/S7</f>
        <v>13.510477893386344</v>
      </c>
      <c r="T13" s="133">
        <f t="shared" ref="T13:U13" si="18">T3*1000/T7</f>
        <v>13.510857795195289</v>
      </c>
      <c r="U13" s="133">
        <f t="shared" si="18"/>
        <v>10.35757553143787</v>
      </c>
      <c r="V13" s="127">
        <f t="shared" si="4"/>
        <v>-0.23338875381241775</v>
      </c>
      <c r="W13" s="133">
        <f t="shared" ref="W13" si="19">W3*1000/W7</f>
        <v>7.850208971648919</v>
      </c>
      <c r="X13" s="133">
        <f t="shared" si="13"/>
        <v>7.6496792544105583</v>
      </c>
      <c r="Y13" s="133">
        <f t="shared" si="13"/>
        <v>5.5604432415283291</v>
      </c>
      <c r="Z13" s="127">
        <f t="shared" si="5"/>
        <v>-0.27311419778517421</v>
      </c>
      <c r="AI13" s="196" t="s">
        <v>46</v>
      </c>
      <c r="AJ13" s="124">
        <f t="shared" ref="AJ13:AJ31" si="20">AJ12+(($AJ$5-$AJ$3)/20)</f>
        <v>1217563.5460520003</v>
      </c>
      <c r="AK13" s="199">
        <f t="shared" ref="AK13:AK31" si="21">AK12+(($AJ$4-$AJ$3)/20)</f>
        <v>1209326.3145979999</v>
      </c>
      <c r="AL13" s="115">
        <f t="shared" si="12"/>
        <v>-0.67653400766718941</v>
      </c>
    </row>
    <row r="14" spans="1:41" s="54" customFormat="1">
      <c r="A14" s="54" t="s">
        <v>47</v>
      </c>
      <c r="B14" s="54" t="s">
        <v>48</v>
      </c>
      <c r="C14" s="134">
        <f>C17/C12</f>
        <v>48.937476959806197</v>
      </c>
      <c r="D14" s="135">
        <f>D17/D12</f>
        <v>48.937065893111296</v>
      </c>
      <c r="E14" s="135">
        <f t="shared" ref="E14:Y14" si="22">E17/E12</f>
        <v>52.625843416822832</v>
      </c>
      <c r="F14" s="127">
        <f t="shared" si="0"/>
        <v>7.5377987143090922E-2</v>
      </c>
      <c r="G14" s="135">
        <f>G17/G12</f>
        <v>55.8119714676656</v>
      </c>
      <c r="H14" s="135">
        <f>H17/H12</f>
        <v>55.811660110149482</v>
      </c>
      <c r="I14" s="135">
        <f t="shared" si="22"/>
        <v>60.843015092199103</v>
      </c>
      <c r="J14" s="127">
        <f t="shared" si="1"/>
        <v>9.0148814282172848E-2</v>
      </c>
      <c r="K14" s="135">
        <f t="shared" ref="K14" si="23">K17/K12</f>
        <v>39.401571667473725</v>
      </c>
      <c r="L14" s="135">
        <f t="shared" si="22"/>
        <v>39.401547991772027</v>
      </c>
      <c r="M14" s="135">
        <f t="shared" ref="M14:Q14" si="24">M17/M12</f>
        <v>41.460584174307215</v>
      </c>
      <c r="N14" s="127">
        <f t="shared" si="2"/>
        <v>5.2257748425649751E-2</v>
      </c>
      <c r="O14" s="135">
        <f t="shared" ref="O14" si="25">O17/O12</f>
        <v>40.094692363858528</v>
      </c>
      <c r="P14" s="135">
        <f t="shared" si="24"/>
        <v>40.094689279072774</v>
      </c>
      <c r="Q14" s="135">
        <f t="shared" si="24"/>
        <v>41.121479097967821</v>
      </c>
      <c r="R14" s="127">
        <f t="shared" si="3"/>
        <v>2.5609122738132171E-2</v>
      </c>
      <c r="S14" s="135">
        <f t="shared" ref="S14" si="26">S17/S12</f>
        <v>39.602742697618787</v>
      </c>
      <c r="T14" s="135">
        <f t="shared" ref="T14:U14" si="27">T17/T12</f>
        <v>39.602969059311327</v>
      </c>
      <c r="U14" s="135">
        <f t="shared" si="27"/>
        <v>41.5758294160877</v>
      </c>
      <c r="V14" s="127">
        <f t="shared" si="4"/>
        <v>4.9815970964745632E-2</v>
      </c>
      <c r="W14" s="135">
        <f t="shared" ref="W14" si="28">W17/W12</f>
        <v>39.908197533779472</v>
      </c>
      <c r="X14" s="135">
        <f t="shared" si="22"/>
        <v>39.883835397475089</v>
      </c>
      <c r="Y14" s="135">
        <f t="shared" si="22"/>
        <v>41.285447449155221</v>
      </c>
      <c r="Z14" s="127">
        <f t="shared" si="5"/>
        <v>3.5142358745389457E-2</v>
      </c>
      <c r="AI14" s="196" t="s">
        <v>49</v>
      </c>
      <c r="AJ14" s="124">
        <f t="shared" si="20"/>
        <v>1237656.7941330003</v>
      </c>
      <c r="AK14" s="199">
        <f t="shared" si="21"/>
        <v>1225300.9469519998</v>
      </c>
      <c r="AL14" s="115">
        <f t="shared" si="12"/>
        <v>-0.99832580724901165</v>
      </c>
    </row>
    <row r="15" spans="1:41" ht="45">
      <c r="F15" s="127"/>
      <c r="J15" s="127"/>
      <c r="N15" s="127"/>
      <c r="R15" s="127"/>
      <c r="V15" s="268" t="s">
        <v>50</v>
      </c>
      <c r="W15" s="23">
        <f>W3/W8</f>
        <v>160.1835229520849</v>
      </c>
      <c r="X15" s="23">
        <f t="shared" ref="X15:Y15" si="29">X3/X8</f>
        <v>157.26034577377288</v>
      </c>
      <c r="Y15" s="23">
        <f t="shared" si="29"/>
        <v>112.05756443395721</v>
      </c>
      <c r="Z15" s="127">
        <f t="shared" si="5"/>
        <v>-0.28743915776989454</v>
      </c>
      <c r="AI15" s="196" t="s">
        <v>51</v>
      </c>
      <c r="AJ15" s="124">
        <f t="shared" si="20"/>
        <v>1257750.0422140004</v>
      </c>
      <c r="AK15" s="199">
        <f t="shared" si="21"/>
        <v>1241275.5793059997</v>
      </c>
      <c r="AL15" s="115">
        <f t="shared" si="12"/>
        <v>-1.3098360051732465</v>
      </c>
    </row>
    <row r="16" spans="1:41">
      <c r="A16" s="55" t="s">
        <v>52</v>
      </c>
      <c r="B16" s="55"/>
      <c r="C16" s="137"/>
      <c r="F16" s="127"/>
      <c r="J16" s="127"/>
      <c r="N16" s="127"/>
      <c r="R16" s="127"/>
      <c r="V16" s="239" t="s">
        <v>53</v>
      </c>
      <c r="W16" s="48">
        <f>W5/(W7/1000)</f>
        <v>5.3009323634373553</v>
      </c>
      <c r="X16" s="48">
        <f t="shared" ref="X16:Y16" si="30">X5/(X7/1000)</f>
        <v>5.1609442402043895</v>
      </c>
      <c r="Y16" s="48">
        <f t="shared" si="30"/>
        <v>3.5219851916035507</v>
      </c>
      <c r="Z16" s="127">
        <f t="shared" si="5"/>
        <v>-0.31756960980766785</v>
      </c>
      <c r="AI16" s="196" t="s">
        <v>54</v>
      </c>
      <c r="AJ16" s="124">
        <f t="shared" si="20"/>
        <v>1277843.2902950004</v>
      </c>
      <c r="AK16" s="199">
        <f t="shared" si="21"/>
        <v>1257250.2116599996</v>
      </c>
      <c r="AL16" s="115">
        <f t="shared" si="12"/>
        <v>-1.6115496157785341</v>
      </c>
    </row>
    <row r="17" spans="1:38">
      <c r="A17" s="55" t="s">
        <v>55</v>
      </c>
      <c r="B17" s="54" t="s">
        <v>56</v>
      </c>
      <c r="C17" s="234">
        <f>'Raw Results_new target'!G21</f>
        <v>83632.679999999993</v>
      </c>
      <c r="D17" s="235">
        <f>'Raw Results_new target'!H21</f>
        <v>126187.65</v>
      </c>
      <c r="E17" s="235">
        <f>'Raw Results_new target'!I21</f>
        <v>107555.12</v>
      </c>
      <c r="F17" s="228">
        <f t="shared" si="0"/>
        <v>-0.14765731828748693</v>
      </c>
      <c r="G17" s="235">
        <f>'Raw Results_new target'!K21</f>
        <v>49763.07</v>
      </c>
      <c r="H17" s="235">
        <f>'Raw Results_new target'!L21</f>
        <v>70936.62</v>
      </c>
      <c r="I17" s="235">
        <f>'Raw Results_new target'!M21</f>
        <v>65429.97</v>
      </c>
      <c r="J17" s="228">
        <f t="shared" si="1"/>
        <v>-7.7627747135400507E-2</v>
      </c>
      <c r="K17" s="235">
        <f>'Raw Results_new target'!O21</f>
        <v>9950550.5299999993</v>
      </c>
      <c r="L17" s="235">
        <f>'Raw Results_new target'!P21</f>
        <v>15380633.82</v>
      </c>
      <c r="M17" s="235">
        <f>'Raw Results_new target'!Q21</f>
        <v>13764667.67</v>
      </c>
      <c r="N17" s="228">
        <f t="shared" si="2"/>
        <v>-0.10506499074821614</v>
      </c>
      <c r="O17" s="235">
        <f>'Raw Results_new target'!S21</f>
        <v>24219549.350000001</v>
      </c>
      <c r="P17" s="235">
        <f>'Raw Results_new target'!T21</f>
        <v>30591303.690000001</v>
      </c>
      <c r="Q17" s="235">
        <f>'Raw Results_new target'!U21</f>
        <v>29634873.649999999</v>
      </c>
      <c r="R17" s="228">
        <f t="shared" si="3"/>
        <v>-3.1264768892888033E-2</v>
      </c>
      <c r="S17" s="235">
        <f>'Raw Results_new target'!W21</f>
        <v>1856668.06</v>
      </c>
      <c r="T17" s="235">
        <f>'Raw Results_new target'!X21</f>
        <v>2284441.4300000002</v>
      </c>
      <c r="U17" s="235">
        <f>'Raw Results_new target'!Y21</f>
        <v>2264044.2200000002</v>
      </c>
      <c r="V17" s="228">
        <f t="shared" si="4"/>
        <v>-8.9287515679489157E-3</v>
      </c>
      <c r="W17" s="235">
        <f>'Raw Results_new target'!AA21</f>
        <v>36160163.690000005</v>
      </c>
      <c r="X17" s="235">
        <f>'Raw Results_new target'!AB21</f>
        <v>48453503.210000001</v>
      </c>
      <c r="Y17" s="235">
        <f>'Raw Results_new target'!AC21</f>
        <v>45836570.629999995</v>
      </c>
      <c r="Z17" s="228">
        <f t="shared" si="5"/>
        <v>-5.400915117856564E-2</v>
      </c>
      <c r="AI17" s="196" t="s">
        <v>57</v>
      </c>
      <c r="AJ17" s="124">
        <f t="shared" si="20"/>
        <v>1297936.5383760005</v>
      </c>
      <c r="AK17" s="199">
        <f t="shared" si="21"/>
        <v>1273224.8440139994</v>
      </c>
      <c r="AL17" s="115">
        <f t="shared" si="12"/>
        <v>-1.9039216195362454</v>
      </c>
    </row>
    <row r="18" spans="1:38">
      <c r="A18" s="55" t="s">
        <v>58</v>
      </c>
      <c r="B18" s="54" t="s">
        <v>56</v>
      </c>
      <c r="C18" s="234">
        <f>'Raw Results_new target'!G22</f>
        <v>49436.15</v>
      </c>
      <c r="D18" s="235">
        <f>'Raw Results_new target'!H22</f>
        <v>74590.7</v>
      </c>
      <c r="E18" s="235">
        <f>'Raw Results_new target'!I22</f>
        <v>62237.33</v>
      </c>
      <c r="F18" s="228">
        <f t="shared" si="0"/>
        <v>-0.16561541854413481</v>
      </c>
      <c r="G18" s="235">
        <f>'Raw Results_new target'!K22</f>
        <v>3156.69</v>
      </c>
      <c r="H18" s="235">
        <f>'Raw Results_new target'!L22</f>
        <v>4499.8</v>
      </c>
      <c r="I18" s="235">
        <f>'Raw Results_new target'!M22</f>
        <v>3948.32</v>
      </c>
      <c r="J18" s="228">
        <f t="shared" si="1"/>
        <v>-0.12255655806924752</v>
      </c>
      <c r="K18" s="235">
        <f>'Raw Results_new target'!O22</f>
        <v>632047.61</v>
      </c>
      <c r="L18" s="235">
        <f>'Raw Results_new target'!P22</f>
        <v>976960.25</v>
      </c>
      <c r="M18" s="235">
        <f>'Raw Results_new target'!Q22</f>
        <v>862690.44</v>
      </c>
      <c r="N18" s="228">
        <f t="shared" si="2"/>
        <v>-0.11696464620745835</v>
      </c>
      <c r="O18" s="235">
        <f>'Raw Results_new target'!S22</f>
        <v>1659028.4</v>
      </c>
      <c r="P18" s="235">
        <f>'Raw Results_new target'!T22</f>
        <v>2095490.81</v>
      </c>
      <c r="Q18" s="235">
        <f>'Raw Results_new target'!U22</f>
        <v>1918340.86</v>
      </c>
      <c r="R18" s="228">
        <f t="shared" si="3"/>
        <v>-8.4538643240339453E-2</v>
      </c>
      <c r="S18" s="235">
        <f>'Raw Results_new target'!W22</f>
        <v>112236.78</v>
      </c>
      <c r="T18" s="235">
        <f>'Raw Results_new target'!X22</f>
        <v>138095.82999999999</v>
      </c>
      <c r="U18" s="235">
        <f>'Raw Results_new target'!Y22</f>
        <v>131251.53</v>
      </c>
      <c r="V18" s="228">
        <f t="shared" si="4"/>
        <v>-4.956195998097835E-2</v>
      </c>
      <c r="W18" s="235">
        <f>'Raw Results_new target'!AA22</f>
        <v>2455905.6299999994</v>
      </c>
      <c r="X18" s="235">
        <f>'Raw Results_new target'!AB22</f>
        <v>3289637.39</v>
      </c>
      <c r="Y18" s="235">
        <f>'Raw Results_new target'!AC22</f>
        <v>2978468.48</v>
      </c>
      <c r="Z18" s="228">
        <f t="shared" si="5"/>
        <v>-9.4590641189179855E-2</v>
      </c>
      <c r="AI18" s="196" t="s">
        <v>59</v>
      </c>
      <c r="AJ18" s="124">
        <f t="shared" si="20"/>
        <v>1318029.7864570005</v>
      </c>
      <c r="AK18" s="199">
        <f t="shared" si="21"/>
        <v>1289199.4763679993</v>
      </c>
      <c r="AL18" s="115">
        <f t="shared" si="12"/>
        <v>-2.1873792523687978</v>
      </c>
    </row>
    <row r="19" spans="1:38">
      <c r="A19" s="55" t="s">
        <v>60</v>
      </c>
      <c r="B19" s="54" t="s">
        <v>61</v>
      </c>
      <c r="C19" s="138">
        <f>'Raw Results_new target'!G24</f>
        <v>28072.44</v>
      </c>
      <c r="D19" s="139">
        <f>'Raw Results_new target'!H24</f>
        <v>42361.11</v>
      </c>
      <c r="E19" s="139">
        <f>'Raw Results_new target'!I24</f>
        <v>50868.32</v>
      </c>
      <c r="F19" s="127">
        <f t="shared" si="0"/>
        <v>0.20082594625117234</v>
      </c>
      <c r="G19" s="139">
        <f>'Raw Results_new target'!K24</f>
        <v>20247.97</v>
      </c>
      <c r="H19" s="139">
        <f>'Raw Results_new target'!L24</f>
        <v>28868.400000000001</v>
      </c>
      <c r="I19" s="139">
        <f>'Raw Results_new target'!M24</f>
        <v>38207.379999999997</v>
      </c>
      <c r="J19" s="127">
        <f t="shared" si="1"/>
        <v>0.32350182206149269</v>
      </c>
      <c r="K19" s="139">
        <f>'Raw Results_new target'!O24</f>
        <v>1602011.52</v>
      </c>
      <c r="L19" s="139">
        <f>'Raw Results_new target'!P24</f>
        <v>2476247.7599999998</v>
      </c>
      <c r="M19" s="139">
        <f>'Raw Results_new target'!Q24</f>
        <v>3180943.01</v>
      </c>
      <c r="N19" s="127">
        <f t="shared" si="2"/>
        <v>0.28458188287265734</v>
      </c>
      <c r="O19" s="139">
        <f>'Raw Results_new target'!S24</f>
        <v>2284232.4</v>
      </c>
      <c r="P19" s="139">
        <f>'Raw Results_new target'!T24</f>
        <v>2885176.8</v>
      </c>
      <c r="Q19" s="139">
        <f>'Raw Results_new target'!U24</f>
        <v>3815082.18</v>
      </c>
      <c r="R19" s="127">
        <f t="shared" si="3"/>
        <v>0.32230447021478908</v>
      </c>
      <c r="S19" s="139">
        <f>'Raw Results_new target'!W24</f>
        <v>85114.8</v>
      </c>
      <c r="T19" s="139">
        <f>'Raw Results_new target'!X24</f>
        <v>104722.2</v>
      </c>
      <c r="U19" s="139">
        <f>'Raw Results_new target'!Y24</f>
        <v>135771.28</v>
      </c>
      <c r="V19" s="127">
        <f t="shared" si="4"/>
        <v>0.29648995150980406</v>
      </c>
      <c r="W19" s="139">
        <f>'Raw Results_new target'!AA24</f>
        <v>4019679.13</v>
      </c>
      <c r="X19" s="139">
        <f>'Raw Results_new target'!AB24</f>
        <v>5537376.2699999996</v>
      </c>
      <c r="Y19" s="139">
        <f>'Raw Results_new target'!AC24</f>
        <v>7220872.1700000009</v>
      </c>
      <c r="Z19" s="127">
        <f t="shared" si="5"/>
        <v>0.30402411140466012</v>
      </c>
      <c r="AI19" s="196" t="s">
        <v>62</v>
      </c>
      <c r="AJ19" s="124">
        <f t="shared" si="20"/>
        <v>1338123.0345380006</v>
      </c>
      <c r="AK19" s="199">
        <f t="shared" si="21"/>
        <v>1305174.1087219992</v>
      </c>
      <c r="AL19" s="115">
        <f t="shared" si="12"/>
        <v>-2.4623240887096225</v>
      </c>
    </row>
    <row r="20" spans="1:38">
      <c r="A20" s="55" t="s">
        <v>63</v>
      </c>
      <c r="B20" s="54" t="s">
        <v>61</v>
      </c>
      <c r="C20" s="138">
        <f>'Raw Results_new target'!G25</f>
        <v>3256.75</v>
      </c>
      <c r="D20" s="139">
        <f>'Raw Results_new target'!H25</f>
        <v>4914.3999999999996</v>
      </c>
      <c r="E20" s="139">
        <f>'Raw Results_new target'!I25</f>
        <v>5320.28</v>
      </c>
      <c r="F20" s="127">
        <f t="shared" si="0"/>
        <v>8.2589939768842616E-2</v>
      </c>
      <c r="G20" s="139">
        <f>'Raw Results_new target'!K25</f>
        <v>1918.48</v>
      </c>
      <c r="H20" s="139">
        <f>'Raw Results_new target'!L25</f>
        <v>2735.24</v>
      </c>
      <c r="I20" s="139">
        <f>'Raw Results_new target'!M25</f>
        <v>3148.08</v>
      </c>
      <c r="J20" s="127">
        <f t="shared" si="1"/>
        <v>0.1509337389040816</v>
      </c>
      <c r="K20" s="139">
        <f>'Raw Results_new target'!O25</f>
        <v>327374.21000000002</v>
      </c>
      <c r="L20" s="139">
        <f>'Raw Results_new target'!P25</f>
        <v>506026.02</v>
      </c>
      <c r="M20" s="139">
        <f>'Raw Results_new target'!Q25</f>
        <v>589981.80000000005</v>
      </c>
      <c r="N20" s="127">
        <f t="shared" si="2"/>
        <v>0.1659119821545936</v>
      </c>
      <c r="O20" s="139">
        <f>'Raw Results_new target'!S25</f>
        <v>744907.2</v>
      </c>
      <c r="P20" s="139">
        <f>'Raw Results_new target'!T25</f>
        <v>940880.2</v>
      </c>
      <c r="Q20" s="139">
        <f>'Raw Results_new target'!U25</f>
        <v>1437888.62</v>
      </c>
      <c r="R20" s="127">
        <f t="shared" si="3"/>
        <v>0.52823772888408127</v>
      </c>
      <c r="S20" s="139">
        <f>'Raw Results_new target'!W25</f>
        <v>33951.550000000003</v>
      </c>
      <c r="T20" s="139">
        <f>'Raw Results_new target'!X25</f>
        <v>41772.769999999997</v>
      </c>
      <c r="U20" s="139">
        <f>'Raw Results_new target'!Y25</f>
        <v>54573.27</v>
      </c>
      <c r="V20" s="127">
        <f t="shared" si="4"/>
        <v>0.30643167786096065</v>
      </c>
      <c r="W20" s="139">
        <f>'Raw Results_new target'!AA25</f>
        <v>1111408.19</v>
      </c>
      <c r="X20" s="139">
        <f>'Raw Results_new target'!AB25</f>
        <v>1496328.63</v>
      </c>
      <c r="Y20" s="139">
        <f>'Raw Results_new target'!AC25</f>
        <v>2090912.0500000003</v>
      </c>
      <c r="Z20" s="127">
        <f t="shared" si="5"/>
        <v>0.39736152077769205</v>
      </c>
      <c r="AI20" s="196" t="s">
        <v>64</v>
      </c>
      <c r="AJ20" s="124">
        <f t="shared" si="20"/>
        <v>1358216.2826190006</v>
      </c>
      <c r="AK20" s="199">
        <f t="shared" si="21"/>
        <v>1321148.7410759991</v>
      </c>
      <c r="AL20" s="115">
        <f t="shared" si="12"/>
        <v>-2.7291339396642709</v>
      </c>
    </row>
    <row r="21" spans="1:38">
      <c r="A21" s="55" t="s">
        <v>65</v>
      </c>
      <c r="B21" s="54" t="s">
        <v>61</v>
      </c>
      <c r="C21" s="138">
        <f>'Raw Results_new target'!G26</f>
        <v>149502.57999999999</v>
      </c>
      <c r="D21" s="139">
        <f>'Raw Results_new target'!H26</f>
        <v>225590.97</v>
      </c>
      <c r="E21" s="139">
        <f>'Raw Results_new target'!I26</f>
        <v>221303.03</v>
      </c>
      <c r="F21" s="127">
        <f t="shared" si="0"/>
        <v>-1.9007587050137699E-2</v>
      </c>
      <c r="G21" s="139">
        <f>'Raw Results_new target'!K26</f>
        <v>92561.33</v>
      </c>
      <c r="H21" s="139">
        <f>'Raw Results_new target'!L26</f>
        <v>131961.63</v>
      </c>
      <c r="I21" s="139">
        <f>'Raw Results_new target'!M26</f>
        <v>141465.94</v>
      </c>
      <c r="J21" s="127">
        <f t="shared" si="1"/>
        <v>7.2023284344093025E-2</v>
      </c>
      <c r="K21" s="139">
        <f>'Raw Results_new target'!O26</f>
        <v>17307159.289999999</v>
      </c>
      <c r="L21" s="139">
        <f>'Raw Results_new target'!P26</f>
        <v>26751847.059999999</v>
      </c>
      <c r="M21" s="139">
        <f>'Raw Results_new target'!Q26</f>
        <v>22017244.649999999</v>
      </c>
      <c r="N21" s="127">
        <f t="shared" si="2"/>
        <v>-0.17698226217356375</v>
      </c>
      <c r="O21" s="139">
        <f>'Raw Results_new target'!S26</f>
        <v>26684015.870000001</v>
      </c>
      <c r="P21" s="139">
        <f>'Raw Results_new target'!T26</f>
        <v>33704137.600000001</v>
      </c>
      <c r="Q21" s="139">
        <f>'Raw Results_new target'!U26</f>
        <v>28310327.550000001</v>
      </c>
      <c r="R21" s="127">
        <f t="shared" si="3"/>
        <v>-0.16003406210874241</v>
      </c>
      <c r="S21" s="139">
        <f>'Raw Results_new target'!W26</f>
        <v>615258.11</v>
      </c>
      <c r="T21" s="139">
        <f>'Raw Results_new target'!X26</f>
        <v>757033.97</v>
      </c>
      <c r="U21" s="139">
        <f>'Raw Results_new target'!Y26</f>
        <v>758167.64</v>
      </c>
      <c r="V21" s="127">
        <f t="shared" si="4"/>
        <v>1.497515362487686E-3</v>
      </c>
      <c r="W21" s="139">
        <f>'Raw Results_new target'!AA26</f>
        <v>44848497.18</v>
      </c>
      <c r="X21" s="139">
        <f>'Raw Results_new target'!AB26</f>
        <v>61570571.230000004</v>
      </c>
      <c r="Y21" s="139">
        <f>'Raw Results_new target'!AC26</f>
        <v>51448508.810000002</v>
      </c>
      <c r="Z21" s="127">
        <f t="shared" si="5"/>
        <v>-0.1643977344661709</v>
      </c>
      <c r="AI21" s="196" t="s">
        <v>66</v>
      </c>
      <c r="AJ21" s="124">
        <f t="shared" si="20"/>
        <v>1378309.5307000007</v>
      </c>
      <c r="AK21" s="199">
        <f t="shared" si="21"/>
        <v>1337123.373429999</v>
      </c>
      <c r="AL21" s="115">
        <f t="shared" si="12"/>
        <v>-2.9881645851410852</v>
      </c>
    </row>
    <row r="22" spans="1:38">
      <c r="A22" s="55" t="s">
        <v>67</v>
      </c>
      <c r="B22" s="55" t="s">
        <v>61</v>
      </c>
      <c r="C22" s="138">
        <f>'Raw Results_new target'!G27</f>
        <v>440.99</v>
      </c>
      <c r="D22" s="139">
        <f>'Raw Results_new target'!H27</f>
        <v>665.31</v>
      </c>
      <c r="E22" s="139">
        <f>'Raw Results_new target'!I27</f>
        <v>576.51</v>
      </c>
      <c r="F22" s="127">
        <f t="shared" si="0"/>
        <v>-0.13347161473598768</v>
      </c>
      <c r="G22" s="139">
        <f>'Raw Results_new target'!K27</f>
        <v>241.23</v>
      </c>
      <c r="H22" s="139">
        <f>'Raw Results_new target'!L27</f>
        <v>343.79</v>
      </c>
      <c r="I22" s="139">
        <f>'Raw Results_new target'!M27</f>
        <v>317.72000000000003</v>
      </c>
      <c r="J22" s="127">
        <f t="shared" si="1"/>
        <v>-7.5831176008609877E-2</v>
      </c>
      <c r="K22" s="139">
        <f>'Raw Results_new target'!O27</f>
        <v>54829.87</v>
      </c>
      <c r="L22" s="139">
        <f>'Raw Results_new target'!P27</f>
        <v>84750.64</v>
      </c>
      <c r="M22" s="139">
        <f>'Raw Results_new target'!Q27</f>
        <v>73000.09</v>
      </c>
      <c r="N22" s="127">
        <f t="shared" si="2"/>
        <v>-0.13864851050092369</v>
      </c>
      <c r="O22" s="139">
        <f>'Raw Results_new target'!S27</f>
        <v>116448.01</v>
      </c>
      <c r="P22" s="139">
        <f>'Raw Results_new target'!T27</f>
        <v>147083.43</v>
      </c>
      <c r="Q22" s="139">
        <f>'Raw Results_new target'!U27</f>
        <v>149844.99</v>
      </c>
      <c r="R22" s="127">
        <f t="shared" si="3"/>
        <v>1.8775466413857751E-2</v>
      </c>
      <c r="S22" s="139">
        <f>'Raw Results_new target'!W27</f>
        <v>4931.5200000000004</v>
      </c>
      <c r="T22" s="139">
        <f>'Raw Results_new target'!X27</f>
        <v>6067.92</v>
      </c>
      <c r="U22" s="139">
        <f>'Raw Results_new target'!Y27</f>
        <v>6144.78</v>
      </c>
      <c r="V22" s="127">
        <f t="shared" si="4"/>
        <v>1.2666613930308849E-2</v>
      </c>
      <c r="W22" s="139">
        <f>'Raw Results_new target'!AA27</f>
        <v>176891.62</v>
      </c>
      <c r="X22" s="139">
        <f>'Raw Results_new target'!AB27</f>
        <v>238911.09</v>
      </c>
      <c r="Y22" s="139">
        <f>'Raw Results_new target'!AC27</f>
        <v>229884.09</v>
      </c>
      <c r="Z22" s="127">
        <f t="shared" si="5"/>
        <v>-3.7783930415285452E-2</v>
      </c>
      <c r="AI22" s="196" t="s">
        <v>68</v>
      </c>
      <c r="AJ22" s="124">
        <f t="shared" si="20"/>
        <v>1398402.7787810008</v>
      </c>
      <c r="AK22" s="199">
        <f t="shared" si="21"/>
        <v>1353098.0057839989</v>
      </c>
      <c r="AL22" s="115">
        <f t="shared" si="12"/>
        <v>-3.2397513566509377</v>
      </c>
    </row>
    <row r="23" spans="1:38">
      <c r="A23" s="55" t="s">
        <v>69</v>
      </c>
      <c r="B23" s="55" t="s">
        <v>61</v>
      </c>
      <c r="C23" s="138">
        <f>'Raw Results_new target'!G28</f>
        <v>40506.49</v>
      </c>
      <c r="D23" s="139">
        <f>'Raw Results_new target'!H28</f>
        <v>61125.3</v>
      </c>
      <c r="E23" s="139">
        <f>'Raw Results_new target'!I28</f>
        <v>55632.2</v>
      </c>
      <c r="F23" s="127">
        <f t="shared" si="0"/>
        <v>-8.9866225605436792E-2</v>
      </c>
      <c r="G23" s="139">
        <f>'Raw Results_new target'!K28</f>
        <v>24425.57</v>
      </c>
      <c r="H23" s="139">
        <f>'Raw Results_new target'!L28</f>
        <v>34825.69</v>
      </c>
      <c r="I23" s="139">
        <f>'Raw Results_new target'!M28</f>
        <v>33742.269999999997</v>
      </c>
      <c r="J23" s="127">
        <f t="shared" si="1"/>
        <v>-3.1109792799511093E-2</v>
      </c>
      <c r="K23" s="139">
        <f>'Raw Results_new target'!O28</f>
        <v>4633311.47</v>
      </c>
      <c r="L23" s="139">
        <f>'Raw Results_new target'!P28</f>
        <v>7161760.7599999998</v>
      </c>
      <c r="M23" s="139">
        <f>'Raw Results_new target'!Q28</f>
        <v>6932560.1100000003</v>
      </c>
      <c r="N23" s="127">
        <f t="shared" si="2"/>
        <v>-3.2003393813450902E-2</v>
      </c>
      <c r="O23" s="139">
        <f>'Raw Results_new target'!S28</f>
        <v>11433331.77</v>
      </c>
      <c r="P23" s="139">
        <f>'Raw Results_new target'!T28</f>
        <v>14441255.76</v>
      </c>
      <c r="Q23" s="139">
        <f>'Raw Results_new target'!U28</f>
        <v>16357640.289999999</v>
      </c>
      <c r="R23" s="127">
        <f t="shared" si="3"/>
        <v>0.13270206980947474</v>
      </c>
      <c r="S23" s="139">
        <f>'Raw Results_new target'!W28</f>
        <v>169721.81</v>
      </c>
      <c r="T23" s="139">
        <f>'Raw Results_new target'!X28</f>
        <v>208831.7</v>
      </c>
      <c r="U23" s="139">
        <f>'Raw Results_new target'!Y28</f>
        <v>211476.84</v>
      </c>
      <c r="V23" s="127">
        <f t="shared" si="4"/>
        <v>1.2666372011528829E-2</v>
      </c>
      <c r="W23" s="139">
        <f>'Raw Results_new target'!AA28</f>
        <v>16301297.109999999</v>
      </c>
      <c r="X23" s="139">
        <f>'Raw Results_new target'!AB28</f>
        <v>21907799.209999997</v>
      </c>
      <c r="Y23" s="139">
        <f>'Raw Results_new target'!AC28</f>
        <v>23591051.709999997</v>
      </c>
      <c r="Z23" s="127">
        <f t="shared" si="5"/>
        <v>7.6833482170663006E-2</v>
      </c>
      <c r="AC23" s="116" t="s">
        <v>70</v>
      </c>
      <c r="AD23" s="40"/>
      <c r="AE23" s="40"/>
      <c r="AI23" s="196" t="s">
        <v>71</v>
      </c>
      <c r="AJ23" s="124">
        <f t="shared" si="20"/>
        <v>1418496.0268620008</v>
      </c>
      <c r="AK23" s="199">
        <f t="shared" si="21"/>
        <v>1369072.6381379988</v>
      </c>
      <c r="AL23" s="115">
        <f t="shared" si="12"/>
        <v>-3.4842105855831376</v>
      </c>
    </row>
    <row r="24" spans="1:38">
      <c r="A24" t="s">
        <v>72</v>
      </c>
      <c r="B24" t="s">
        <v>73</v>
      </c>
      <c r="C24" s="138">
        <f>'Raw Results_new target'!G29</f>
        <v>363.58</v>
      </c>
      <c r="D24" s="139">
        <f>'Raw Results_new target'!H29</f>
        <v>548.59</v>
      </c>
      <c r="E24" s="139">
        <f>'Raw Results_new target'!I29</f>
        <v>491.94</v>
      </c>
      <c r="F24" s="127">
        <f t="shared" si="0"/>
        <v>-0.10326473322517733</v>
      </c>
      <c r="G24" s="139">
        <f>'Raw Results_new target'!K29</f>
        <v>219.07</v>
      </c>
      <c r="H24" s="139">
        <f>'Raw Results_new target'!L29</f>
        <v>312.3</v>
      </c>
      <c r="I24" s="139">
        <f>'Raw Results_new target'!M29</f>
        <v>304.56</v>
      </c>
      <c r="J24" s="127">
        <f t="shared" si="1"/>
        <v>-2.4783861671469769E-2</v>
      </c>
      <c r="K24" s="139">
        <f>'Raw Results_new target'!O29</f>
        <v>42890.94</v>
      </c>
      <c r="L24" s="139">
        <f>'Raw Results_new target'!P29</f>
        <v>66296.86</v>
      </c>
      <c r="M24" s="139">
        <f>'Raw Results_new target'!Q29</f>
        <v>60184.14</v>
      </c>
      <c r="N24" s="127">
        <f t="shared" si="2"/>
        <v>-9.2202255129428465E-2</v>
      </c>
      <c r="O24" s="139">
        <f>'Raw Results_new target'!S29</f>
        <v>91195.25</v>
      </c>
      <c r="P24" s="139">
        <f>'Raw Results_new target'!T29</f>
        <v>115187.19</v>
      </c>
      <c r="Q24" s="139">
        <f>'Raw Results_new target'!U29</f>
        <v>113297.19</v>
      </c>
      <c r="R24" s="127">
        <f t="shared" si="3"/>
        <v>-1.640807454370577E-2</v>
      </c>
      <c r="S24" s="139">
        <f>'Raw Results_new target'!W29</f>
        <v>6850.74</v>
      </c>
      <c r="T24" s="139">
        <f>'Raw Results_new target'!X29</f>
        <v>8429.14</v>
      </c>
      <c r="U24" s="139">
        <f>'Raw Results_new target'!Y29</f>
        <v>8406.2099999999991</v>
      </c>
      <c r="V24" s="127">
        <f t="shared" si="4"/>
        <v>-2.7203249679089792E-3</v>
      </c>
      <c r="W24" s="139">
        <f>'Raw Results_new target'!AA29</f>
        <v>141519.57999999999</v>
      </c>
      <c r="X24" s="139">
        <f>'Raw Results_new target'!AB29</f>
        <v>190774.08000000002</v>
      </c>
      <c r="Y24" s="139">
        <f>'Raw Results_new target'!AC29</f>
        <v>182684.04</v>
      </c>
      <c r="Z24" s="127">
        <f t="shared" si="5"/>
        <v>-4.2406389798865796E-2</v>
      </c>
      <c r="AC24" s="40" t="s">
        <v>18</v>
      </c>
      <c r="AD24" s="40" t="s">
        <v>19</v>
      </c>
      <c r="AE24" s="116" t="s">
        <v>24</v>
      </c>
      <c r="AI24" s="196" t="s">
        <v>74</v>
      </c>
      <c r="AJ24" s="124">
        <f t="shared" si="20"/>
        <v>1438589.2749430009</v>
      </c>
      <c r="AK24" s="199">
        <f t="shared" si="21"/>
        <v>1385047.2704919986</v>
      </c>
      <c r="AL24" s="115">
        <f t="shared" si="12"/>
        <v>-3.7218409301100652</v>
      </c>
    </row>
    <row r="25" spans="1:38">
      <c r="A25" t="s">
        <v>75</v>
      </c>
      <c r="B25" t="s">
        <v>73</v>
      </c>
      <c r="C25" s="138">
        <f>'Raw Results_new target'!G30</f>
        <v>1541.58</v>
      </c>
      <c r="D25" s="139">
        <f>'Raw Results_new target'!H30</f>
        <v>2326.06</v>
      </c>
      <c r="E25" s="139">
        <f>'Raw Results_new target'!I30</f>
        <v>2239.9499999999998</v>
      </c>
      <c r="F25" s="127">
        <f t="shared" si="0"/>
        <v>-3.7019681349578309E-2</v>
      </c>
      <c r="G25" s="139">
        <f>'Raw Results_new target'!K30</f>
        <v>917.34</v>
      </c>
      <c r="H25" s="139">
        <f>'Raw Results_new target'!L30</f>
        <v>1307.69</v>
      </c>
      <c r="I25" s="139">
        <f>'Raw Results_new target'!M30</f>
        <v>1373.48</v>
      </c>
      <c r="J25" s="127">
        <f t="shared" si="1"/>
        <v>5.0310088782509588E-2</v>
      </c>
      <c r="K25" s="139">
        <f>'Raw Results_new target'!O30</f>
        <v>192338.18</v>
      </c>
      <c r="L25" s="139">
        <f>'Raw Results_new target'!P30</f>
        <v>297900.71000000002</v>
      </c>
      <c r="M25" s="139">
        <f>'Raw Results_new target'!Q30</f>
        <v>293931.55</v>
      </c>
      <c r="N25" s="127">
        <f t="shared" si="2"/>
        <v>-1.3323768177659033E-2</v>
      </c>
      <c r="O25" s="139">
        <f>'Raw Results_new target'!S30</f>
        <v>675939</v>
      </c>
      <c r="P25" s="139">
        <f>'Raw Results_new target'!T30</f>
        <v>854682.23</v>
      </c>
      <c r="Q25" s="139">
        <f>'Raw Results_new target'!U30</f>
        <v>1009592.24</v>
      </c>
      <c r="R25" s="127">
        <f t="shared" si="3"/>
        <v>0.18124866127145292</v>
      </c>
      <c r="S25" s="139">
        <f>'Raw Results_new target'!W30</f>
        <v>66831.05</v>
      </c>
      <c r="T25" s="139">
        <f>'Raw Results_new target'!X30</f>
        <v>82230.98</v>
      </c>
      <c r="U25" s="139">
        <f>'Raw Results_new target'!Y30</f>
        <v>89880.55</v>
      </c>
      <c r="V25" s="127">
        <f t="shared" si="4"/>
        <v>9.3025402348360764E-2</v>
      </c>
      <c r="W25" s="139">
        <f>'Raw Results_new target'!AA30</f>
        <v>937567.15</v>
      </c>
      <c r="X25" s="139">
        <f>'Raw Results_new target'!AB30</f>
        <v>1238447.67</v>
      </c>
      <c r="Y25" s="139">
        <f>'Raw Results_new target'!AC30</f>
        <v>1397017.77</v>
      </c>
      <c r="Z25" s="127">
        <f t="shared" si="5"/>
        <v>0.12803940274682749</v>
      </c>
      <c r="AC25" s="118">
        <f>X16</f>
        <v>5.1609442402043895</v>
      </c>
      <c r="AD25" s="118">
        <f>Y16</f>
        <v>3.5219851916035507</v>
      </c>
      <c r="AE25" s="117">
        <f>(AD25-AC25)/AC25</f>
        <v>-0.31756960980766785</v>
      </c>
      <c r="AI25" s="196" t="s">
        <v>76</v>
      </c>
      <c r="AJ25" s="124">
        <f t="shared" si="20"/>
        <v>1458682.5230240009</v>
      </c>
      <c r="AK25" s="199">
        <f t="shared" si="21"/>
        <v>1401021.9028459985</v>
      </c>
      <c r="AL25" s="115">
        <f t="shared" si="12"/>
        <v>-3.9529245924237113</v>
      </c>
    </row>
    <row r="26" spans="1:38">
      <c r="A26" t="s">
        <v>77</v>
      </c>
      <c r="B26" s="55" t="s">
        <v>73</v>
      </c>
      <c r="C26" s="137">
        <f>'Raw Results_new target'!G41</f>
        <v>0.27</v>
      </c>
      <c r="D26" s="55">
        <f>'Raw Results_new target'!H41</f>
        <v>0.41</v>
      </c>
      <c r="E26" s="55">
        <f>'Raw Results_new target'!I41</f>
        <v>0.36</v>
      </c>
      <c r="F26" s="127">
        <f t="shared" si="0"/>
        <v>-0.12195121951219511</v>
      </c>
      <c r="G26" s="55">
        <f>'Raw Results_new target'!K41</f>
        <v>0.17</v>
      </c>
      <c r="H26" s="55">
        <f>'Raw Results_new target'!L41</f>
        <v>0.24</v>
      </c>
      <c r="I26" s="55">
        <f>'Raw Results_new target'!M41</f>
        <v>0.23</v>
      </c>
      <c r="J26" s="127">
        <f t="shared" si="1"/>
        <v>-4.1666666666666588E-2</v>
      </c>
      <c r="K26" s="55">
        <f>'Raw Results_new target'!O41</f>
        <v>31.86</v>
      </c>
      <c r="L26" s="55">
        <f>'Raw Results_new target'!P41</f>
        <v>49.25</v>
      </c>
      <c r="M26" s="55">
        <f>'Raw Results_new target'!Q41</f>
        <v>46.22</v>
      </c>
      <c r="N26" s="127">
        <f t="shared" si="2"/>
        <v>-6.1522842639593935E-2</v>
      </c>
      <c r="O26" s="55">
        <f>'Raw Results_new target'!S41</f>
        <v>102.05</v>
      </c>
      <c r="P26" s="55">
        <f>'Raw Results_new target'!T41</f>
        <v>128.9</v>
      </c>
      <c r="Q26" s="55">
        <f>'Raw Results_new target'!U41</f>
        <v>102.15</v>
      </c>
      <c r="R26" s="127">
        <f t="shared" si="3"/>
        <v>-0.20752521334367727</v>
      </c>
      <c r="S26" s="55">
        <f>'Raw Results_new target'!W41</f>
        <v>8.24</v>
      </c>
      <c r="T26" s="55">
        <f>'Raw Results_new target'!X41</f>
        <v>10.14</v>
      </c>
      <c r="U26" s="55">
        <f>'Raw Results_new target'!Y41</f>
        <v>7.42</v>
      </c>
      <c r="V26" s="127">
        <f t="shared" si="4"/>
        <v>-0.26824457593688367</v>
      </c>
      <c r="W26" s="55">
        <f>'Raw Results_new target'!AA41</f>
        <v>142.59</v>
      </c>
      <c r="X26" s="55">
        <f>'Raw Results_new target'!AB41</f>
        <v>188.94</v>
      </c>
      <c r="Y26" s="55">
        <f>'Raw Results_new target'!AC41</f>
        <v>156.38</v>
      </c>
      <c r="Z26" s="127">
        <f t="shared" si="5"/>
        <v>-0.17232984016089764</v>
      </c>
      <c r="AC26" s="53"/>
      <c r="AI26" s="196" t="s">
        <v>78</v>
      </c>
      <c r="AJ26" s="124">
        <f t="shared" si="20"/>
        <v>1478775.771105001</v>
      </c>
      <c r="AK26" s="199">
        <f t="shared" si="21"/>
        <v>1416996.5351999984</v>
      </c>
      <c r="AL26" s="115">
        <f t="shared" si="12"/>
        <v>-4.1777284367351131</v>
      </c>
    </row>
    <row r="27" spans="1:38">
      <c r="A27" t="s">
        <v>79</v>
      </c>
      <c r="B27" s="55" t="s">
        <v>73</v>
      </c>
      <c r="C27" s="147">
        <f>'Raw Results_new target'!G42</f>
        <v>700.87</v>
      </c>
      <c r="D27" s="140">
        <f>'Raw Results_new target'!H42</f>
        <v>1057.48</v>
      </c>
      <c r="E27" s="140">
        <f>'Raw Results_new target'!I42</f>
        <v>532.41</v>
      </c>
      <c r="F27" s="127">
        <f t="shared" si="0"/>
        <v>-0.49652948519120932</v>
      </c>
      <c r="G27" s="140">
        <f>'Raw Results_new target'!K42</f>
        <v>311.72000000000003</v>
      </c>
      <c r="H27" s="140">
        <f>'Raw Results_new target'!L42</f>
        <v>444.34</v>
      </c>
      <c r="I27" s="140">
        <f>'Raw Results_new target'!M42</f>
        <v>471.85</v>
      </c>
      <c r="J27" s="127">
        <f t="shared" si="1"/>
        <v>6.1912049331593035E-2</v>
      </c>
      <c r="K27" s="140">
        <f>'Raw Results_new target'!O42</f>
        <v>67717.3</v>
      </c>
      <c r="L27" s="140">
        <f>'Raw Results_new target'!P42</f>
        <v>104671.06</v>
      </c>
      <c r="M27" s="140">
        <f>'Raw Results_new target'!Q42</f>
        <v>98433.36</v>
      </c>
      <c r="N27" s="127">
        <f t="shared" si="2"/>
        <v>-5.9593358469857832E-2</v>
      </c>
      <c r="O27" s="140">
        <f>'Raw Results_new target'!S42</f>
        <v>168709.87</v>
      </c>
      <c r="P27" s="140">
        <f>'Raw Results_new target'!T42</f>
        <v>213094.57</v>
      </c>
      <c r="Q27" s="140">
        <f>'Raw Results_new target'!U42</f>
        <v>229382.16</v>
      </c>
      <c r="R27" s="127">
        <f t="shared" si="3"/>
        <v>7.6433622874576279E-2</v>
      </c>
      <c r="S27" s="140">
        <f>'Raw Results_new target'!W42</f>
        <v>12547.34</v>
      </c>
      <c r="T27" s="140">
        <f>'Raw Results_new target'!X42</f>
        <v>15438.22</v>
      </c>
      <c r="U27" s="140">
        <f>'Raw Results_new target'!Y42</f>
        <v>16380.66</v>
      </c>
      <c r="V27" s="127">
        <f t="shared" si="4"/>
        <v>6.1045897778370856E-2</v>
      </c>
      <c r="W27" s="140">
        <f>'Raw Results_new target'!AA42</f>
        <v>249987.1</v>
      </c>
      <c r="X27" s="140">
        <f>'Raw Results_new target'!AB42</f>
        <v>334705.67</v>
      </c>
      <c r="Y27" s="140">
        <f>'Raw Results_new target'!AC42</f>
        <v>345200.44</v>
      </c>
      <c r="Z27" s="127">
        <f t="shared" si="5"/>
        <v>3.1355220244700423E-2</v>
      </c>
      <c r="AI27" s="196" t="s">
        <v>80</v>
      </c>
      <c r="AJ27" s="124">
        <f t="shared" si="20"/>
        <v>1498869.019186001</v>
      </c>
      <c r="AK27" s="199">
        <f t="shared" si="21"/>
        <v>1432971.1675539983</v>
      </c>
      <c r="AL27" s="115">
        <f t="shared" si="12"/>
        <v>-4.3965050173490301</v>
      </c>
    </row>
    <row r="28" spans="1:38">
      <c r="A28" s="55"/>
      <c r="B28" s="55"/>
      <c r="C28" s="137"/>
      <c r="F28" s="127"/>
      <c r="J28" s="127"/>
      <c r="N28" s="127"/>
      <c r="R28" s="127"/>
      <c r="V28" s="127"/>
      <c r="X28" s="22"/>
      <c r="Y28" s="22"/>
      <c r="Z28" s="127"/>
      <c r="AI28" s="196" t="s">
        <v>81</v>
      </c>
      <c r="AJ28" s="124">
        <f t="shared" si="20"/>
        <v>1518962.2672670011</v>
      </c>
      <c r="AK28" s="199">
        <f t="shared" si="21"/>
        <v>1448945.7999079982</v>
      </c>
      <c r="AL28" s="115">
        <f t="shared" si="12"/>
        <v>-4.6094935251407083</v>
      </c>
    </row>
    <row r="29" spans="1:38">
      <c r="A29" s="55"/>
      <c r="B29" s="55"/>
      <c r="C29" s="137"/>
      <c r="F29" s="127"/>
      <c r="J29" s="127"/>
      <c r="N29" s="127"/>
      <c r="R29" s="127"/>
      <c r="V29" s="127"/>
      <c r="X29" s="22"/>
      <c r="Y29" s="22"/>
      <c r="Z29" s="127"/>
      <c r="AI29" s="196" t="s">
        <v>82</v>
      </c>
      <c r="AJ29" s="124">
        <f t="shared" si="20"/>
        <v>1539055.5153480012</v>
      </c>
      <c r="AK29" s="199">
        <f t="shared" si="21"/>
        <v>1464920.4322619981</v>
      </c>
      <c r="AL29" s="115">
        <f t="shared" si="12"/>
        <v>-4.8169206598918652</v>
      </c>
    </row>
    <row r="30" spans="1:38">
      <c r="A30" s="55"/>
      <c r="F30" s="127"/>
      <c r="J30" s="127"/>
      <c r="N30" s="127"/>
      <c r="R30" s="127"/>
      <c r="V30" s="127"/>
      <c r="X30" s="22"/>
      <c r="Y30" s="22"/>
      <c r="Z30" s="127"/>
      <c r="AI30" s="196" t="s">
        <v>83</v>
      </c>
      <c r="AJ30" s="124">
        <f t="shared" si="20"/>
        <v>1559148.7634290012</v>
      </c>
      <c r="AK30" s="199">
        <f t="shared" si="21"/>
        <v>1480895.064615998</v>
      </c>
      <c r="AL30" s="115">
        <f t="shared" si="12"/>
        <v>-5.0190014351742569</v>
      </c>
    </row>
    <row r="31" spans="1:38">
      <c r="A31" s="55" t="s">
        <v>84</v>
      </c>
      <c r="F31" s="127"/>
      <c r="J31" s="127"/>
      <c r="N31" s="127"/>
      <c r="R31" s="127"/>
      <c r="V31" s="127"/>
      <c r="X31" s="22"/>
      <c r="Y31" s="22"/>
      <c r="Z31" s="127"/>
      <c r="AI31" s="200" t="s">
        <v>85</v>
      </c>
      <c r="AJ31" s="201">
        <f t="shared" si="20"/>
        <v>1579242.0115100013</v>
      </c>
      <c r="AK31" s="202">
        <f t="shared" si="21"/>
        <v>1496869.6969699978</v>
      </c>
      <c r="AL31" s="115">
        <f t="shared" si="12"/>
        <v>-5.215939921788344</v>
      </c>
    </row>
    <row r="32" spans="1:38">
      <c r="A32" s="55" t="s">
        <v>55</v>
      </c>
      <c r="B32" s="55" t="s">
        <v>23</v>
      </c>
      <c r="C32" s="141">
        <f>C17*27/1000</f>
        <v>2258.0823599999999</v>
      </c>
      <c r="D32" s="142">
        <f>D17*27/1000</f>
        <v>3407.06655</v>
      </c>
      <c r="E32" s="142">
        <f t="shared" ref="E32:T33" si="31">E17*27/1000</f>
        <v>2903.9882399999997</v>
      </c>
      <c r="F32" s="127">
        <f t="shared" si="0"/>
        <v>-0.14765731828748702</v>
      </c>
      <c r="G32" s="142">
        <f t="shared" ref="G32" si="32">G17*27/1000</f>
        <v>1343.6028899999999</v>
      </c>
      <c r="H32" s="142">
        <f t="shared" si="31"/>
        <v>1915.2887399999997</v>
      </c>
      <c r="I32" s="142">
        <f t="shared" si="31"/>
        <v>1766.6091899999999</v>
      </c>
      <c r="J32" s="127">
        <f t="shared" si="1"/>
        <v>-7.7627747135400507E-2</v>
      </c>
      <c r="K32" s="142">
        <f t="shared" ref="K32" si="33">K17*27/1000</f>
        <v>268664.86430999998</v>
      </c>
      <c r="L32" s="142">
        <f t="shared" si="31"/>
        <v>415277.11313999997</v>
      </c>
      <c r="M32" s="142">
        <f t="shared" si="31"/>
        <v>371646.02708999999</v>
      </c>
      <c r="N32" s="127">
        <f t="shared" si="2"/>
        <v>-0.10506499074821608</v>
      </c>
      <c r="O32" s="142">
        <f t="shared" ref="O32" si="34">O17*27/1000</f>
        <v>653927.8324500001</v>
      </c>
      <c r="P32" s="142">
        <f t="shared" ref="P32:Q32" si="35">P17*27/1000</f>
        <v>825965.19963000005</v>
      </c>
      <c r="Q32" s="142">
        <f t="shared" si="35"/>
        <v>800141.58854999999</v>
      </c>
      <c r="R32" s="127">
        <f t="shared" si="3"/>
        <v>-3.1264768892888012E-2</v>
      </c>
      <c r="S32" s="142">
        <f t="shared" ref="S32" si="36">S17*27/1000</f>
        <v>50130.037620000003</v>
      </c>
      <c r="T32" s="142">
        <f t="shared" si="31"/>
        <v>61679.918610000008</v>
      </c>
      <c r="U32" s="142">
        <f t="shared" ref="U32:Y32" si="37">U17*27/1000</f>
        <v>61129.193940000005</v>
      </c>
      <c r="V32" s="127">
        <f t="shared" si="4"/>
        <v>-8.9287515679489834E-3</v>
      </c>
      <c r="W32" s="142">
        <f t="shared" ref="W32" si="38">W17*27/1000</f>
        <v>976324.41963000013</v>
      </c>
      <c r="X32" s="142">
        <f t="shared" si="37"/>
        <v>1308244.5866700001</v>
      </c>
      <c r="Y32" s="142">
        <f t="shared" si="37"/>
        <v>1237587.4070099997</v>
      </c>
      <c r="Z32" s="127">
        <f t="shared" si="5"/>
        <v>-5.4009151178565806E-2</v>
      </c>
      <c r="AJ32" s="124"/>
      <c r="AK32" s="124"/>
    </row>
    <row r="33" spans="1:37">
      <c r="A33" s="55" t="s">
        <v>58</v>
      </c>
      <c r="B33" s="55" t="s">
        <v>23</v>
      </c>
      <c r="C33" s="141">
        <f>C18*27/1000</f>
        <v>1334.7760499999999</v>
      </c>
      <c r="D33" s="142">
        <f>D18*27/1000</f>
        <v>2013.9488999999999</v>
      </c>
      <c r="E33" s="142">
        <f t="shared" si="31"/>
        <v>1680.4079100000001</v>
      </c>
      <c r="F33" s="127">
        <f t="shared" si="0"/>
        <v>-0.16561541854413475</v>
      </c>
      <c r="G33" s="142">
        <f t="shared" ref="G33" si="39">G18*27/1000</f>
        <v>85.230630000000005</v>
      </c>
      <c r="H33" s="142">
        <f t="shared" si="31"/>
        <v>121.49460000000001</v>
      </c>
      <c r="I33" s="142">
        <f t="shared" si="31"/>
        <v>106.60464</v>
      </c>
      <c r="J33" s="127">
        <f t="shared" si="1"/>
        <v>-0.12255655806924753</v>
      </c>
      <c r="K33" s="142">
        <f t="shared" ref="K33" si="40">K18*27/1000</f>
        <v>17065.285469999999</v>
      </c>
      <c r="L33" s="142">
        <f t="shared" si="31"/>
        <v>26377.926749999999</v>
      </c>
      <c r="M33" s="142">
        <f t="shared" si="31"/>
        <v>23292.641879999999</v>
      </c>
      <c r="N33" s="127">
        <f t="shared" si="2"/>
        <v>-0.11696464620745828</v>
      </c>
      <c r="O33" s="142">
        <f t="shared" ref="O33" si="41">O18*27/1000</f>
        <v>44793.766799999998</v>
      </c>
      <c r="P33" s="142">
        <f t="shared" ref="P33:Q33" si="42">P18*27/1000</f>
        <v>56578.251870000007</v>
      </c>
      <c r="Q33" s="142">
        <f t="shared" si="42"/>
        <v>51795.203220000003</v>
      </c>
      <c r="R33" s="127">
        <f t="shared" si="3"/>
        <v>-8.453864324033955E-2</v>
      </c>
      <c r="S33" s="142">
        <f t="shared" ref="S33" si="43">S18*27/1000</f>
        <v>3030.3930599999999</v>
      </c>
      <c r="T33" s="142">
        <f t="shared" si="31"/>
        <v>3728.5874099999996</v>
      </c>
      <c r="U33" s="142">
        <f t="shared" ref="U33:Y33" si="44">U18*27/1000</f>
        <v>3543.7913100000001</v>
      </c>
      <c r="V33" s="127">
        <f t="shared" si="4"/>
        <v>-4.9561959980978315E-2</v>
      </c>
      <c r="W33" s="142">
        <f t="shared" ref="W33" si="45">W18*27/1000</f>
        <v>66309.452009999979</v>
      </c>
      <c r="X33" s="142">
        <f t="shared" si="44"/>
        <v>88820.209530000007</v>
      </c>
      <c r="Y33" s="142">
        <f t="shared" si="44"/>
        <v>80418.648959999991</v>
      </c>
      <c r="Z33" s="127">
        <f t="shared" si="5"/>
        <v>-9.4590641189179994E-2</v>
      </c>
      <c r="AJ33" s="124"/>
      <c r="AK33" s="124"/>
    </row>
    <row r="34" spans="1:37">
      <c r="A34" s="55" t="s">
        <v>60</v>
      </c>
      <c r="B34" s="55" t="s">
        <v>23</v>
      </c>
      <c r="C34" s="141">
        <f t="shared" ref="C34" si="46">C19*1/1000</f>
        <v>28.07244</v>
      </c>
      <c r="D34" s="142">
        <f t="shared" ref="D34:T38" si="47">D19*1/1000</f>
        <v>42.361110000000004</v>
      </c>
      <c r="E34" s="142">
        <f t="shared" si="47"/>
        <v>50.868319999999997</v>
      </c>
      <c r="F34" s="127">
        <f t="shared" si="0"/>
        <v>0.2008259462511722</v>
      </c>
      <c r="G34" s="142">
        <f t="shared" ref="G34" si="48">G19*1/1000</f>
        <v>20.247970000000002</v>
      </c>
      <c r="H34" s="142">
        <f t="shared" si="47"/>
        <v>28.868400000000001</v>
      </c>
      <c r="I34" s="142">
        <f t="shared" si="47"/>
        <v>38.207380000000001</v>
      </c>
      <c r="J34" s="127">
        <f t="shared" si="1"/>
        <v>0.32350182206149281</v>
      </c>
      <c r="K34" s="142">
        <f t="shared" ref="K34" si="49">K19*1/1000</f>
        <v>1602.01152</v>
      </c>
      <c r="L34" s="142">
        <f t="shared" si="47"/>
        <v>2476.2477599999997</v>
      </c>
      <c r="M34" s="142">
        <f t="shared" si="47"/>
        <v>3180.94301</v>
      </c>
      <c r="N34" s="127">
        <f t="shared" si="2"/>
        <v>0.2845818828726574</v>
      </c>
      <c r="O34" s="142">
        <f t="shared" ref="O34" si="50">O19*1/1000</f>
        <v>2284.2323999999999</v>
      </c>
      <c r="P34" s="142">
        <f t="shared" ref="P34:Q34" si="51">P19*1/1000</f>
        <v>2885.1767999999997</v>
      </c>
      <c r="Q34" s="142">
        <f t="shared" si="51"/>
        <v>3815.0821800000003</v>
      </c>
      <c r="R34" s="127">
        <f t="shared" si="3"/>
        <v>0.32230447021478914</v>
      </c>
      <c r="S34" s="142">
        <f t="shared" ref="S34" si="52">S19*1/1000</f>
        <v>85.114800000000002</v>
      </c>
      <c r="T34" s="142">
        <f t="shared" si="47"/>
        <v>104.7222</v>
      </c>
      <c r="U34" s="142">
        <f t="shared" ref="U34:Y34" si="53">U19*1/1000</f>
        <v>135.77127999999999</v>
      </c>
      <c r="V34" s="127">
        <f t="shared" si="4"/>
        <v>0.29648995150980395</v>
      </c>
      <c r="W34" s="142">
        <f t="shared" ref="W34" si="54">W19*1/1000</f>
        <v>4019.67913</v>
      </c>
      <c r="X34" s="142">
        <f t="shared" si="53"/>
        <v>5537.3762699999997</v>
      </c>
      <c r="Y34" s="142">
        <f t="shared" si="53"/>
        <v>7220.8721700000006</v>
      </c>
      <c r="Z34" s="127">
        <f t="shared" si="5"/>
        <v>0.30402411140466001</v>
      </c>
      <c r="AJ34" s="124"/>
      <c r="AK34" s="124"/>
    </row>
    <row r="35" spans="1:37">
      <c r="A35" s="55" t="s">
        <v>63</v>
      </c>
      <c r="B35" s="55" t="s">
        <v>23</v>
      </c>
      <c r="C35" s="141">
        <f t="shared" ref="C35" si="55">C20*1/1000</f>
        <v>3.2567499999999998</v>
      </c>
      <c r="D35" s="142">
        <f t="shared" si="47"/>
        <v>4.9143999999999997</v>
      </c>
      <c r="E35" s="142">
        <f t="shared" si="47"/>
        <v>5.3202799999999995</v>
      </c>
      <c r="F35" s="127">
        <f t="shared" si="0"/>
        <v>8.2589939768842546E-2</v>
      </c>
      <c r="G35" s="142">
        <f t="shared" ref="G35" si="56">G20*1/1000</f>
        <v>1.91848</v>
      </c>
      <c r="H35" s="142">
        <f t="shared" si="47"/>
        <v>2.7352399999999997</v>
      </c>
      <c r="I35" s="142">
        <f t="shared" si="47"/>
        <v>3.1480799999999998</v>
      </c>
      <c r="J35" s="127">
        <f t="shared" si="1"/>
        <v>0.1509337389040816</v>
      </c>
      <c r="K35" s="142">
        <f t="shared" ref="K35" si="57">K20*1/1000</f>
        <v>327.37421000000001</v>
      </c>
      <c r="L35" s="142">
        <f t="shared" si="47"/>
        <v>506.02602000000002</v>
      </c>
      <c r="M35" s="142">
        <f t="shared" si="47"/>
        <v>589.98180000000002</v>
      </c>
      <c r="N35" s="127">
        <f t="shared" si="2"/>
        <v>0.16591198215459355</v>
      </c>
      <c r="O35" s="142">
        <f t="shared" ref="O35" si="58">O20*1/1000</f>
        <v>744.90719999999999</v>
      </c>
      <c r="P35" s="142">
        <f t="shared" ref="P35:Q35" si="59">P20*1/1000</f>
        <v>940.88019999999995</v>
      </c>
      <c r="Q35" s="142">
        <f t="shared" si="59"/>
        <v>1437.8886200000002</v>
      </c>
      <c r="R35" s="127">
        <f t="shared" si="3"/>
        <v>0.52823772888408138</v>
      </c>
      <c r="S35" s="142">
        <f t="shared" ref="S35" si="60">S20*1/1000</f>
        <v>33.951550000000005</v>
      </c>
      <c r="T35" s="142">
        <f t="shared" si="47"/>
        <v>41.772769999999994</v>
      </c>
      <c r="U35" s="142">
        <f t="shared" ref="U35:Y35" si="61">U20*1/1000</f>
        <v>54.573269999999994</v>
      </c>
      <c r="V35" s="127">
        <f t="shared" si="4"/>
        <v>0.30643167786096065</v>
      </c>
      <c r="W35" s="142">
        <f t="shared" ref="W35" si="62">W20*1/1000</f>
        <v>1111.4081899999999</v>
      </c>
      <c r="X35" s="142">
        <f t="shared" si="61"/>
        <v>1496.32863</v>
      </c>
      <c r="Y35" s="142">
        <f t="shared" si="61"/>
        <v>2090.9120500000004</v>
      </c>
      <c r="Z35" s="127">
        <f t="shared" si="5"/>
        <v>0.39736152077769199</v>
      </c>
      <c r="AJ35" s="124"/>
      <c r="AK35" s="124"/>
    </row>
    <row r="36" spans="1:37">
      <c r="A36" s="55" t="s">
        <v>65</v>
      </c>
      <c r="B36" s="55" t="s">
        <v>23</v>
      </c>
      <c r="C36" s="141">
        <f t="shared" ref="C36" si="63">C21*1/1000</f>
        <v>149.50257999999999</v>
      </c>
      <c r="D36" s="142">
        <f t="shared" si="47"/>
        <v>225.59097</v>
      </c>
      <c r="E36" s="142">
        <f t="shared" si="47"/>
        <v>221.30303000000001</v>
      </c>
      <c r="F36" s="127">
        <f t="shared" si="0"/>
        <v>-1.9007587050137654E-2</v>
      </c>
      <c r="G36" s="142">
        <f t="shared" ref="G36" si="64">G21*1/1000</f>
        <v>92.561329999999998</v>
      </c>
      <c r="H36" s="142">
        <f t="shared" si="47"/>
        <v>131.96163000000001</v>
      </c>
      <c r="I36" s="142">
        <f t="shared" si="47"/>
        <v>141.46593999999999</v>
      </c>
      <c r="J36" s="127">
        <f t="shared" si="1"/>
        <v>7.2023284344092858E-2</v>
      </c>
      <c r="K36" s="142">
        <f t="shared" ref="K36" si="65">K21*1/1000</f>
        <v>17307.15929</v>
      </c>
      <c r="L36" s="142">
        <f t="shared" si="47"/>
        <v>26751.84706</v>
      </c>
      <c r="M36" s="142">
        <f t="shared" si="47"/>
        <v>22017.244649999997</v>
      </c>
      <c r="N36" s="127">
        <f t="shared" si="2"/>
        <v>-0.17698226217356383</v>
      </c>
      <c r="O36" s="142">
        <f t="shared" ref="O36" si="66">O21*1/1000</f>
        <v>26684.015869999999</v>
      </c>
      <c r="P36" s="142">
        <f t="shared" ref="P36:Q36" si="67">P21*1/1000</f>
        <v>33704.137600000002</v>
      </c>
      <c r="Q36" s="142">
        <f t="shared" si="67"/>
        <v>28310.327550000002</v>
      </c>
      <c r="R36" s="127">
        <f t="shared" si="3"/>
        <v>-0.16003406210874238</v>
      </c>
      <c r="S36" s="142">
        <f t="shared" ref="S36" si="68">S21*1/1000</f>
        <v>615.25810999999999</v>
      </c>
      <c r="T36" s="142">
        <f t="shared" si="47"/>
        <v>757.03396999999995</v>
      </c>
      <c r="U36" s="142">
        <f t="shared" ref="U36:Y36" si="69">U21*1/1000</f>
        <v>758.16764000000001</v>
      </c>
      <c r="V36" s="127">
        <f t="shared" si="4"/>
        <v>1.4975153624876992E-3</v>
      </c>
      <c r="W36" s="142">
        <f t="shared" ref="W36" si="70">W21*1/1000</f>
        <v>44848.497179999998</v>
      </c>
      <c r="X36" s="142">
        <f t="shared" si="69"/>
        <v>61570.571230000001</v>
      </c>
      <c r="Y36" s="142">
        <f t="shared" si="69"/>
        <v>51448.508809999999</v>
      </c>
      <c r="Z36" s="127">
        <f t="shared" si="5"/>
        <v>-0.1643977344661709</v>
      </c>
      <c r="AJ36" s="124"/>
      <c r="AK36" s="124"/>
    </row>
    <row r="37" spans="1:37">
      <c r="A37" s="55" t="s">
        <v>67</v>
      </c>
      <c r="B37" s="55" t="s">
        <v>23</v>
      </c>
      <c r="C37" s="141">
        <f t="shared" ref="C37" si="71">C22*1/1000</f>
        <v>0.44098999999999999</v>
      </c>
      <c r="D37" s="142">
        <f t="shared" si="47"/>
        <v>0.66530999999999996</v>
      </c>
      <c r="E37" s="142">
        <f t="shared" si="47"/>
        <v>0.57650999999999997</v>
      </c>
      <c r="F37" s="127">
        <f t="shared" si="0"/>
        <v>-0.13347161473598773</v>
      </c>
      <c r="G37" s="142">
        <f t="shared" ref="G37" si="72">G22*1/1000</f>
        <v>0.24123</v>
      </c>
      <c r="H37" s="142">
        <f t="shared" si="47"/>
        <v>0.34379000000000004</v>
      </c>
      <c r="I37" s="142">
        <f t="shared" si="47"/>
        <v>0.31772</v>
      </c>
      <c r="J37" s="127">
        <f t="shared" si="1"/>
        <v>-7.5831176008610002E-2</v>
      </c>
      <c r="K37" s="142">
        <f t="shared" ref="K37" si="73">K22*1/1000</f>
        <v>54.82987</v>
      </c>
      <c r="L37" s="142">
        <f t="shared" si="47"/>
        <v>84.750640000000004</v>
      </c>
      <c r="M37" s="142">
        <f t="shared" si="47"/>
        <v>73.00009</v>
      </c>
      <c r="N37" s="127">
        <f t="shared" si="2"/>
        <v>-0.13864851050092369</v>
      </c>
      <c r="O37" s="142">
        <f t="shared" ref="O37" si="74">O22*1/1000</f>
        <v>116.44801</v>
      </c>
      <c r="P37" s="142">
        <f t="shared" ref="P37:Q37" si="75">P22*1/1000</f>
        <v>147.08342999999999</v>
      </c>
      <c r="Q37" s="142">
        <f t="shared" si="75"/>
        <v>149.84499</v>
      </c>
      <c r="R37" s="127">
        <f t="shared" si="3"/>
        <v>1.8775466413857789E-2</v>
      </c>
      <c r="S37" s="142">
        <f t="shared" ref="S37" si="76">S22*1/1000</f>
        <v>4.9315200000000008</v>
      </c>
      <c r="T37" s="142">
        <f t="shared" si="47"/>
        <v>6.06792</v>
      </c>
      <c r="U37" s="142">
        <f t="shared" ref="U37:Y37" si="77">U22*1/1000</f>
        <v>6.1447799999999999</v>
      </c>
      <c r="V37" s="127">
        <f t="shared" si="4"/>
        <v>1.2666613930308891E-2</v>
      </c>
      <c r="W37" s="142">
        <f t="shared" ref="W37" si="78">W22*1/1000</f>
        <v>176.89161999999999</v>
      </c>
      <c r="X37" s="142">
        <f t="shared" si="77"/>
        <v>238.91109</v>
      </c>
      <c r="Y37" s="142">
        <f t="shared" si="77"/>
        <v>229.88408999999999</v>
      </c>
      <c r="Z37" s="127">
        <f t="shared" si="5"/>
        <v>-3.7783930415285515E-2</v>
      </c>
    </row>
    <row r="38" spans="1:37">
      <c r="A38" s="55" t="s">
        <v>69</v>
      </c>
      <c r="B38" s="55" t="s">
        <v>23</v>
      </c>
      <c r="C38" s="141">
        <f t="shared" ref="C38" si="79">C23*1/1000</f>
        <v>40.506489999999999</v>
      </c>
      <c r="D38" s="142">
        <f t="shared" si="47"/>
        <v>61.125300000000003</v>
      </c>
      <c r="E38" s="142">
        <f t="shared" si="47"/>
        <v>55.632199999999997</v>
      </c>
      <c r="F38" s="127">
        <f t="shared" si="0"/>
        <v>-8.9866225605436792E-2</v>
      </c>
      <c r="G38" s="142">
        <f t="shared" ref="G38" si="80">G23*1/1000</f>
        <v>24.42557</v>
      </c>
      <c r="H38" s="142">
        <f t="shared" si="47"/>
        <v>34.825690000000002</v>
      </c>
      <c r="I38" s="142">
        <f t="shared" si="47"/>
        <v>33.742269999999998</v>
      </c>
      <c r="J38" s="127">
        <f t="shared" si="1"/>
        <v>-3.1109792799511045E-2</v>
      </c>
      <c r="K38" s="142">
        <f t="shared" ref="K38" si="81">K23*1/1000</f>
        <v>4633.3114699999996</v>
      </c>
      <c r="L38" s="142">
        <f t="shared" si="47"/>
        <v>7161.7607600000001</v>
      </c>
      <c r="M38" s="142">
        <f t="shared" si="47"/>
        <v>6932.5601100000003</v>
      </c>
      <c r="N38" s="127">
        <f t="shared" si="2"/>
        <v>-3.200339381345095E-2</v>
      </c>
      <c r="O38" s="142">
        <f t="shared" ref="O38" si="82">O23*1/1000</f>
        <v>11433.331769999999</v>
      </c>
      <c r="P38" s="142">
        <f t="shared" ref="P38:Q38" si="83">P23*1/1000</f>
        <v>14441.25576</v>
      </c>
      <c r="Q38" s="142">
        <f t="shared" si="83"/>
        <v>16357.640289999999</v>
      </c>
      <c r="R38" s="127">
        <f t="shared" si="3"/>
        <v>0.13270206980947474</v>
      </c>
      <c r="S38" s="142">
        <f t="shared" ref="S38" si="84">S23*1/1000</f>
        <v>169.72181</v>
      </c>
      <c r="T38" s="142">
        <f t="shared" si="47"/>
        <v>208.83170000000001</v>
      </c>
      <c r="U38" s="142">
        <f t="shared" ref="U38:Y38" si="85">U23*1/1000</f>
        <v>211.47684000000001</v>
      </c>
      <c r="V38" s="127">
        <f t="shared" si="4"/>
        <v>1.2666372011528889E-2</v>
      </c>
      <c r="W38" s="142">
        <f t="shared" ref="W38" si="86">W23*1/1000</f>
        <v>16301.29711</v>
      </c>
      <c r="X38" s="142">
        <f t="shared" si="85"/>
        <v>21907.799209999997</v>
      </c>
      <c r="Y38" s="142">
        <f t="shared" si="85"/>
        <v>23591.051709999996</v>
      </c>
      <c r="Z38" s="127">
        <f t="shared" si="5"/>
        <v>7.6833482170662951E-2</v>
      </c>
    </row>
    <row r="39" spans="1:37">
      <c r="A39" s="55" t="s">
        <v>72</v>
      </c>
      <c r="B39" s="55" t="s">
        <v>23</v>
      </c>
      <c r="C39" s="141">
        <f t="shared" ref="C39" si="87">C24*273/1000</f>
        <v>99.257339999999999</v>
      </c>
      <c r="D39" s="142">
        <f t="shared" ref="D39:T42" si="88">D24*273/1000</f>
        <v>149.76507000000001</v>
      </c>
      <c r="E39" s="142">
        <f t="shared" si="88"/>
        <v>134.29962</v>
      </c>
      <c r="F39" s="127">
        <f t="shared" si="0"/>
        <v>-0.10326473322517729</v>
      </c>
      <c r="G39" s="142">
        <f t="shared" ref="G39" si="89">G24*273/1000</f>
        <v>59.806110000000004</v>
      </c>
      <c r="H39" s="142">
        <f t="shared" si="88"/>
        <v>85.257900000000006</v>
      </c>
      <c r="I39" s="142">
        <f t="shared" si="88"/>
        <v>83.144880000000001</v>
      </c>
      <c r="J39" s="127">
        <f t="shared" si="1"/>
        <v>-2.4783861671469808E-2</v>
      </c>
      <c r="K39" s="142">
        <f t="shared" ref="K39" si="90">K24*273/1000</f>
        <v>11709.226620000001</v>
      </c>
      <c r="L39" s="142">
        <f t="shared" si="88"/>
        <v>18099.04278</v>
      </c>
      <c r="M39" s="142">
        <f t="shared" si="88"/>
        <v>16430.270220000002</v>
      </c>
      <c r="N39" s="127">
        <f t="shared" si="2"/>
        <v>-9.2202255129428326E-2</v>
      </c>
      <c r="O39" s="142">
        <f t="shared" ref="O39" si="91">O24*273/1000</f>
        <v>24896.303250000001</v>
      </c>
      <c r="P39" s="142">
        <f t="shared" ref="P39:Q39" si="92">P24*273/1000</f>
        <v>31446.102870000002</v>
      </c>
      <c r="Q39" s="142">
        <f t="shared" si="92"/>
        <v>30930.132870000001</v>
      </c>
      <c r="R39" s="127">
        <f t="shared" si="3"/>
        <v>-1.6408074543705808E-2</v>
      </c>
      <c r="S39" s="142">
        <f t="shared" ref="S39" si="93">S24*273/1000</f>
        <v>1870.2520200000001</v>
      </c>
      <c r="T39" s="142">
        <f t="shared" si="88"/>
        <v>2301.1552199999996</v>
      </c>
      <c r="U39" s="142">
        <f t="shared" ref="U39:Y39" si="94">U24*273/1000</f>
        <v>2294.8953299999998</v>
      </c>
      <c r="V39" s="127">
        <f t="shared" si="4"/>
        <v>-2.7203249679088638E-3</v>
      </c>
      <c r="W39" s="142">
        <f t="shared" ref="W39" si="95">W24*273/1000</f>
        <v>38634.845339999993</v>
      </c>
      <c r="X39" s="142">
        <f t="shared" si="94"/>
        <v>52081.323840000005</v>
      </c>
      <c r="Y39" s="142">
        <f t="shared" si="94"/>
        <v>49872.742920000004</v>
      </c>
      <c r="Z39" s="127">
        <f t="shared" si="5"/>
        <v>-4.2406389798865761E-2</v>
      </c>
    </row>
    <row r="40" spans="1:37">
      <c r="A40" s="55" t="s">
        <v>75</v>
      </c>
      <c r="B40" s="55" t="s">
        <v>23</v>
      </c>
      <c r="C40" s="141">
        <f t="shared" ref="C40" si="96">C25*273/1000</f>
        <v>420.85133999999999</v>
      </c>
      <c r="D40" s="142">
        <f t="shared" si="88"/>
        <v>635.01437999999996</v>
      </c>
      <c r="E40" s="142">
        <f t="shared" si="88"/>
        <v>611.50635</v>
      </c>
      <c r="F40" s="127">
        <f t="shared" si="0"/>
        <v>-3.7019681349578198E-2</v>
      </c>
      <c r="G40" s="142">
        <f t="shared" ref="G40" si="97">G25*273/1000</f>
        <v>250.43382</v>
      </c>
      <c r="H40" s="142">
        <f t="shared" si="88"/>
        <v>356.99937</v>
      </c>
      <c r="I40" s="142">
        <f t="shared" si="88"/>
        <v>374.96003999999999</v>
      </c>
      <c r="J40" s="127">
        <f t="shared" si="1"/>
        <v>5.0310088782509595E-2</v>
      </c>
      <c r="K40" s="142">
        <f t="shared" ref="K40" si="98">K25*273/1000</f>
        <v>52508.32314</v>
      </c>
      <c r="L40" s="142">
        <f t="shared" si="88"/>
        <v>81326.893830000015</v>
      </c>
      <c r="M40" s="142">
        <f t="shared" si="88"/>
        <v>80243.313149999987</v>
      </c>
      <c r="N40" s="127">
        <f t="shared" si="2"/>
        <v>-1.3323768177659271E-2</v>
      </c>
      <c r="O40" s="142">
        <f t="shared" ref="O40" si="99">O25*273/1000</f>
        <v>184531.34700000001</v>
      </c>
      <c r="P40" s="142">
        <f t="shared" ref="P40:Q40" si="100">P25*273/1000</f>
        <v>233328.24878999998</v>
      </c>
      <c r="Q40" s="142">
        <f t="shared" si="100"/>
        <v>275618.68151999998</v>
      </c>
      <c r="R40" s="127">
        <f t="shared" si="3"/>
        <v>0.18124866127145292</v>
      </c>
      <c r="S40" s="142">
        <f t="shared" ref="S40" si="101">S25*273/1000</f>
        <v>18244.876650000002</v>
      </c>
      <c r="T40" s="142">
        <f t="shared" si="88"/>
        <v>22449.057539999998</v>
      </c>
      <c r="U40" s="142">
        <f t="shared" ref="U40:Y40" si="102">U25*273/1000</f>
        <v>24537.390150000003</v>
      </c>
      <c r="V40" s="127">
        <f t="shared" si="4"/>
        <v>9.3025402348360903E-2</v>
      </c>
      <c r="W40" s="142">
        <f t="shared" ref="W40" si="103">W25*273/1000</f>
        <v>255955.83195000002</v>
      </c>
      <c r="X40" s="142">
        <f t="shared" si="102"/>
        <v>338096.21390999999</v>
      </c>
      <c r="Y40" s="142">
        <f t="shared" si="102"/>
        <v>381385.85120999999</v>
      </c>
      <c r="Z40" s="127">
        <f t="shared" si="5"/>
        <v>0.1280394027468274</v>
      </c>
    </row>
    <row r="41" spans="1:37">
      <c r="A41" s="55" t="s">
        <v>77</v>
      </c>
      <c r="B41" s="55" t="s">
        <v>23</v>
      </c>
      <c r="C41" s="141">
        <f t="shared" ref="C41" si="104">C26*273/1000</f>
        <v>7.3710000000000012E-2</v>
      </c>
      <c r="D41" s="142">
        <f t="shared" si="88"/>
        <v>0.11192999999999999</v>
      </c>
      <c r="E41" s="142">
        <f t="shared" si="88"/>
        <v>9.8280000000000006E-2</v>
      </c>
      <c r="F41" s="127">
        <f t="shared" si="0"/>
        <v>-0.12195121951219497</v>
      </c>
      <c r="G41" s="142">
        <f t="shared" ref="G41" si="105">G26*273/1000</f>
        <v>4.6410000000000007E-2</v>
      </c>
      <c r="H41" s="142">
        <f t="shared" si="88"/>
        <v>6.5519999999999995E-2</v>
      </c>
      <c r="I41" s="142">
        <f t="shared" si="88"/>
        <v>6.2790000000000012E-2</v>
      </c>
      <c r="J41" s="127">
        <f t="shared" si="1"/>
        <v>-4.1666666666666401E-2</v>
      </c>
      <c r="K41" s="142">
        <f t="shared" ref="K41" si="106">K26*273/1000</f>
        <v>8.6977799999999998</v>
      </c>
      <c r="L41" s="142">
        <f t="shared" si="88"/>
        <v>13.44525</v>
      </c>
      <c r="M41" s="142">
        <f t="shared" si="88"/>
        <v>12.61806</v>
      </c>
      <c r="N41" s="127">
        <f t="shared" si="2"/>
        <v>-6.15228426395939E-2</v>
      </c>
      <c r="O41" s="142">
        <f t="shared" ref="O41" si="107">O26*273/1000</f>
        <v>27.859649999999998</v>
      </c>
      <c r="P41" s="142">
        <f t="shared" ref="P41:Q41" si="108">P26*273/1000</f>
        <v>35.189700000000002</v>
      </c>
      <c r="Q41" s="142">
        <f t="shared" si="108"/>
        <v>27.886950000000002</v>
      </c>
      <c r="R41" s="127">
        <f t="shared" si="3"/>
        <v>-0.20752521334367724</v>
      </c>
      <c r="S41" s="142">
        <f t="shared" ref="S41" si="109">S26*273/1000</f>
        <v>2.24952</v>
      </c>
      <c r="T41" s="142">
        <f t="shared" si="88"/>
        <v>2.7682200000000003</v>
      </c>
      <c r="U41" s="142">
        <f t="shared" ref="U41:Y41" si="110">U26*273/1000</f>
        <v>2.0256600000000002</v>
      </c>
      <c r="V41" s="127">
        <f t="shared" si="4"/>
        <v>-0.26824457593688361</v>
      </c>
      <c r="W41" s="142">
        <f t="shared" ref="W41" si="111">W26*273/1000</f>
        <v>38.927070000000001</v>
      </c>
      <c r="X41" s="142">
        <f t="shared" si="110"/>
        <v>51.580620000000003</v>
      </c>
      <c r="Y41" s="142">
        <f t="shared" si="110"/>
        <v>42.691739999999996</v>
      </c>
      <c r="Z41" s="127">
        <f t="shared" si="5"/>
        <v>-0.17232984016089778</v>
      </c>
    </row>
    <row r="42" spans="1:37">
      <c r="A42" s="55" t="s">
        <v>79</v>
      </c>
      <c r="B42" s="55" t="s">
        <v>23</v>
      </c>
      <c r="C42" s="141">
        <f t="shared" ref="C42" si="112">C27*273/1000</f>
        <v>191.33751000000001</v>
      </c>
      <c r="D42" s="142">
        <f t="shared" si="88"/>
        <v>288.69203999999996</v>
      </c>
      <c r="E42" s="142">
        <f t="shared" si="88"/>
        <v>145.34792999999999</v>
      </c>
      <c r="F42" s="127">
        <f t="shared" si="0"/>
        <v>-0.49652948519120926</v>
      </c>
      <c r="G42" s="142">
        <f t="shared" ref="G42" si="113">G27*273/1000</f>
        <v>85.099560000000011</v>
      </c>
      <c r="H42" s="142">
        <f t="shared" si="88"/>
        <v>121.30481999999999</v>
      </c>
      <c r="I42" s="142">
        <f t="shared" si="88"/>
        <v>128.81505000000001</v>
      </c>
      <c r="J42" s="127">
        <f t="shared" si="1"/>
        <v>6.1912049331593104E-2</v>
      </c>
      <c r="K42" s="142">
        <f t="shared" ref="K42" si="114">K27*273/1000</f>
        <v>18486.822900000003</v>
      </c>
      <c r="L42" s="142">
        <f t="shared" si="88"/>
        <v>28575.199379999998</v>
      </c>
      <c r="M42" s="142">
        <f t="shared" si="88"/>
        <v>26872.307280000001</v>
      </c>
      <c r="N42" s="127">
        <f t="shared" si="2"/>
        <v>-5.959335846985777E-2</v>
      </c>
      <c r="O42" s="142">
        <f t="shared" ref="O42" si="115">O27*273/1000</f>
        <v>46057.79451</v>
      </c>
      <c r="P42" s="142">
        <f t="shared" ref="P42:Q42" si="116">P27*273/1000</f>
        <v>58174.817609999998</v>
      </c>
      <c r="Q42" s="142">
        <f t="shared" si="116"/>
        <v>62621.329680000003</v>
      </c>
      <c r="R42" s="127">
        <f t="shared" si="3"/>
        <v>7.6433622874576376E-2</v>
      </c>
      <c r="S42" s="142">
        <f t="shared" ref="S42" si="117">S27*273/1000</f>
        <v>3425.42382</v>
      </c>
      <c r="T42" s="142">
        <f t="shared" si="88"/>
        <v>4214.6340599999994</v>
      </c>
      <c r="U42" s="142">
        <f t="shared" ref="U42:Y42" si="118">U27*273/1000</f>
        <v>4471.9201800000001</v>
      </c>
      <c r="V42" s="127">
        <f t="shared" si="4"/>
        <v>6.1045897778370987E-2</v>
      </c>
      <c r="W42" s="142">
        <f t="shared" ref="W42" si="119">W27*273/1000</f>
        <v>68246.478300000002</v>
      </c>
      <c r="X42" s="142">
        <f t="shared" si="118"/>
        <v>91374.64791</v>
      </c>
      <c r="Y42" s="142">
        <f t="shared" si="118"/>
        <v>94239.720119999998</v>
      </c>
      <c r="Z42" s="127">
        <f t="shared" si="5"/>
        <v>3.1355220244700346E-2</v>
      </c>
    </row>
    <row r="43" spans="1:37" ht="15.75" thickBot="1">
      <c r="B43" s="142"/>
      <c r="C43" s="141"/>
      <c r="D43" s="142"/>
      <c r="E43" s="142"/>
      <c r="F43" s="178"/>
      <c r="G43" s="142"/>
      <c r="H43" s="142"/>
      <c r="I43" s="142"/>
      <c r="J43" s="127"/>
      <c r="K43" s="142"/>
      <c r="L43" s="142"/>
      <c r="M43" s="142"/>
      <c r="N43" s="127"/>
      <c r="O43" s="142"/>
      <c r="P43" s="142"/>
      <c r="Q43" s="142"/>
      <c r="R43" s="127"/>
      <c r="S43" s="142"/>
      <c r="T43" s="142"/>
      <c r="U43" s="142"/>
      <c r="V43" s="127"/>
      <c r="W43" s="142"/>
      <c r="X43" s="142"/>
      <c r="Y43" s="142"/>
      <c r="Z43" s="127"/>
      <c r="AC43" s="116" t="s">
        <v>86</v>
      </c>
      <c r="AD43" s="40"/>
      <c r="AE43" s="40"/>
    </row>
    <row r="44" spans="1:37">
      <c r="A44" s="55"/>
      <c r="B44" s="142"/>
      <c r="C44" s="179"/>
      <c r="D44" s="168"/>
      <c r="E44" s="168"/>
      <c r="F44" s="180"/>
      <c r="G44" s="168"/>
      <c r="H44" s="168"/>
      <c r="I44" s="168"/>
      <c r="J44" s="169"/>
      <c r="K44" s="172"/>
      <c r="L44" s="168"/>
      <c r="M44" s="168"/>
      <c r="N44" s="169"/>
      <c r="O44" s="172"/>
      <c r="P44" s="168"/>
      <c r="Q44" s="168"/>
      <c r="R44" s="169"/>
      <c r="S44" s="172"/>
      <c r="T44" s="168"/>
      <c r="U44" s="168"/>
      <c r="V44" s="169"/>
      <c r="W44" s="172"/>
      <c r="X44" s="168"/>
      <c r="Y44" s="168"/>
      <c r="Z44" s="169"/>
      <c r="AC44" s="40" t="s">
        <v>18</v>
      </c>
      <c r="AD44" s="40" t="s">
        <v>19</v>
      </c>
      <c r="AE44" s="116" t="s">
        <v>24</v>
      </c>
    </row>
    <row r="45" spans="1:37">
      <c r="A45" s="55"/>
      <c r="B45" s="142"/>
      <c r="C45" s="141"/>
      <c r="D45" s="142"/>
      <c r="E45" s="142"/>
      <c r="F45" s="178"/>
      <c r="K45" s="173"/>
      <c r="L45" s="142"/>
      <c r="M45" s="142"/>
      <c r="N45" s="170"/>
      <c r="O45" s="173"/>
      <c r="P45" s="142"/>
      <c r="Q45" s="142"/>
      <c r="R45" s="170"/>
      <c r="S45" s="173"/>
      <c r="T45" s="142"/>
      <c r="U45" s="142"/>
      <c r="V45" s="170"/>
      <c r="W45" s="173"/>
      <c r="X45" s="142"/>
      <c r="Y45" s="142"/>
      <c r="Z45" s="170"/>
      <c r="AC45" s="119">
        <f>X7/1000</f>
        <v>206445.52</v>
      </c>
      <c r="AD45" s="119">
        <f>Y7/1000</f>
        <v>269199.70799999998</v>
      </c>
      <c r="AE45" s="117">
        <f>(AD45-AC45)/AC45</f>
        <v>0.30397456917447274</v>
      </c>
    </row>
    <row r="46" spans="1:37" ht="15.75" thickBot="1">
      <c r="A46" s="55"/>
      <c r="F46" s="127"/>
      <c r="K46" s="173"/>
      <c r="L46" s="142"/>
      <c r="M46" s="142"/>
      <c r="N46" s="170"/>
      <c r="O46" s="173"/>
      <c r="P46" s="142"/>
      <c r="Q46" s="142"/>
      <c r="R46" s="170"/>
      <c r="S46" s="173"/>
      <c r="T46" s="142"/>
      <c r="U46" s="142"/>
      <c r="V46" s="170"/>
      <c r="W46" s="173"/>
      <c r="X46" s="142"/>
      <c r="Y46" s="142"/>
      <c r="Z46" s="170"/>
    </row>
    <row r="47" spans="1:37">
      <c r="A47" s="153"/>
      <c r="B47" s="154"/>
      <c r="C47" s="155" t="s">
        <v>18</v>
      </c>
      <c r="D47" s="154" t="s">
        <v>19</v>
      </c>
      <c r="E47" s="154"/>
      <c r="F47" s="156"/>
      <c r="G47" s="154" t="s">
        <v>18</v>
      </c>
      <c r="H47" s="157" t="s">
        <v>19</v>
      </c>
      <c r="K47" s="173"/>
      <c r="L47" s="142"/>
      <c r="M47" s="142"/>
      <c r="N47" s="170"/>
      <c r="O47" s="173"/>
      <c r="P47" s="142"/>
      <c r="Q47" s="142"/>
      <c r="R47" s="170"/>
      <c r="S47" s="173"/>
      <c r="T47" s="142"/>
      <c r="U47" s="142"/>
      <c r="V47" s="170"/>
      <c r="W47" s="173"/>
      <c r="X47" s="142"/>
      <c r="Y47" s="142"/>
      <c r="Z47" s="170"/>
    </row>
    <row r="48" spans="1:37">
      <c r="A48" s="158" t="s">
        <v>87</v>
      </c>
      <c r="B48" s="56"/>
      <c r="C48" s="143">
        <f>X32</f>
        <v>1308244.5866700001</v>
      </c>
      <c r="D48" s="56">
        <f>Y32</f>
        <v>1237587.4070099997</v>
      </c>
      <c r="E48" s="144"/>
      <c r="F48" s="127"/>
      <c r="G48" s="144">
        <f t="shared" ref="G48:G53" si="120">C48/$C$54</f>
        <v>0.82840031953624105</v>
      </c>
      <c r="H48" s="159">
        <f t="shared" ref="H48:H53" si="121">D48/$D$54</f>
        <v>0.82678366044249385</v>
      </c>
      <c r="K48" s="173"/>
      <c r="L48" s="142"/>
      <c r="M48" s="142"/>
      <c r="N48" s="170"/>
      <c r="O48" s="173"/>
      <c r="P48" s="142"/>
      <c r="Q48" s="142"/>
      <c r="R48" s="170"/>
      <c r="S48" s="173"/>
      <c r="T48" s="142"/>
      <c r="U48" s="142"/>
      <c r="V48" s="170"/>
      <c r="W48" s="173"/>
      <c r="X48" s="142"/>
      <c r="Y48" s="142"/>
      <c r="Z48" s="170"/>
    </row>
    <row r="49" spans="1:31">
      <c r="A49" s="158" t="s">
        <v>88</v>
      </c>
      <c r="B49" s="56"/>
      <c r="C49" s="143">
        <f>X33</f>
        <v>88820.209530000007</v>
      </c>
      <c r="D49" s="56">
        <f>Y33</f>
        <v>80418.648959999991</v>
      </c>
      <c r="E49" s="144"/>
      <c r="F49" s="127"/>
      <c r="G49" s="144">
        <f t="shared" si="120"/>
        <v>5.6242304157523598E-2</v>
      </c>
      <c r="H49" s="159">
        <f t="shared" si="121"/>
        <v>5.3724548729552089E-2</v>
      </c>
      <c r="K49" s="173"/>
      <c r="L49" s="142"/>
      <c r="M49" s="142"/>
      <c r="N49" s="170"/>
      <c r="O49" s="173"/>
      <c r="P49" s="142"/>
      <c r="Q49" s="142"/>
      <c r="R49" s="170"/>
      <c r="S49" s="173"/>
      <c r="T49" s="142"/>
      <c r="U49" s="142"/>
      <c r="V49" s="170"/>
      <c r="W49" s="173"/>
      <c r="X49" s="142"/>
      <c r="Y49" s="142"/>
      <c r="Z49" s="170"/>
    </row>
    <row r="50" spans="1:31">
      <c r="A50" s="160" t="s">
        <v>77</v>
      </c>
      <c r="B50" s="56"/>
      <c r="C50" s="143">
        <f t="shared" ref="C50:D51" si="122">X41</f>
        <v>51.580620000000003</v>
      </c>
      <c r="D50" s="56">
        <f t="shared" si="122"/>
        <v>42.691739999999996</v>
      </c>
      <c r="E50" s="145"/>
      <c r="F50" s="127"/>
      <c r="G50" s="148">
        <f t="shared" si="120"/>
        <v>3.266163110878269E-5</v>
      </c>
      <c r="H50" s="161">
        <f t="shared" si="121"/>
        <v>2.8520678917649999E-5</v>
      </c>
      <c r="K50" s="173"/>
      <c r="L50" s="142"/>
      <c r="M50" s="142"/>
      <c r="N50" s="170"/>
      <c r="O50" s="173"/>
      <c r="P50" s="142"/>
      <c r="Q50" s="142"/>
      <c r="R50" s="170"/>
      <c r="S50" s="173"/>
      <c r="T50" s="142"/>
      <c r="U50" s="142"/>
      <c r="V50" s="170"/>
      <c r="W50" s="173"/>
      <c r="X50" s="142"/>
      <c r="Y50" s="142"/>
      <c r="Z50" s="170"/>
    </row>
    <row r="51" spans="1:31">
      <c r="A51" s="160" t="s">
        <v>79</v>
      </c>
      <c r="B51" s="56"/>
      <c r="C51" s="143">
        <f t="shared" si="122"/>
        <v>91374.64791</v>
      </c>
      <c r="D51" s="56">
        <f t="shared" si="122"/>
        <v>94239.720119999998</v>
      </c>
      <c r="E51" s="144"/>
      <c r="F51" s="127"/>
      <c r="G51" s="145">
        <f t="shared" si="120"/>
        <v>5.7859813292886378E-2</v>
      </c>
      <c r="H51" s="162">
        <f t="shared" si="121"/>
        <v>6.2957864889829296E-2</v>
      </c>
      <c r="K51" s="173"/>
      <c r="L51" s="142"/>
      <c r="M51" s="142"/>
      <c r="N51" s="170"/>
      <c r="O51" s="173"/>
      <c r="P51" s="142"/>
      <c r="Q51" s="142"/>
      <c r="R51" s="170"/>
      <c r="S51" s="173"/>
      <c r="T51" s="142"/>
      <c r="U51" s="142"/>
      <c r="V51" s="170"/>
      <c r="W51" s="173"/>
      <c r="X51" s="142"/>
      <c r="Y51" s="142"/>
      <c r="Z51" s="170"/>
    </row>
    <row r="52" spans="1:31">
      <c r="A52" s="158" t="s">
        <v>89</v>
      </c>
      <c r="B52" s="56"/>
      <c r="C52" s="143">
        <f t="shared" ref="C52:D52" si="123">X34+X35</f>
        <v>7033.7048999999997</v>
      </c>
      <c r="D52" s="56">
        <f t="shared" si="123"/>
        <v>9311.7842200000014</v>
      </c>
      <c r="E52" s="145"/>
      <c r="F52" s="127"/>
      <c r="G52" s="145">
        <f t="shared" si="120"/>
        <v>4.4538486503620392E-3</v>
      </c>
      <c r="H52" s="162">
        <f t="shared" si="121"/>
        <v>6.220838220439364E-3</v>
      </c>
      <c r="K52" s="173"/>
      <c r="L52" s="142"/>
      <c r="M52" s="142"/>
      <c r="N52" s="170"/>
      <c r="O52" s="173"/>
      <c r="P52" s="142"/>
      <c r="Q52" s="142"/>
      <c r="R52" s="170"/>
      <c r="S52" s="173"/>
      <c r="T52" s="142"/>
      <c r="U52" s="142"/>
      <c r="V52" s="170"/>
      <c r="W52" s="173"/>
      <c r="X52" s="142"/>
      <c r="Y52" s="142"/>
      <c r="Z52" s="170"/>
    </row>
    <row r="53" spans="1:31">
      <c r="A53" s="158" t="s">
        <v>90</v>
      </c>
      <c r="B53" s="56"/>
      <c r="C53" s="143">
        <f t="shared" ref="C53:D53" si="124">X36+X37+X38</f>
        <v>83717.281530000007</v>
      </c>
      <c r="D53" s="56">
        <f t="shared" si="124"/>
        <v>75269.444609999991</v>
      </c>
      <c r="E53" s="145"/>
      <c r="F53" s="127"/>
      <c r="G53" s="145">
        <f t="shared" si="120"/>
        <v>5.301105273187811E-2</v>
      </c>
      <c r="H53" s="162">
        <f t="shared" si="121"/>
        <v>5.0284567038767949E-2</v>
      </c>
      <c r="K53" s="173"/>
      <c r="L53" s="142"/>
      <c r="M53" s="142"/>
      <c r="N53" s="170"/>
      <c r="O53" s="173"/>
      <c r="P53" s="142"/>
      <c r="Q53" s="142"/>
      <c r="R53" s="170"/>
      <c r="S53" s="173"/>
      <c r="T53" s="142"/>
      <c r="U53" s="142"/>
      <c r="V53" s="170"/>
      <c r="W53" s="173"/>
      <c r="X53" s="142"/>
      <c r="Y53" s="142"/>
      <c r="Z53" s="170"/>
    </row>
    <row r="54" spans="1:31" ht="15.75" thickBot="1">
      <c r="A54" s="163"/>
      <c r="B54" s="164"/>
      <c r="C54" s="165">
        <f>SUM(C48:C53)</f>
        <v>1579242.0111600002</v>
      </c>
      <c r="D54" s="166">
        <f>SUM(D48:D53)</f>
        <v>1496869.6966599994</v>
      </c>
      <c r="E54" s="113"/>
      <c r="F54" s="167"/>
      <c r="G54" s="113"/>
      <c r="H54" s="114"/>
      <c r="K54" s="173"/>
      <c r="L54" s="142"/>
      <c r="M54" s="142"/>
      <c r="N54" s="170"/>
      <c r="O54" s="173"/>
      <c r="P54" s="142"/>
      <c r="Q54" s="142"/>
      <c r="R54" s="170"/>
      <c r="S54" s="173"/>
      <c r="T54" s="142"/>
      <c r="U54" s="142"/>
      <c r="V54" s="170"/>
      <c r="W54" s="173"/>
      <c r="X54" s="142"/>
      <c r="Y54" s="142"/>
      <c r="Z54" s="170"/>
    </row>
    <row r="55" spans="1:31">
      <c r="F55" s="127"/>
      <c r="K55" s="173"/>
      <c r="L55" s="142"/>
      <c r="M55" s="142"/>
      <c r="N55" s="170"/>
      <c r="O55" s="173"/>
      <c r="P55" s="142"/>
      <c r="Q55" s="142"/>
      <c r="R55" s="170"/>
      <c r="S55" s="173"/>
      <c r="T55" s="142"/>
      <c r="U55" s="142"/>
      <c r="V55" s="170"/>
      <c r="W55" s="173"/>
      <c r="X55" s="142"/>
      <c r="Y55" s="142"/>
      <c r="Z55" s="170"/>
    </row>
    <row r="56" spans="1:31">
      <c r="K56" s="173"/>
      <c r="L56" s="142"/>
      <c r="M56" s="142"/>
      <c r="N56" s="170"/>
      <c r="O56" s="173"/>
      <c r="P56" s="142"/>
      <c r="Q56" s="142"/>
      <c r="R56" s="170"/>
      <c r="S56" s="173"/>
      <c r="T56" s="142"/>
      <c r="U56" s="142"/>
      <c r="V56" s="170"/>
      <c r="W56" s="173"/>
      <c r="X56" s="142"/>
      <c r="Y56" s="142"/>
      <c r="Z56" s="170"/>
    </row>
    <row r="57" spans="1:31">
      <c r="K57" s="173"/>
      <c r="L57" s="142"/>
      <c r="M57" s="142"/>
      <c r="N57" s="170"/>
      <c r="O57" s="173"/>
      <c r="P57" s="142"/>
      <c r="Q57" s="142"/>
      <c r="R57" s="170"/>
      <c r="S57" s="173"/>
      <c r="T57" s="142"/>
      <c r="U57" s="142"/>
      <c r="V57" s="170"/>
      <c r="W57" s="173"/>
      <c r="X57" s="142"/>
      <c r="Y57" s="142"/>
      <c r="Z57" s="170"/>
    </row>
    <row r="58" spans="1:31">
      <c r="K58" s="173"/>
      <c r="L58" s="142"/>
      <c r="M58" s="142"/>
      <c r="N58" s="170"/>
      <c r="O58" s="173"/>
      <c r="P58" s="142"/>
      <c r="Q58" s="142"/>
      <c r="R58" s="170"/>
      <c r="S58" s="173"/>
      <c r="T58" s="142"/>
      <c r="U58" s="142"/>
      <c r="V58" s="170"/>
      <c r="W58" s="173"/>
      <c r="X58" s="142"/>
      <c r="Y58" s="142"/>
      <c r="Z58" s="170"/>
    </row>
    <row r="59" spans="1:31">
      <c r="K59" s="173"/>
      <c r="L59" s="142"/>
      <c r="M59" s="142"/>
      <c r="N59" s="170"/>
      <c r="O59" s="173"/>
      <c r="P59" s="142"/>
      <c r="Q59" s="142"/>
      <c r="R59" s="170"/>
      <c r="S59" s="173"/>
      <c r="T59" s="142"/>
      <c r="U59" s="142"/>
      <c r="V59" s="170"/>
      <c r="W59" s="173"/>
      <c r="X59" s="142"/>
      <c r="Y59" s="142"/>
      <c r="Z59" s="170"/>
    </row>
    <row r="60" spans="1:31">
      <c r="K60" s="173"/>
      <c r="L60" s="142"/>
      <c r="M60" s="142"/>
      <c r="N60" s="170"/>
      <c r="O60" s="173"/>
      <c r="P60" s="142"/>
      <c r="Q60" s="142"/>
      <c r="R60" s="170"/>
      <c r="S60" s="173"/>
      <c r="T60" s="142"/>
      <c r="U60" s="142"/>
      <c r="V60" s="170"/>
      <c r="W60" s="173"/>
      <c r="X60" s="142"/>
      <c r="Y60" s="142"/>
      <c r="Z60" s="170"/>
    </row>
    <row r="61" spans="1:31">
      <c r="K61" s="173"/>
      <c r="L61" s="142"/>
      <c r="M61" s="142"/>
      <c r="N61" s="170"/>
      <c r="O61" s="173"/>
      <c r="P61" s="142"/>
      <c r="Q61" s="142"/>
      <c r="R61" s="170"/>
      <c r="S61" s="173"/>
      <c r="T61" s="142"/>
      <c r="U61" s="142"/>
      <c r="V61" s="170"/>
      <c r="W61" s="173"/>
      <c r="X61" s="142"/>
      <c r="Y61" s="142"/>
      <c r="Z61" s="170"/>
    </row>
    <row r="62" spans="1:31">
      <c r="K62" s="173"/>
      <c r="L62" s="142"/>
      <c r="M62" s="142"/>
      <c r="N62" s="170"/>
      <c r="O62" s="173"/>
      <c r="P62" s="142"/>
      <c r="Q62" s="142"/>
      <c r="R62" s="170"/>
      <c r="S62" s="173"/>
      <c r="T62" s="142"/>
      <c r="U62" s="142"/>
      <c r="V62" s="170"/>
      <c r="W62" s="173"/>
      <c r="X62" s="142"/>
      <c r="Y62" s="142"/>
      <c r="Z62" s="170"/>
      <c r="AC62" s="116" t="s">
        <v>91</v>
      </c>
      <c r="AD62" s="40"/>
      <c r="AE62" s="40"/>
    </row>
    <row r="63" spans="1:31" ht="15.75" thickBot="1">
      <c r="K63" s="163"/>
      <c r="L63" s="113"/>
      <c r="M63" s="113"/>
      <c r="N63" s="114"/>
      <c r="O63" s="163"/>
      <c r="P63" s="113"/>
      <c r="Q63" s="113"/>
      <c r="R63" s="114"/>
      <c r="S63" s="163"/>
      <c r="T63" s="113"/>
      <c r="U63" s="113"/>
      <c r="V63" s="171"/>
      <c r="W63" s="163"/>
      <c r="X63" s="113"/>
      <c r="Y63" s="113"/>
      <c r="Z63" s="114"/>
      <c r="AC63" s="40" t="s">
        <v>18</v>
      </c>
      <c r="AD63" s="40" t="s">
        <v>19</v>
      </c>
      <c r="AE63" s="116" t="s">
        <v>24</v>
      </c>
    </row>
    <row r="64" spans="1:31">
      <c r="AC64" s="34">
        <f>X11</f>
        <v>2212499.3642800003</v>
      </c>
      <c r="AD64" s="34">
        <f>Y11</f>
        <v>2110277.3298500003</v>
      </c>
      <c r="AE64" s="224">
        <f>(AD64-AC64)/AC64</f>
        <v>-4.6202062735175277E-2</v>
      </c>
    </row>
  </sheetData>
  <mergeCells count="7">
    <mergeCell ref="AC2:AE2"/>
    <mergeCell ref="W1:Z1"/>
    <mergeCell ref="C1:F1"/>
    <mergeCell ref="G1:J1"/>
    <mergeCell ref="K1:N1"/>
    <mergeCell ref="O1:R1"/>
    <mergeCell ref="S1:V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12816-B886-4C77-A4C8-6739CAB8BE4D}">
  <dimension ref="A1:AA82"/>
  <sheetViews>
    <sheetView zoomScale="85" zoomScaleNormal="85" workbookViewId="0">
      <selection activeCell="W12" sqref="W12"/>
    </sheetView>
  </sheetViews>
  <sheetFormatPr defaultColWidth="8.85546875" defaultRowHeight="15"/>
  <cols>
    <col min="2" max="2" width="13" bestFit="1" customWidth="1"/>
    <col min="3" max="3" width="20.7109375" bestFit="1" customWidth="1"/>
    <col min="4" max="4" width="13.85546875" bestFit="1" customWidth="1"/>
    <col min="5" max="5" width="13.85546875" customWidth="1"/>
    <col min="6" max="6" width="14" bestFit="1" customWidth="1"/>
    <col min="7" max="7" width="11.28515625" bestFit="1" customWidth="1"/>
    <col min="8" max="8" width="16.28515625" customWidth="1"/>
    <col min="9" max="9" width="14.28515625" bestFit="1" customWidth="1"/>
    <col min="10" max="11" width="12.7109375" bestFit="1" customWidth="1"/>
    <col min="12" max="12" width="13.28515625" bestFit="1" customWidth="1"/>
    <col min="13" max="20" width="12.42578125" customWidth="1"/>
    <col min="21" max="21" width="13.28515625" bestFit="1" customWidth="1"/>
    <col min="22" max="22" width="13.7109375" bestFit="1" customWidth="1"/>
    <col min="23" max="23" width="13.140625" bestFit="1" customWidth="1"/>
    <col min="24" max="24" width="13" bestFit="1" customWidth="1"/>
    <col min="25" max="27" width="12.7109375" bestFit="1" customWidth="1"/>
    <col min="28" max="28" width="11.42578125" bestFit="1" customWidth="1"/>
    <col min="29" max="29" width="9.42578125" bestFit="1" customWidth="1"/>
    <col min="30" max="30" width="14.42578125" bestFit="1" customWidth="1"/>
    <col min="31" max="31" width="11.42578125" bestFit="1" customWidth="1"/>
  </cols>
  <sheetData>
    <row r="1" spans="1:22" ht="55.9" customHeight="1">
      <c r="D1" s="65" t="s">
        <v>298</v>
      </c>
      <c r="E1" s="71" t="s">
        <v>299</v>
      </c>
      <c r="F1" s="65" t="s">
        <v>382</v>
      </c>
      <c r="G1" s="93" t="s">
        <v>301</v>
      </c>
      <c r="I1" s="65"/>
      <c r="J1" s="65"/>
      <c r="K1" s="36" t="s">
        <v>302</v>
      </c>
      <c r="L1" s="36" t="s">
        <v>303</v>
      </c>
      <c r="M1" s="36" t="s">
        <v>304</v>
      </c>
      <c r="N1" s="36" t="s">
        <v>305</v>
      </c>
      <c r="O1" s="36" t="s">
        <v>306</v>
      </c>
    </row>
    <row r="2" spans="1:22">
      <c r="B2" t="s">
        <v>307</v>
      </c>
      <c r="C2" s="70" t="s">
        <v>308</v>
      </c>
      <c r="D2" s="81">
        <v>26566.595929262396</v>
      </c>
      <c r="E2" s="85">
        <f>D2/$D$9</f>
        <v>4.4635662793021981E-3</v>
      </c>
      <c r="F2" s="57">
        <f>X34</f>
        <v>38723.474371795324</v>
      </c>
      <c r="G2" s="94">
        <f>F2/$F$9</f>
        <v>5.1654690477630173E-3</v>
      </c>
      <c r="H2" s="50"/>
      <c r="K2" s="63">
        <v>2</v>
      </c>
      <c r="L2" s="39">
        <f t="shared" ref="L2:L8" si="0">F2/K2</f>
        <v>19361.737185897662</v>
      </c>
      <c r="M2" s="39">
        <f t="shared" ref="M2:M8" si="1">L2*G2</f>
        <v>100.0124541446766</v>
      </c>
      <c r="N2" s="35">
        <v>0.58026007187671758</v>
      </c>
      <c r="O2" s="35">
        <v>0.13783597413647813</v>
      </c>
      <c r="U2">
        <v>1990</v>
      </c>
      <c r="V2">
        <f>17612+100161+4351869+480358</f>
        <v>4950000</v>
      </c>
    </row>
    <row r="3" spans="1:22">
      <c r="B3" t="s">
        <v>309</v>
      </c>
      <c r="C3" s="70" t="s">
        <v>310</v>
      </c>
      <c r="D3" s="81">
        <v>55983.612752116169</v>
      </c>
      <c r="E3" s="85">
        <f t="shared" ref="E3:E8" si="2">D3/$D$9</f>
        <v>9.4060438431487151E-3</v>
      </c>
      <c r="F3" s="57">
        <f>X35</f>
        <v>78338.911679878191</v>
      </c>
      <c r="G3" s="94">
        <f t="shared" ref="G3:G4" si="3">F3/$F$9</f>
        <v>1.0449920366974822E-2</v>
      </c>
      <c r="K3" s="63">
        <v>15</v>
      </c>
      <c r="L3" s="39">
        <f t="shared" si="0"/>
        <v>5222.5941119918798</v>
      </c>
      <c r="M3" s="39">
        <f t="shared" si="1"/>
        <v>54.575692579346729</v>
      </c>
      <c r="N3" s="35">
        <v>0.49273024147761241</v>
      </c>
      <c r="O3" s="35">
        <v>7.2717916992056056E-2</v>
      </c>
      <c r="U3">
        <v>2021</v>
      </c>
      <c r="V3">
        <f>140777+800636+12786314+1454645+28628</f>
        <v>15211000</v>
      </c>
    </row>
    <row r="4" spans="1:22">
      <c r="C4" s="70"/>
      <c r="D4" s="81">
        <v>0</v>
      </c>
      <c r="E4" s="85">
        <f t="shared" si="2"/>
        <v>0</v>
      </c>
      <c r="F4" s="57">
        <f>H17</f>
        <v>0</v>
      </c>
      <c r="G4" s="94">
        <f t="shared" si="3"/>
        <v>0</v>
      </c>
      <c r="K4">
        <f>AVERAGE(20,200)</f>
        <v>110</v>
      </c>
      <c r="L4" s="39">
        <f t="shared" si="0"/>
        <v>0</v>
      </c>
      <c r="M4" s="39">
        <f t="shared" si="1"/>
        <v>0</v>
      </c>
      <c r="N4" s="35">
        <v>0.49754365777387549</v>
      </c>
      <c r="O4" s="35">
        <v>1.964701206131458E-2</v>
      </c>
      <c r="U4">
        <f>U3-U2</f>
        <v>31</v>
      </c>
      <c r="V4">
        <f>V3/V2-1</f>
        <v>2.0729292929292931</v>
      </c>
    </row>
    <row r="5" spans="1:22">
      <c r="B5" t="s">
        <v>311</v>
      </c>
      <c r="C5" s="98" t="s">
        <v>312</v>
      </c>
      <c r="D5" s="81">
        <v>190931.33199861538</v>
      </c>
      <c r="E5" s="85">
        <f t="shared" si="2"/>
        <v>3.2079181594829718E-2</v>
      </c>
      <c r="F5" s="57">
        <f>X36</f>
        <v>1545395.675474541</v>
      </c>
      <c r="G5" s="94">
        <f>F5/$F$9</f>
        <v>0.20614610795421928</v>
      </c>
      <c r="H5" s="35"/>
      <c r="K5" s="63">
        <v>5</v>
      </c>
      <c r="L5" s="39">
        <f t="shared" si="0"/>
        <v>309079.13509490818</v>
      </c>
      <c r="M5" s="39">
        <f t="shared" si="1"/>
        <v>63715.460749671671</v>
      </c>
      <c r="N5" s="101">
        <v>0.344899949930358</v>
      </c>
      <c r="O5" s="101">
        <v>5.8015096048721897E-2</v>
      </c>
      <c r="V5" s="35">
        <f>V4/U4</f>
        <v>6.6868686868686869E-2</v>
      </c>
    </row>
    <row r="6" spans="1:22">
      <c r="C6" s="70"/>
      <c r="D6" s="81">
        <v>855086.7329832426</v>
      </c>
      <c r="E6" s="85">
        <f t="shared" si="2"/>
        <v>0.14366674290471107</v>
      </c>
      <c r="F6" s="57"/>
      <c r="G6" s="94">
        <f>F6/$F$9</f>
        <v>0</v>
      </c>
      <c r="H6" s="35"/>
      <c r="K6">
        <f>AVERAGE(4,13)</f>
        <v>8.5</v>
      </c>
      <c r="L6" s="39">
        <f t="shared" si="0"/>
        <v>0</v>
      </c>
      <c r="M6" s="39">
        <f t="shared" si="1"/>
        <v>0</v>
      </c>
      <c r="N6" s="35">
        <v>0.33003747953527612</v>
      </c>
      <c r="O6" s="35">
        <v>2.5808356020513467E-2</v>
      </c>
      <c r="V6" s="35">
        <f>V5*25</f>
        <v>1.6717171717171717</v>
      </c>
    </row>
    <row r="7" spans="1:22">
      <c r="B7" t="s">
        <v>313</v>
      </c>
      <c r="C7" s="70" t="s">
        <v>314</v>
      </c>
      <c r="D7" s="81">
        <v>1628380.2935006323</v>
      </c>
      <c r="E7" s="85">
        <f t="shared" si="2"/>
        <v>0.27359106854723936</v>
      </c>
      <c r="F7" s="57">
        <f>X37</f>
        <v>881029.24605075608</v>
      </c>
      <c r="G7" s="94">
        <f t="shared" ref="G7:G8" si="4">F7/$F$9</f>
        <v>0.11752378562301447</v>
      </c>
      <c r="H7" s="35"/>
      <c r="K7" s="63">
        <f>AVERAGE(40,60)</f>
        <v>50</v>
      </c>
      <c r="L7" s="39">
        <f t="shared" si="0"/>
        <v>17620.584921015121</v>
      </c>
      <c r="M7" s="39">
        <f t="shared" si="1"/>
        <v>2070.8378448095023</v>
      </c>
      <c r="N7" s="35">
        <v>0.8457076496176642</v>
      </c>
      <c r="O7" s="35">
        <v>3.8010802364927064E-2</v>
      </c>
    </row>
    <row r="8" spans="1:22">
      <c r="B8" t="s">
        <v>315</v>
      </c>
      <c r="C8" s="70" t="s">
        <v>316</v>
      </c>
      <c r="D8" s="81">
        <v>3194928.0863661035</v>
      </c>
      <c r="E8" s="85">
        <f t="shared" si="2"/>
        <v>0.53679339683076899</v>
      </c>
      <c r="F8" s="57">
        <f>X38</f>
        <v>4953116.3916679407</v>
      </c>
      <c r="G8" s="94">
        <f t="shared" si="4"/>
        <v>0.66071471700802842</v>
      </c>
      <c r="H8" s="35"/>
      <c r="K8" s="63">
        <f>AVERAGE(30,40)</f>
        <v>35</v>
      </c>
      <c r="L8" s="39">
        <f t="shared" si="0"/>
        <v>141517.6111905126</v>
      </c>
      <c r="M8" s="39">
        <f t="shared" si="1"/>
        <v>93502.768429391726</v>
      </c>
      <c r="N8" s="35">
        <v>0.50266700163356404</v>
      </c>
      <c r="O8" s="35">
        <v>3.1421722443300611E-2</v>
      </c>
    </row>
    <row r="9" spans="1:22">
      <c r="D9" s="82">
        <f>SUM(D2:D8)</f>
        <v>5951876.6535299718</v>
      </c>
      <c r="E9" s="69">
        <f>SUM(E2:E8)</f>
        <v>1</v>
      </c>
      <c r="F9" s="97">
        <f>SUM(F2:F8)</f>
        <v>7496603.6992449109</v>
      </c>
      <c r="G9" s="89"/>
      <c r="M9" s="95">
        <f>SUM(M2:M8)</f>
        <v>159443.6551705969</v>
      </c>
    </row>
    <row r="10" spans="1:22">
      <c r="D10" s="39"/>
      <c r="F10" s="39"/>
      <c r="L10" s="39"/>
      <c r="R10" s="46" t="s">
        <v>318</v>
      </c>
      <c r="S10" s="46"/>
    </row>
    <row r="11" spans="1:22">
      <c r="D11" s="39"/>
      <c r="F11" s="312" t="s">
        <v>383</v>
      </c>
      <c r="G11" s="312"/>
      <c r="H11" s="312"/>
      <c r="I11" s="312"/>
      <c r="J11" s="312"/>
      <c r="K11" s="312"/>
      <c r="L11" s="312"/>
      <c r="O11" t="s">
        <v>307</v>
      </c>
      <c r="P11" t="s">
        <v>309</v>
      </c>
      <c r="R11" t="s">
        <v>311</v>
      </c>
      <c r="T11" t="s">
        <v>313</v>
      </c>
      <c r="U11" t="s">
        <v>315</v>
      </c>
    </row>
    <row r="12" spans="1:22" ht="75">
      <c r="A12" s="59"/>
      <c r="B12" s="67" t="s">
        <v>319</v>
      </c>
      <c r="D12" s="39"/>
      <c r="E12" s="20" t="s">
        <v>320</v>
      </c>
      <c r="F12" s="20" t="s">
        <v>308</v>
      </c>
      <c r="G12" s="20" t="s">
        <v>310</v>
      </c>
      <c r="H12" s="20"/>
      <c r="I12" s="66" t="s">
        <v>312</v>
      </c>
      <c r="J12" s="20"/>
      <c r="K12" s="20" t="s">
        <v>314</v>
      </c>
      <c r="L12" s="20" t="s">
        <v>316</v>
      </c>
      <c r="O12" s="67" t="s">
        <v>308</v>
      </c>
      <c r="P12" s="67" t="s">
        <v>310</v>
      </c>
      <c r="Q12" s="67"/>
      <c r="R12" s="66" t="s">
        <v>312</v>
      </c>
      <c r="S12" s="67"/>
      <c r="T12" s="67" t="s">
        <v>314</v>
      </c>
      <c r="U12" s="67" t="s">
        <v>316</v>
      </c>
    </row>
    <row r="13" spans="1:22">
      <c r="A13" s="59" t="s">
        <v>324</v>
      </c>
      <c r="B13" s="83">
        <v>1528197.1</v>
      </c>
      <c r="D13" t="s">
        <v>324</v>
      </c>
      <c r="E13" s="26">
        <f>SUM(F13:L13)</f>
        <v>1963830.4892919599</v>
      </c>
      <c r="F13" s="18">
        <f>F2*Herd_2020_PS!N38</f>
        <v>14666.760985310186</v>
      </c>
      <c r="G13" s="18">
        <f>F3*Herd_2020_PS!O38</f>
        <v>27249.457293666979</v>
      </c>
      <c r="H13" s="18"/>
      <c r="I13" s="18">
        <f>F5*Herd_2020_PS!Q38</f>
        <v>460315.42114295927</v>
      </c>
      <c r="J13" s="18"/>
      <c r="K13" s="18">
        <f>F7*Herd_2020_PS!S38</f>
        <v>361663.36419365561</v>
      </c>
      <c r="L13" s="18">
        <f>F8*Herd_2020_PS!T38</f>
        <v>1099935.485676368</v>
      </c>
      <c r="O13" s="43">
        <f>(F13/$F$2)*$M$2</f>
        <v>37.88034995027899</v>
      </c>
      <c r="P13" s="39">
        <f>(G13/$F$3)*$M$3</f>
        <v>18.983643917473415</v>
      </c>
      <c r="Q13" s="42"/>
      <c r="R13" s="43">
        <f>(I13/$F$5)*$M$5</f>
        <v>18978.446499985679</v>
      </c>
      <c r="S13" s="43"/>
      <c r="T13" s="43">
        <f>(K13/$F$7)*$M$7</f>
        <v>850.08095362386769</v>
      </c>
      <c r="U13" s="43">
        <f>(L13/$F$8)*$M$8</f>
        <v>20764.101804164282</v>
      </c>
    </row>
    <row r="14" spans="1:22">
      <c r="A14" s="59" t="s">
        <v>325</v>
      </c>
      <c r="B14" s="83">
        <v>1062382.5</v>
      </c>
      <c r="D14" t="s">
        <v>325</v>
      </c>
      <c r="E14" s="26">
        <f t="shared" ref="E14:E16" si="5">SUM(F14:L14)</f>
        <v>2084050.536458648</v>
      </c>
      <c r="F14" s="18">
        <f>F2*Herd_2020_PS!N39</f>
        <v>10107.481690221102</v>
      </c>
      <c r="G14" s="18">
        <f>F3*Herd_2020_PS!O39</f>
        <v>13543.860091760189</v>
      </c>
      <c r="H14" s="18"/>
      <c r="I14" s="18">
        <f>F5*Herd_2020_PS!Q39</f>
        <v>285307.61331219919</v>
      </c>
      <c r="J14" s="18"/>
      <c r="K14" s="18">
        <f>F7*Herd_2020_PS!S39</f>
        <v>99796.245590559978</v>
      </c>
      <c r="L14" s="18">
        <f>F8*Herd_2020_PS!T39</f>
        <v>1675295.3357739076</v>
      </c>
      <c r="O14" s="43">
        <f>(F14/$F$2)*$M$2</f>
        <v>26.104941910834263</v>
      </c>
      <c r="P14" s="43">
        <f>(G14/$F$3)*$M$3</f>
        <v>9.4354839613561516</v>
      </c>
      <c r="Q14" s="42"/>
      <c r="R14" s="43">
        <f>(I14/$F$5)*$M$5</f>
        <v>11763.010810803453</v>
      </c>
      <c r="S14" s="43"/>
      <c r="T14" s="43">
        <f>(K14/$F$7)*$M$7</f>
        <v>234.56865145533345</v>
      </c>
      <c r="U14" s="43">
        <f>(L14/$F$8)*$M$8</f>
        <v>31625.493819449352</v>
      </c>
    </row>
    <row r="15" spans="1:22">
      <c r="A15" s="59" t="s">
        <v>326</v>
      </c>
      <c r="B15" s="83">
        <v>2194326.4666666668</v>
      </c>
      <c r="D15" t="s">
        <v>326</v>
      </c>
      <c r="E15" s="26">
        <f t="shared" si="5"/>
        <v>1380829.828177925</v>
      </c>
      <c r="F15" s="18">
        <f>F2*Herd_2020_PS!N40</f>
        <v>2663.3052122904073</v>
      </c>
      <c r="G15" s="18">
        <f>F3*Herd_2020_PS!O40</f>
        <v>4186.6314548481168</v>
      </c>
      <c r="H15" s="18"/>
      <c r="I15" s="18">
        <f>F5*Herd_2020_PS!Q40</f>
        <v>149287.93725140224</v>
      </c>
      <c r="J15" s="18"/>
      <c r="K15" s="18">
        <f>F7*Herd_2020_PS!S40</f>
        <v>87933.158581871263</v>
      </c>
      <c r="L15" s="18">
        <f>F8*Herd_2020_PS!T40</f>
        <v>1136758.7956775129</v>
      </c>
      <c r="O15" s="43">
        <f>(F15/$F$5)*$M$5</f>
        <v>109.80600076157064</v>
      </c>
      <c r="P15" s="43">
        <f>(G15/$F$3)*$M$3</f>
        <v>2.9166643539356509</v>
      </c>
      <c r="Q15" s="42"/>
      <c r="R15" s="43">
        <f>(I15/$F$5)*$M$5</f>
        <v>6155.0254457780557</v>
      </c>
      <c r="S15" s="43"/>
      <c r="T15" s="43">
        <f>(K15/$F$7)*$M$7</f>
        <v>206.68475356660744</v>
      </c>
      <c r="U15" s="43">
        <f>(L15/$F$8)*$M$8</f>
        <v>21459.236171213004</v>
      </c>
    </row>
    <row r="16" spans="1:22">
      <c r="A16" s="84" t="s">
        <v>327</v>
      </c>
      <c r="B16" s="83">
        <v>1179534.45</v>
      </c>
      <c r="D16" s="54" t="s">
        <v>327</v>
      </c>
      <c r="E16" s="26">
        <f t="shared" si="5"/>
        <v>2067892.8453163784</v>
      </c>
      <c r="F16" s="18">
        <f>F2*Herd_2020_PS!N41</f>
        <v>11285.926483973632</v>
      </c>
      <c r="G16" s="18">
        <f>F3*Herd_2020_PS!O41</f>
        <v>33358.962839602915</v>
      </c>
      <c r="H16" s="18"/>
      <c r="I16" s="18">
        <f>F5*Herd_2020_PS!Q41</f>
        <v>650484.7037679801</v>
      </c>
      <c r="J16" s="18"/>
      <c r="K16" s="18">
        <f>F7*Herd_2020_PS!S41</f>
        <v>331636.47768466925</v>
      </c>
      <c r="L16" s="18">
        <f>F8*Herd_2020_PS!T41</f>
        <v>1041126.7745401523</v>
      </c>
      <c r="O16" s="43">
        <f>(F16/$F$5)*$M$5</f>
        <v>465.30996386572212</v>
      </c>
      <c r="P16" s="43">
        <f>(G16/$F$3)*$M$3</f>
        <v>23.239900346581518</v>
      </c>
      <c r="Q16" s="42"/>
      <c r="R16" s="43">
        <f>(I16/$F$5)*$M$5</f>
        <v>26818.977993104472</v>
      </c>
      <c r="S16" s="43"/>
      <c r="T16" s="43">
        <f>(K16/$F$7)*$M$7</f>
        <v>779.50348616369376</v>
      </c>
      <c r="U16" s="43">
        <f>(L16/$F$8)*$M$8</f>
        <v>19653.936634565092</v>
      </c>
    </row>
    <row r="17" spans="1:22" ht="15.75" thickBot="1">
      <c r="A17" s="59"/>
      <c r="B17" s="88">
        <f>SUM(B13:B16)</f>
        <v>5964440.5166666666</v>
      </c>
      <c r="D17" s="107" t="s">
        <v>384</v>
      </c>
      <c r="E17" s="34">
        <f>SUM(E13:E16)</f>
        <v>7496603.6992449118</v>
      </c>
      <c r="F17" s="39">
        <f>SUM(F13:F16)</f>
        <v>38723.474371795324</v>
      </c>
      <c r="G17" s="39">
        <f>SUM(G13:G16)</f>
        <v>78338.911679878191</v>
      </c>
      <c r="H17" s="39">
        <f t="shared" ref="H17:L17" si="6">SUM(H13:H16)</f>
        <v>0</v>
      </c>
      <c r="I17" s="39">
        <f t="shared" si="6"/>
        <v>1545395.6754745408</v>
      </c>
      <c r="J17" s="39">
        <f t="shared" si="6"/>
        <v>0</v>
      </c>
      <c r="K17" s="39">
        <f t="shared" si="6"/>
        <v>881029.24605075619</v>
      </c>
      <c r="L17" s="39">
        <f t="shared" si="6"/>
        <v>4953116.3916679407</v>
      </c>
      <c r="N17" s="44" t="s">
        <v>330</v>
      </c>
      <c r="O17" s="45">
        <f t="shared" ref="O17:P17" si="7">SUM(O13:O16)</f>
        <v>639.10125648840608</v>
      </c>
      <c r="P17" s="45">
        <f t="shared" si="7"/>
        <v>54.575692579346736</v>
      </c>
      <c r="Q17" s="45"/>
      <c r="R17" s="45">
        <f>SUM(R13:R16)</f>
        <v>63715.460749671664</v>
      </c>
      <c r="S17" s="45"/>
      <c r="T17" s="45">
        <f t="shared" ref="T17:U17" si="8">SUM(T13:T16)</f>
        <v>2070.8378448095023</v>
      </c>
      <c r="U17" s="45">
        <f t="shared" si="8"/>
        <v>93502.768429391726</v>
      </c>
      <c r="V17" s="45">
        <f>SUM(O17:U17)</f>
        <v>159982.74397294066</v>
      </c>
    </row>
    <row r="18" spans="1:22" ht="45.75" thickBot="1">
      <c r="N18" s="65" t="s">
        <v>331</v>
      </c>
      <c r="O18" s="45">
        <f t="shared" ref="O18:P18" si="9">O17*0.75</f>
        <v>479.32594236630456</v>
      </c>
      <c r="P18" s="45">
        <f t="shared" si="9"/>
        <v>40.931769434510052</v>
      </c>
      <c r="Q18" s="45"/>
      <c r="R18" s="45">
        <f>R17*0.75</f>
        <v>47786.595562253744</v>
      </c>
      <c r="S18" s="45"/>
      <c r="T18" s="45">
        <f t="shared" ref="T18:U18" si="10">T17*0.75</f>
        <v>1553.1283836071266</v>
      </c>
      <c r="U18" s="45">
        <f t="shared" si="10"/>
        <v>70127.076322043795</v>
      </c>
      <c r="V18" s="278">
        <f>SUM(O18:U18)</f>
        <v>119987.05797970548</v>
      </c>
    </row>
    <row r="19" spans="1:22">
      <c r="C19" s="90"/>
      <c r="D19" s="90"/>
      <c r="E19" s="90" t="s">
        <v>332</v>
      </c>
      <c r="F19" s="90"/>
      <c r="G19" s="90"/>
      <c r="H19" s="90" t="s">
        <v>333</v>
      </c>
      <c r="I19" s="90"/>
      <c r="J19" s="90"/>
      <c r="K19" s="90"/>
      <c r="L19" s="90"/>
      <c r="T19">
        <f>T18/V18</f>
        <v>1.2944132556944779E-2</v>
      </c>
    </row>
    <row r="20" spans="1:22" ht="30">
      <c r="C20" s="90" t="s">
        <v>334</v>
      </c>
      <c r="D20" s="90" t="s">
        <v>320</v>
      </c>
      <c r="E20" s="90" t="s">
        <v>308</v>
      </c>
      <c r="F20" s="90" t="s">
        <v>310</v>
      </c>
      <c r="G20" s="90" t="s">
        <v>335</v>
      </c>
      <c r="H20" s="90" t="s">
        <v>322</v>
      </c>
      <c r="I20" s="90" t="s">
        <v>323</v>
      </c>
      <c r="J20" s="90" t="s">
        <v>314</v>
      </c>
      <c r="K20" s="90" t="s">
        <v>316</v>
      </c>
      <c r="L20" s="92" t="s">
        <v>336</v>
      </c>
      <c r="N20" s="36" t="s">
        <v>337</v>
      </c>
      <c r="O20" s="39">
        <f>O18*K2</f>
        <v>958.65188473260912</v>
      </c>
      <c r="P20" s="39">
        <f>P18*K3</f>
        <v>613.97654151765073</v>
      </c>
      <c r="Q20" s="39"/>
      <c r="R20" s="39">
        <f>R18*K5</f>
        <v>238932.97781126871</v>
      </c>
      <c r="S20" s="39"/>
      <c r="T20" s="222">
        <f>T18*12</f>
        <v>18637.540603285517</v>
      </c>
      <c r="U20" s="222">
        <f>U18*6</f>
        <v>420762.4579322628</v>
      </c>
      <c r="V20" s="95">
        <f>SUM(O20:U20)</f>
        <v>679905.60477306729</v>
      </c>
    </row>
    <row r="21" spans="1:22" ht="45">
      <c r="C21" s="90" t="s">
        <v>338</v>
      </c>
      <c r="D21" s="90"/>
      <c r="E21" s="91">
        <v>7.930574379302632E-3</v>
      </c>
      <c r="F21" s="91">
        <v>1.5347939498954194E-2</v>
      </c>
      <c r="G21" s="91">
        <v>6.1883369272403262E-3</v>
      </c>
      <c r="H21" s="91">
        <v>4.3789400257788165E-2</v>
      </c>
      <c r="I21" s="91">
        <v>0.19490844403443056</v>
      </c>
      <c r="J21" s="91">
        <v>0.1982808151137759</v>
      </c>
      <c r="K21" s="91">
        <v>0.53355456336838791</v>
      </c>
      <c r="L21" s="91">
        <f>SUM(E21:K21)</f>
        <v>1.0000000735798797</v>
      </c>
      <c r="N21" s="36" t="s">
        <v>339</v>
      </c>
      <c r="O21" s="39">
        <f>O20*Uganda_herd2020!P8</f>
        <v>556.26741153969454</v>
      </c>
      <c r="P21" s="39">
        <f>P20*Uganda_herd2020!P17</f>
        <v>302.52480956358136</v>
      </c>
      <c r="Q21" s="39"/>
      <c r="R21" s="39">
        <f>R20*Uganda_herd2020!P45</f>
        <v>82407.97208381792</v>
      </c>
      <c r="S21" s="39"/>
      <c r="T21" s="39">
        <f>T20*Uganda_herd2020!P53</f>
        <v>15761.910658258377</v>
      </c>
      <c r="U21" s="39">
        <f>U20*Uganda_herd2020!P62</f>
        <v>211503.40312877917</v>
      </c>
      <c r="V21" s="39">
        <f t="shared" ref="V21:V22" si="11">SUM(O21:U21)</f>
        <v>310532.07809195877</v>
      </c>
    </row>
    <row r="22" spans="1:22" ht="30">
      <c r="C22" s="90" t="s">
        <v>340</v>
      </c>
      <c r="D22" s="90"/>
      <c r="E22" s="91">
        <v>5.307045150118911E-3</v>
      </c>
      <c r="F22" s="91">
        <v>7.4075411267352466E-3</v>
      </c>
      <c r="G22" s="91">
        <v>1.3745226985539679E-3</v>
      </c>
      <c r="H22" s="91">
        <v>1.8537454623658342E-2</v>
      </c>
      <c r="I22" s="91">
        <v>0.12512580770355108</v>
      </c>
      <c r="J22" s="91">
        <v>5.3128771284707069E-2</v>
      </c>
      <c r="K22" s="91">
        <v>0.7891188104061112</v>
      </c>
      <c r="L22" s="91">
        <f t="shared" ref="L22:L25" si="12">SUM(E22:K22)</f>
        <v>0.9999999529934358</v>
      </c>
      <c r="N22" s="36" t="s">
        <v>341</v>
      </c>
      <c r="O22" s="39">
        <f>O20*Uganda_herd2020!R8</f>
        <v>132.13671638988993</v>
      </c>
      <c r="P22" s="39">
        <f>P20*Uganda_herd2020!R17</f>
        <v>44.647095181150185</v>
      </c>
      <c r="Q22" s="39"/>
      <c r="R22" s="39">
        <f>R20*Uganda_herd2020!R45</f>
        <v>13861.719656927891</v>
      </c>
      <c r="S22" s="39"/>
      <c r="T22" s="39">
        <f>T20*Uganda_herd2020!R53</f>
        <v>708.42787243978933</v>
      </c>
      <c r="U22" s="39">
        <f>U20*Uganda_herd2020!R62</f>
        <v>13221.081167708511</v>
      </c>
      <c r="V22" s="39">
        <f t="shared" si="11"/>
        <v>27968.012508647233</v>
      </c>
    </row>
    <row r="23" spans="1:22">
      <c r="C23" s="90" t="s">
        <v>342</v>
      </c>
      <c r="D23" s="90"/>
      <c r="E23" s="91">
        <v>0</v>
      </c>
      <c r="F23" s="91">
        <v>0</v>
      </c>
      <c r="G23" s="91">
        <v>0</v>
      </c>
      <c r="H23" s="91">
        <v>4.0516453672533479E-3</v>
      </c>
      <c r="I23" s="91">
        <v>2.0498938667870906E-2</v>
      </c>
      <c r="J23" s="91">
        <v>0.85249915672266863</v>
      </c>
      <c r="K23" s="91">
        <v>0.12295014205445662</v>
      </c>
      <c r="L23" s="91">
        <f t="shared" si="12"/>
        <v>0.9999998828122495</v>
      </c>
    </row>
    <row r="24" spans="1:22">
      <c r="C24" s="90" t="s">
        <v>343</v>
      </c>
      <c r="D24" s="90"/>
      <c r="E24" s="91">
        <v>2.1138917364442898E-3</v>
      </c>
      <c r="F24" s="91">
        <v>3.4613724077618407E-3</v>
      </c>
      <c r="G24" s="91">
        <v>6.101232406156181E-4</v>
      </c>
      <c r="H24" s="91">
        <v>2.1217060738518163E-2</v>
      </c>
      <c r="I24" s="91">
        <v>9.2417140520638624E-2</v>
      </c>
      <c r="J24" s="91">
        <v>7.0765279311796714E-2</v>
      </c>
      <c r="K24" s="91">
        <v>0.80941513821736166</v>
      </c>
      <c r="L24" s="91">
        <f t="shared" si="12"/>
        <v>1.0000000061731369</v>
      </c>
    </row>
    <row r="25" spans="1:22" ht="45">
      <c r="C25" s="90" t="s">
        <v>344</v>
      </c>
      <c r="D25" s="90"/>
      <c r="E25" s="91">
        <v>5.8067510346736457E-3</v>
      </c>
      <c r="F25" s="91">
        <v>1.7878468841126226E-2</v>
      </c>
      <c r="G25" s="91">
        <v>1.7915730337612547E-3</v>
      </c>
      <c r="H25" s="91">
        <v>6.5984067872440225E-2</v>
      </c>
      <c r="I25" s="91">
        <v>0.25497941338842722</v>
      </c>
      <c r="J25" s="91">
        <v>0.17300714232093717</v>
      </c>
      <c r="K25" s="91">
        <v>0.48055245657683843</v>
      </c>
      <c r="L25" s="91">
        <f t="shared" si="12"/>
        <v>0.99999987306820415</v>
      </c>
      <c r="N25" s="36" t="s">
        <v>339</v>
      </c>
      <c r="O25" s="25">
        <f>O20*N2</f>
        <v>556.26741153969454</v>
      </c>
      <c r="P25" s="25">
        <f>P20*N3</f>
        <v>302.52480956358136</v>
      </c>
      <c r="R25" s="25">
        <f>R20*N5</f>
        <v>82407.97208381792</v>
      </c>
      <c r="T25" s="25">
        <f>T20*N7</f>
        <v>15761.910658258377</v>
      </c>
      <c r="U25" s="25">
        <f>U20*N8</f>
        <v>211503.40312877917</v>
      </c>
    </row>
    <row r="26" spans="1:22" ht="30">
      <c r="C26" s="90"/>
      <c r="D26" s="90"/>
      <c r="E26" s="91"/>
      <c r="F26" s="91"/>
      <c r="G26" s="91"/>
      <c r="H26" s="91"/>
      <c r="I26" s="91"/>
      <c r="J26" s="91"/>
      <c r="K26" s="91"/>
      <c r="L26" s="90"/>
      <c r="N26" s="36" t="s">
        <v>341</v>
      </c>
      <c r="O26" s="25">
        <f>O20*O2</f>
        <v>132.13671638988993</v>
      </c>
      <c r="P26" s="25">
        <f>P20*O3</f>
        <v>44.647095181150185</v>
      </c>
      <c r="R26" s="25">
        <f>R20*O5</f>
        <v>13861.719656927891</v>
      </c>
      <c r="T26" s="25">
        <f>T20*O7</f>
        <v>708.42787243978933</v>
      </c>
      <c r="U26" s="25">
        <f>U20*O8</f>
        <v>13221.081167708511</v>
      </c>
    </row>
    <row r="27" spans="1:22">
      <c r="C27" s="90"/>
      <c r="D27" s="90"/>
      <c r="E27" s="90"/>
      <c r="F27" s="90"/>
      <c r="G27" s="90"/>
      <c r="H27" s="90"/>
      <c r="I27" s="90"/>
      <c r="J27" s="90"/>
      <c r="K27" s="90"/>
      <c r="L27" s="90"/>
    </row>
    <row r="32" spans="1:22">
      <c r="G32" s="64"/>
    </row>
    <row r="33" spans="3:27" ht="75">
      <c r="C33" s="40" t="s">
        <v>345</v>
      </c>
      <c r="D33" s="40" t="s">
        <v>346</v>
      </c>
      <c r="F33" s="40" t="s">
        <v>6</v>
      </c>
      <c r="G33" s="20" t="s">
        <v>385</v>
      </c>
      <c r="H33">
        <v>2008</v>
      </c>
      <c r="I33">
        <v>2009</v>
      </c>
      <c r="J33">
        <v>2010</v>
      </c>
      <c r="K33">
        <v>2011</v>
      </c>
      <c r="L33">
        <v>2012</v>
      </c>
      <c r="M33">
        <v>2013</v>
      </c>
      <c r="N33">
        <v>2014</v>
      </c>
      <c r="O33">
        <v>2015</v>
      </c>
      <c r="P33">
        <v>2016</v>
      </c>
      <c r="Q33">
        <v>2017</v>
      </c>
      <c r="R33">
        <v>2018</v>
      </c>
      <c r="S33">
        <v>2019</v>
      </c>
      <c r="T33">
        <v>2020</v>
      </c>
      <c r="U33">
        <v>2021</v>
      </c>
      <c r="V33">
        <v>2022</v>
      </c>
      <c r="W33">
        <v>2023</v>
      </c>
      <c r="X33">
        <v>2024</v>
      </c>
    </row>
    <row r="34" spans="3:27">
      <c r="C34" t="s">
        <v>326</v>
      </c>
      <c r="D34" t="s">
        <v>347</v>
      </c>
      <c r="E34" t="s">
        <v>307</v>
      </c>
      <c r="F34" t="s">
        <v>308</v>
      </c>
      <c r="G34" s="50">
        <v>1.77E-2</v>
      </c>
      <c r="H34" s="39">
        <f>'Animal &amp; HH Numbers 2008'!F2</f>
        <v>29245.42413489916</v>
      </c>
      <c r="I34" s="25">
        <f>H34+(H34*$G$34)</f>
        <v>29763.068142086875</v>
      </c>
      <c r="J34" s="25">
        <f>I34+(I34*$G$34)</f>
        <v>30289.874448201812</v>
      </c>
      <c r="K34" s="25">
        <f>J34+(J34*$G$34)</f>
        <v>30826.005225934983</v>
      </c>
      <c r="L34" s="25">
        <f t="shared" ref="L34:X34" si="13">K34+(K34*$G$34)</f>
        <v>31371.625518434033</v>
      </c>
      <c r="M34" s="25">
        <f t="shared" si="13"/>
        <v>31926.903290110316</v>
      </c>
      <c r="N34" s="25">
        <f t="shared" si="13"/>
        <v>32492.00947834527</v>
      </c>
      <c r="O34" s="25">
        <f t="shared" si="13"/>
        <v>33067.11804611198</v>
      </c>
      <c r="P34" s="25">
        <f t="shared" si="13"/>
        <v>33652.406035528162</v>
      </c>
      <c r="Q34" s="25">
        <f t="shared" si="13"/>
        <v>34248.053622357009</v>
      </c>
      <c r="R34" s="25">
        <f t="shared" si="13"/>
        <v>34854.244171472725</v>
      </c>
      <c r="S34" s="25">
        <f t="shared" si="13"/>
        <v>35471.164293307789</v>
      </c>
      <c r="T34" s="25">
        <f t="shared" si="13"/>
        <v>36099.003901299337</v>
      </c>
      <c r="U34" s="25">
        <f t="shared" si="13"/>
        <v>36737.956270352333</v>
      </c>
      <c r="V34" s="25">
        <f t="shared" si="13"/>
        <v>37388.218096337572</v>
      </c>
      <c r="W34" s="25">
        <f t="shared" si="13"/>
        <v>38049.989556642744</v>
      </c>
      <c r="X34" s="106">
        <f t="shared" si="13"/>
        <v>38723.474371795324</v>
      </c>
    </row>
    <row r="35" spans="3:27">
      <c r="C35" t="s">
        <v>326</v>
      </c>
      <c r="D35" t="s">
        <v>348</v>
      </c>
      <c r="E35" t="s">
        <v>309</v>
      </c>
      <c r="F35" t="s">
        <v>310</v>
      </c>
      <c r="G35" s="50">
        <v>1.6799999999999999E-2</v>
      </c>
      <c r="H35" s="39">
        <f>'Animal &amp; HH Numbers 2008'!F3</f>
        <v>60007.969691052553</v>
      </c>
      <c r="I35" s="25">
        <f>H35+(H35*$G$35)</f>
        <v>61016.103581862233</v>
      </c>
      <c r="J35" s="25">
        <f>I35+(I35*$G$35)</f>
        <v>62041.174122037519</v>
      </c>
      <c r="K35" s="25">
        <f>J35+(J35*$G$35)</f>
        <v>63083.465847287749</v>
      </c>
      <c r="L35" s="25">
        <f t="shared" ref="L35:X35" si="14">K35+(K35*$G$35)</f>
        <v>64143.26807352218</v>
      </c>
      <c r="M35" s="25">
        <f t="shared" si="14"/>
        <v>65220.874977157349</v>
      </c>
      <c r="N35" s="25">
        <f t="shared" si="14"/>
        <v>66316.585676773597</v>
      </c>
      <c r="O35" s="25">
        <f t="shared" si="14"/>
        <v>67430.704316143398</v>
      </c>
      <c r="P35" s="25">
        <f t="shared" si="14"/>
        <v>68563.540148654603</v>
      </c>
      <c r="Q35" s="25">
        <f t="shared" si="14"/>
        <v>69715.407623152001</v>
      </c>
      <c r="R35" s="25">
        <f t="shared" si="14"/>
        <v>70886.626471220952</v>
      </c>
      <c r="S35" s="25">
        <f t="shared" si="14"/>
        <v>72077.521795937471</v>
      </c>
      <c r="T35" s="25">
        <f t="shared" si="14"/>
        <v>73288.424162109222</v>
      </c>
      <c r="U35" s="25">
        <f t="shared" si="14"/>
        <v>74519.669688032664</v>
      </c>
      <c r="V35" s="25">
        <f t="shared" si="14"/>
        <v>75771.600138791619</v>
      </c>
      <c r="W35" s="25">
        <f t="shared" si="14"/>
        <v>77044.563021123322</v>
      </c>
      <c r="X35" s="106">
        <f t="shared" si="14"/>
        <v>78338.911679878191</v>
      </c>
    </row>
    <row r="36" spans="3:27">
      <c r="C36" t="s">
        <v>327</v>
      </c>
      <c r="D36" t="s">
        <v>349</v>
      </c>
      <c r="E36" t="s">
        <v>311</v>
      </c>
      <c r="F36" t="s">
        <v>312</v>
      </c>
      <c r="G36" s="50">
        <v>1.89E-2</v>
      </c>
      <c r="H36" s="39">
        <f>'Animal &amp; HH Numbers 2008'!F5</f>
        <v>1145340.7078935737</v>
      </c>
      <c r="I36" s="25">
        <f>H36+(H36*$G$36)</f>
        <v>1166987.6472727621</v>
      </c>
      <c r="J36" s="25">
        <f>I36+(I36*$G$36)</f>
        <v>1189043.7138062173</v>
      </c>
      <c r="K36" s="25">
        <f>J36+(J36*$G$36)</f>
        <v>1211516.6399971547</v>
      </c>
      <c r="L36" s="25">
        <f t="shared" ref="L36:X36" si="15">K36+(K36*$G$36)</f>
        <v>1234414.3044931008</v>
      </c>
      <c r="M36" s="25">
        <f t="shared" si="15"/>
        <v>1257744.7348480204</v>
      </c>
      <c r="N36" s="25">
        <f t="shared" si="15"/>
        <v>1281516.1103366478</v>
      </c>
      <c r="O36" s="25">
        <f t="shared" si="15"/>
        <v>1305736.7648220104</v>
      </c>
      <c r="P36" s="25">
        <f t="shared" si="15"/>
        <v>1330415.1896771465</v>
      </c>
      <c r="Q36" s="25">
        <f t="shared" si="15"/>
        <v>1355560.0367620445</v>
      </c>
      <c r="R36" s="25">
        <f t="shared" si="15"/>
        <v>1381180.1214568471</v>
      </c>
      <c r="S36" s="25">
        <f t="shared" si="15"/>
        <v>1407284.4257523816</v>
      </c>
      <c r="T36" s="25">
        <f t="shared" si="15"/>
        <v>1433882.1013991015</v>
      </c>
      <c r="U36" s="25">
        <f t="shared" si="15"/>
        <v>1460982.4731155445</v>
      </c>
      <c r="V36" s="25">
        <f t="shared" si="15"/>
        <v>1488595.0418574284</v>
      </c>
      <c r="W36" s="25">
        <f t="shared" si="15"/>
        <v>1516729.4881485337</v>
      </c>
      <c r="X36" s="106">
        <f t="shared" si="15"/>
        <v>1545395.675474541</v>
      </c>
    </row>
    <row r="37" spans="3:27">
      <c r="C37" t="s">
        <v>327</v>
      </c>
      <c r="D37" t="s">
        <v>350</v>
      </c>
      <c r="E37" t="s">
        <v>313</v>
      </c>
      <c r="F37" t="s">
        <v>314</v>
      </c>
      <c r="G37" s="50">
        <v>1.2800000000000001E-2</v>
      </c>
      <c r="H37" s="39">
        <f>'Animal &amp; HH Numbers 2008'!F7</f>
        <v>718805.25328041683</v>
      </c>
      <c r="I37" s="25">
        <f>H37+(H37*$G$37)</f>
        <v>728005.96052240615</v>
      </c>
      <c r="J37" s="25">
        <f>I37+(I37*$G$37)</f>
        <v>737324.43681709294</v>
      </c>
      <c r="K37" s="25">
        <f>J37+(J37*$G$37)</f>
        <v>746762.18960835168</v>
      </c>
      <c r="L37" s="25">
        <f t="shared" ref="L37:X37" si="16">K37+(K37*$G$37)</f>
        <v>756320.74563533859</v>
      </c>
      <c r="M37" s="25">
        <f t="shared" si="16"/>
        <v>766001.65117947094</v>
      </c>
      <c r="N37" s="25">
        <f t="shared" si="16"/>
        <v>775806.47231456812</v>
      </c>
      <c r="O37" s="25">
        <f t="shared" si="16"/>
        <v>785736.79516019463</v>
      </c>
      <c r="P37" s="25">
        <f t="shared" si="16"/>
        <v>795794.22613824508</v>
      </c>
      <c r="Q37" s="25">
        <f t="shared" si="16"/>
        <v>805980.39223281457</v>
      </c>
      <c r="R37" s="25">
        <f t="shared" si="16"/>
        <v>816296.94125339459</v>
      </c>
      <c r="S37" s="25">
        <f t="shared" si="16"/>
        <v>826745.54210143804</v>
      </c>
      <c r="T37" s="25">
        <f t="shared" si="16"/>
        <v>837327.8850403364</v>
      </c>
      <c r="U37" s="25">
        <f t="shared" si="16"/>
        <v>848045.68196885276</v>
      </c>
      <c r="V37" s="25">
        <f t="shared" si="16"/>
        <v>858900.66669805406</v>
      </c>
      <c r="W37" s="25">
        <f t="shared" si="16"/>
        <v>869894.59523178916</v>
      </c>
      <c r="X37" s="106">
        <f t="shared" si="16"/>
        <v>881029.24605075608</v>
      </c>
    </row>
    <row r="38" spans="3:27">
      <c r="C38" t="s">
        <v>326</v>
      </c>
      <c r="D38" t="s">
        <v>351</v>
      </c>
      <c r="E38" t="s">
        <v>315</v>
      </c>
      <c r="F38" t="s">
        <v>316</v>
      </c>
      <c r="G38" s="50">
        <v>1.35E-2</v>
      </c>
      <c r="H38" s="39">
        <f>'Animal &amp; HH Numbers 2008'!F8</f>
        <v>3996671.7889031321</v>
      </c>
      <c r="I38" s="25">
        <f>H38+(H38*$G$38)</f>
        <v>4050626.8580533243</v>
      </c>
      <c r="J38" s="25">
        <f>I38+(I38*$G$38)</f>
        <v>4105310.320637044</v>
      </c>
      <c r="K38" s="25">
        <f>J38+(J38*$G$38)</f>
        <v>4160732.0099656442</v>
      </c>
      <c r="L38" s="25">
        <f t="shared" ref="L38:X38" si="17">K38+(K38*$G$38)</f>
        <v>4216901.8921001805</v>
      </c>
      <c r="M38" s="25">
        <f t="shared" si="17"/>
        <v>4273830.0676435325</v>
      </c>
      <c r="N38" s="25">
        <f t="shared" si="17"/>
        <v>4331526.7735567205</v>
      </c>
      <c r="O38" s="25">
        <f t="shared" si="17"/>
        <v>4390002.3849997362</v>
      </c>
      <c r="P38" s="25">
        <f t="shared" si="17"/>
        <v>4449267.4171972331</v>
      </c>
      <c r="Q38" s="25">
        <f t="shared" si="17"/>
        <v>4509332.5273293955</v>
      </c>
      <c r="R38" s="25">
        <f t="shared" si="17"/>
        <v>4570208.5164483422</v>
      </c>
      <c r="S38" s="25">
        <f t="shared" si="17"/>
        <v>4631906.3314203946</v>
      </c>
      <c r="T38" s="25">
        <f t="shared" si="17"/>
        <v>4694437.0668945704</v>
      </c>
      <c r="U38" s="25">
        <f t="shared" si="17"/>
        <v>4757811.9672976471</v>
      </c>
      <c r="V38" s="25">
        <f t="shared" si="17"/>
        <v>4822042.4288561651</v>
      </c>
      <c r="W38" s="25">
        <f t="shared" si="17"/>
        <v>4887140.0016457234</v>
      </c>
      <c r="X38" s="106">
        <f t="shared" si="17"/>
        <v>4953116.3916679407</v>
      </c>
    </row>
    <row r="39" spans="3:27">
      <c r="C39" t="s">
        <v>325</v>
      </c>
      <c r="D39" t="s">
        <v>352</v>
      </c>
    </row>
    <row r="40" spans="3:27">
      <c r="C40" t="s">
        <v>326</v>
      </c>
      <c r="D40" t="s">
        <v>353</v>
      </c>
    </row>
    <row r="41" spans="3:27" ht="75">
      <c r="C41" t="s">
        <v>324</v>
      </c>
      <c r="D41" t="s">
        <v>354</v>
      </c>
      <c r="F41" s="40" t="s">
        <v>18</v>
      </c>
      <c r="G41" s="20" t="s">
        <v>385</v>
      </c>
      <c r="H41">
        <v>1</v>
      </c>
      <c r="I41">
        <v>2</v>
      </c>
      <c r="J41">
        <v>3</v>
      </c>
      <c r="K41">
        <v>4</v>
      </c>
      <c r="L41">
        <v>5</v>
      </c>
      <c r="M41">
        <v>6</v>
      </c>
      <c r="N41">
        <v>7</v>
      </c>
      <c r="O41">
        <v>8</v>
      </c>
      <c r="P41">
        <v>9</v>
      </c>
      <c r="Q41">
        <v>10</v>
      </c>
      <c r="R41">
        <v>11</v>
      </c>
      <c r="S41">
        <v>12</v>
      </c>
      <c r="T41">
        <v>13</v>
      </c>
      <c r="U41">
        <v>14</v>
      </c>
      <c r="V41">
        <v>15</v>
      </c>
      <c r="W41">
        <v>16</v>
      </c>
      <c r="X41">
        <v>17</v>
      </c>
      <c r="Y41">
        <v>18</v>
      </c>
      <c r="Z41">
        <v>19</v>
      </c>
      <c r="AA41">
        <v>20</v>
      </c>
    </row>
    <row r="42" spans="3:27">
      <c r="C42" t="s">
        <v>327</v>
      </c>
      <c r="D42" t="s">
        <v>355</v>
      </c>
      <c r="E42" t="s">
        <v>307</v>
      </c>
      <c r="F42" t="s">
        <v>308</v>
      </c>
      <c r="G42" s="50">
        <v>1.77E-2</v>
      </c>
      <c r="H42" s="39">
        <f>X34</f>
        <v>38723.474371795324</v>
      </c>
      <c r="I42" s="25">
        <f>H42+(H42*$G$42)</f>
        <v>39408.879868176104</v>
      </c>
      <c r="J42" s="25">
        <f t="shared" ref="J42:AA42" si="18">I42+(I42*$G$42)</f>
        <v>40106.417041842818</v>
      </c>
      <c r="K42" s="25">
        <f t="shared" si="18"/>
        <v>40816.300623483439</v>
      </c>
      <c r="L42" s="25">
        <f t="shared" si="18"/>
        <v>41538.749144519097</v>
      </c>
      <c r="M42" s="25">
        <f t="shared" si="18"/>
        <v>42273.985004377086</v>
      </c>
      <c r="N42" s="25">
        <f t="shared" si="18"/>
        <v>43022.234538954559</v>
      </c>
      <c r="O42" s="25">
        <f t="shared" si="18"/>
        <v>43783.728090294055</v>
      </c>
      <c r="P42" s="25">
        <f t="shared" si="18"/>
        <v>44558.700077492256</v>
      </c>
      <c r="Q42" s="25">
        <f t="shared" si="18"/>
        <v>45347.389068863871</v>
      </c>
      <c r="R42" s="25">
        <f t="shared" si="18"/>
        <v>46150.037855382761</v>
      </c>
      <c r="S42" s="25">
        <f t="shared" si="18"/>
        <v>46966.893525423038</v>
      </c>
      <c r="T42" s="25">
        <f t="shared" si="18"/>
        <v>47798.207540823023</v>
      </c>
      <c r="U42" s="25">
        <f t="shared" si="18"/>
        <v>48644.235814295593</v>
      </c>
      <c r="V42" s="25">
        <f t="shared" si="18"/>
        <v>49505.238788208626</v>
      </c>
      <c r="W42" s="25">
        <f t="shared" si="18"/>
        <v>50381.481514759922</v>
      </c>
      <c r="X42" s="25">
        <f t="shared" si="18"/>
        <v>51273.233737571172</v>
      </c>
      <c r="Y42" s="25">
        <f t="shared" si="18"/>
        <v>52180.769974726179</v>
      </c>
      <c r="Z42" s="25">
        <f t="shared" si="18"/>
        <v>53104.369603278836</v>
      </c>
      <c r="AA42" s="106">
        <f t="shared" si="18"/>
        <v>54044.316945256869</v>
      </c>
    </row>
    <row r="43" spans="3:27">
      <c r="C43" t="s">
        <v>325</v>
      </c>
      <c r="D43" t="s">
        <v>356</v>
      </c>
      <c r="E43" t="s">
        <v>309</v>
      </c>
      <c r="F43" t="s">
        <v>310</v>
      </c>
      <c r="G43" s="50">
        <v>1.6799999999999999E-2</v>
      </c>
      <c r="H43" s="39">
        <f>X35</f>
        <v>78338.911679878191</v>
      </c>
      <c r="I43" s="25">
        <f>H43+(H43*$G$43)</f>
        <v>79655.005396100139</v>
      </c>
      <c r="J43" s="25">
        <f t="shared" ref="J43:AA43" si="19">I43+(I43*$G$43)</f>
        <v>80993.209486754626</v>
      </c>
      <c r="K43" s="25">
        <f t="shared" si="19"/>
        <v>82353.895406132098</v>
      </c>
      <c r="L43" s="25">
        <f t="shared" si="19"/>
        <v>83737.440848955113</v>
      </c>
      <c r="M43" s="25">
        <f t="shared" si="19"/>
        <v>85144.229855217563</v>
      </c>
      <c r="N43" s="25">
        <f t="shared" si="19"/>
        <v>86574.652916785213</v>
      </c>
      <c r="O43" s="25">
        <f t="shared" si="19"/>
        <v>88029.107085787211</v>
      </c>
      <c r="P43" s="25">
        <f t="shared" si="19"/>
        <v>89507.996084828439</v>
      </c>
      <c r="Q43" s="25">
        <f t="shared" si="19"/>
        <v>91011.730419053551</v>
      </c>
      <c r="R43" s="25">
        <f t="shared" si="19"/>
        <v>92540.727490093646</v>
      </c>
      <c r="S43" s="25">
        <f t="shared" si="19"/>
        <v>94095.411711927212</v>
      </c>
      <c r="T43" s="25">
        <f t="shared" si="19"/>
        <v>95676.214628687594</v>
      </c>
      <c r="U43" s="25">
        <f t="shared" si="19"/>
        <v>97283.575034449546</v>
      </c>
      <c r="V43" s="25">
        <f t="shared" si="19"/>
        <v>98917.939095028298</v>
      </c>
      <c r="W43" s="25">
        <f t="shared" si="19"/>
        <v>100579.76047182477</v>
      </c>
      <c r="X43" s="25">
        <f t="shared" si="19"/>
        <v>102269.50044775143</v>
      </c>
      <c r="Y43" s="25">
        <f t="shared" si="19"/>
        <v>103987.62805527366</v>
      </c>
      <c r="Z43" s="25">
        <f t="shared" si="19"/>
        <v>105734.62020660225</v>
      </c>
      <c r="AA43" s="106">
        <f t="shared" si="19"/>
        <v>107510.96182607317</v>
      </c>
    </row>
    <row r="44" spans="3:27">
      <c r="C44" t="s">
        <v>327</v>
      </c>
      <c r="D44" t="s">
        <v>357</v>
      </c>
      <c r="E44" t="s">
        <v>311</v>
      </c>
      <c r="F44" t="s">
        <v>312</v>
      </c>
      <c r="G44" s="50">
        <v>1.89E-2</v>
      </c>
      <c r="H44" s="39">
        <f>X36</f>
        <v>1545395.675474541</v>
      </c>
      <c r="I44" s="25">
        <f>H44+(H44*$G$44)</f>
        <v>1574603.6537410098</v>
      </c>
      <c r="J44" s="25">
        <f t="shared" ref="J44:N44" si="20">I44+(I44*$G$44)</f>
        <v>1604363.6627967148</v>
      </c>
      <c r="K44" s="25">
        <f t="shared" si="20"/>
        <v>1634686.1360235726</v>
      </c>
      <c r="L44" s="25">
        <f t="shared" si="20"/>
        <v>1665581.7039944183</v>
      </c>
      <c r="M44" s="25">
        <f t="shared" si="20"/>
        <v>1697061.1981999127</v>
      </c>
      <c r="N44" s="25">
        <f t="shared" si="20"/>
        <v>1729135.6548458911</v>
      </c>
      <c r="O44" s="25">
        <f t="shared" ref="O44:AA44" si="21">N44+(N44*$G$44)</f>
        <v>1761816.3187224783</v>
      </c>
      <c r="P44" s="25">
        <f t="shared" si="21"/>
        <v>1795114.6471463332</v>
      </c>
      <c r="Q44" s="25">
        <f t="shared" si="21"/>
        <v>1829042.3139773989</v>
      </c>
      <c r="R44" s="25">
        <f t="shared" si="21"/>
        <v>1863611.2137115716</v>
      </c>
      <c r="S44" s="25">
        <f t="shared" si="21"/>
        <v>1898833.4656507203</v>
      </c>
      <c r="T44" s="25">
        <f t="shared" si="21"/>
        <v>1934721.4181515188</v>
      </c>
      <c r="U44" s="25">
        <f t="shared" si="21"/>
        <v>1971287.6529545826</v>
      </c>
      <c r="V44" s="25">
        <f t="shared" si="21"/>
        <v>2008544.9895954242</v>
      </c>
      <c r="W44" s="25">
        <f t="shared" si="21"/>
        <v>2046506.4898987776</v>
      </c>
      <c r="X44" s="25">
        <f t="shared" si="21"/>
        <v>2085185.4625578644</v>
      </c>
      <c r="Y44" s="25">
        <f t="shared" si="21"/>
        <v>2124595.4678002079</v>
      </c>
      <c r="Z44" s="25">
        <f t="shared" si="21"/>
        <v>2164750.322141632</v>
      </c>
      <c r="AA44" s="106">
        <f t="shared" si="21"/>
        <v>2205664.103230109</v>
      </c>
    </row>
    <row r="45" spans="3:27">
      <c r="C45" t="s">
        <v>324</v>
      </c>
      <c r="D45" t="s">
        <v>358</v>
      </c>
      <c r="E45" t="s">
        <v>313</v>
      </c>
      <c r="F45" t="s">
        <v>314</v>
      </c>
      <c r="G45" s="50">
        <v>1.2800000000000001E-2</v>
      </c>
      <c r="H45" s="39">
        <f>X37</f>
        <v>881029.24605075608</v>
      </c>
      <c r="I45" s="25">
        <f>H45+(H45*$G$45)</f>
        <v>892306.42040020577</v>
      </c>
      <c r="J45" s="25">
        <f t="shared" ref="J45:N45" si="22">I45+(I45*$G$45)</f>
        <v>903727.94258132845</v>
      </c>
      <c r="K45" s="25">
        <f t="shared" si="22"/>
        <v>915295.66024636943</v>
      </c>
      <c r="L45" s="25">
        <f t="shared" si="22"/>
        <v>927011.44469752291</v>
      </c>
      <c r="M45" s="25">
        <f t="shared" si="22"/>
        <v>938877.19118965114</v>
      </c>
      <c r="N45" s="25">
        <f t="shared" si="22"/>
        <v>950894.81923687865</v>
      </c>
      <c r="O45" s="25">
        <f t="shared" ref="O45:AA45" si="23">N45+(N45*$G$45)</f>
        <v>963066.27292311075</v>
      </c>
      <c r="P45" s="25">
        <f t="shared" si="23"/>
        <v>975393.52121652663</v>
      </c>
      <c r="Q45" s="25">
        <f t="shared" si="23"/>
        <v>987878.5582880982</v>
      </c>
      <c r="R45" s="25">
        <f t="shared" si="23"/>
        <v>1000523.4038341858</v>
      </c>
      <c r="S45" s="25">
        <f t="shared" si="23"/>
        <v>1013330.1034032634</v>
      </c>
      <c r="T45" s="25">
        <f t="shared" si="23"/>
        <v>1026300.7287268251</v>
      </c>
      <c r="U45" s="25">
        <f t="shared" si="23"/>
        <v>1039437.3780545285</v>
      </c>
      <c r="V45" s="25">
        <f t="shared" si="23"/>
        <v>1052742.1764936266</v>
      </c>
      <c r="W45" s="25">
        <f t="shared" si="23"/>
        <v>1066217.276352745</v>
      </c>
      <c r="X45" s="25">
        <f t="shared" si="23"/>
        <v>1079864.8574900602</v>
      </c>
      <c r="Y45" s="25">
        <f t="shared" si="23"/>
        <v>1093687.127665933</v>
      </c>
      <c r="Z45" s="25">
        <f t="shared" si="23"/>
        <v>1107686.3229000568</v>
      </c>
      <c r="AA45" s="106">
        <f t="shared" si="23"/>
        <v>1121864.7078331776</v>
      </c>
    </row>
    <row r="46" spans="3:27">
      <c r="C46" t="s">
        <v>325</v>
      </c>
      <c r="D46" t="s">
        <v>359</v>
      </c>
      <c r="E46" t="s">
        <v>315</v>
      </c>
      <c r="F46" t="s">
        <v>316</v>
      </c>
      <c r="G46" s="50">
        <v>1.35E-2</v>
      </c>
      <c r="H46" s="39">
        <f>X38</f>
        <v>4953116.3916679407</v>
      </c>
      <c r="I46" s="25">
        <f>H46+(H46*$G$46)</f>
        <v>5019983.4629554581</v>
      </c>
      <c r="J46" s="25">
        <f t="shared" ref="J46:N46" si="24">I46+(I46*$G$46)</f>
        <v>5087753.2397053568</v>
      </c>
      <c r="K46" s="25">
        <f t="shared" si="24"/>
        <v>5156437.9084413787</v>
      </c>
      <c r="L46" s="25">
        <f t="shared" si="24"/>
        <v>5226049.8202053374</v>
      </c>
      <c r="M46" s="25">
        <f t="shared" si="24"/>
        <v>5296601.4927781094</v>
      </c>
      <c r="N46" s="25">
        <f t="shared" si="24"/>
        <v>5368105.6129306136</v>
      </c>
      <c r="O46" s="25">
        <f t="shared" ref="O46:AA46" si="25">N46+(N46*$G$46)</f>
        <v>5440575.0387051767</v>
      </c>
      <c r="P46" s="25">
        <f t="shared" si="25"/>
        <v>5514022.8017276963</v>
      </c>
      <c r="Q46" s="25">
        <f t="shared" si="25"/>
        <v>5588462.10955102</v>
      </c>
      <c r="R46" s="25">
        <f t="shared" si="25"/>
        <v>5663906.348029959</v>
      </c>
      <c r="S46" s="25">
        <f t="shared" si="25"/>
        <v>5740369.0837283637</v>
      </c>
      <c r="T46" s="25">
        <f t="shared" si="25"/>
        <v>5817864.0663586967</v>
      </c>
      <c r="U46" s="25">
        <f t="shared" si="25"/>
        <v>5896405.2312545395</v>
      </c>
      <c r="V46" s="25">
        <f t="shared" si="25"/>
        <v>5976006.7018764755</v>
      </c>
      <c r="W46" s="25">
        <f t="shared" si="25"/>
        <v>6056682.7923518075</v>
      </c>
      <c r="X46" s="25">
        <f t="shared" si="25"/>
        <v>6138448.0100485571</v>
      </c>
      <c r="Y46" s="25">
        <f t="shared" si="25"/>
        <v>6221317.058184213</v>
      </c>
      <c r="Z46" s="25">
        <f t="shared" si="25"/>
        <v>6305304.8384697</v>
      </c>
      <c r="AA46" s="106">
        <f t="shared" si="25"/>
        <v>6390426.4537890404</v>
      </c>
    </row>
    <row r="47" spans="3:27">
      <c r="C47" t="s">
        <v>327</v>
      </c>
      <c r="D47" t="s">
        <v>360</v>
      </c>
    </row>
    <row r="48" spans="3:27">
      <c r="C48" t="s">
        <v>326</v>
      </c>
      <c r="D48" t="s">
        <v>361</v>
      </c>
    </row>
    <row r="49" spans="3:27" ht="75">
      <c r="C49" t="s">
        <v>326</v>
      </c>
      <c r="D49" t="s">
        <v>362</v>
      </c>
      <c r="F49" s="40" t="s">
        <v>160</v>
      </c>
      <c r="G49" s="20" t="s">
        <v>385</v>
      </c>
      <c r="H49">
        <v>1</v>
      </c>
      <c r="I49">
        <v>2</v>
      </c>
      <c r="J49">
        <v>3</v>
      </c>
      <c r="K49">
        <v>4</v>
      </c>
      <c r="L49">
        <v>5</v>
      </c>
      <c r="M49">
        <v>6</v>
      </c>
      <c r="N49">
        <v>7</v>
      </c>
      <c r="O49">
        <v>8</v>
      </c>
      <c r="P49">
        <v>9</v>
      </c>
      <c r="Q49">
        <v>10</v>
      </c>
      <c r="R49">
        <v>11</v>
      </c>
      <c r="S49">
        <v>12</v>
      </c>
      <c r="T49">
        <v>13</v>
      </c>
      <c r="U49">
        <v>14</v>
      </c>
      <c r="V49">
        <v>15</v>
      </c>
      <c r="W49">
        <v>16</v>
      </c>
      <c r="X49">
        <v>17</v>
      </c>
      <c r="Y49">
        <v>18</v>
      </c>
      <c r="Z49">
        <v>19</v>
      </c>
      <c r="AA49">
        <v>20</v>
      </c>
    </row>
    <row r="50" spans="3:27">
      <c r="C50" t="s">
        <v>325</v>
      </c>
      <c r="D50" t="s">
        <v>363</v>
      </c>
      <c r="E50" t="s">
        <v>307</v>
      </c>
      <c r="F50" t="s">
        <v>308</v>
      </c>
      <c r="G50" s="50">
        <v>1.04E-2</v>
      </c>
      <c r="H50" s="39">
        <f>X34</f>
        <v>38723.474371795324</v>
      </c>
      <c r="I50" s="25">
        <f>H50+(H50*$G$50)</f>
        <v>39126.198505261993</v>
      </c>
      <c r="J50" s="25">
        <f t="shared" ref="J50:M50" si="26">I50+(I50*$G$50)</f>
        <v>39533.110969716719</v>
      </c>
      <c r="K50" s="25">
        <f t="shared" si="26"/>
        <v>39944.255323801772</v>
      </c>
      <c r="L50" s="25">
        <f t="shared" si="26"/>
        <v>40359.675579169307</v>
      </c>
      <c r="M50" s="25">
        <f t="shared" si="26"/>
        <v>40779.416205192669</v>
      </c>
      <c r="N50" s="25">
        <f t="shared" ref="N50:AA50" si="27">M50+(M50*$G$50)</f>
        <v>41203.52213372667</v>
      </c>
      <c r="O50" s="25">
        <f t="shared" si="27"/>
        <v>41632.03876391743</v>
      </c>
      <c r="P50" s="25">
        <f t="shared" si="27"/>
        <v>42065.011967062172</v>
      </c>
      <c r="Q50" s="25">
        <f t="shared" si="27"/>
        <v>42502.488091519619</v>
      </c>
      <c r="R50" s="25">
        <f t="shared" si="27"/>
        <v>42944.513967671424</v>
      </c>
      <c r="S50" s="25">
        <f t="shared" si="27"/>
        <v>43391.13691293521</v>
      </c>
      <c r="T50" s="25">
        <f t="shared" si="27"/>
        <v>43842.404736829732</v>
      </c>
      <c r="U50" s="25">
        <f t="shared" si="27"/>
        <v>44298.365746092764</v>
      </c>
      <c r="V50" s="25">
        <f t="shared" si="27"/>
        <v>44759.068749852129</v>
      </c>
      <c r="W50" s="25">
        <f t="shared" si="27"/>
        <v>45224.56306485059</v>
      </c>
      <c r="X50" s="25">
        <f t="shared" si="27"/>
        <v>45694.898520725037</v>
      </c>
      <c r="Y50" s="25">
        <f t="shared" si="27"/>
        <v>46170.125465340578</v>
      </c>
      <c r="Z50" s="25">
        <f t="shared" si="27"/>
        <v>46650.294770180117</v>
      </c>
      <c r="AA50" s="106">
        <f t="shared" si="27"/>
        <v>47135.457835789988</v>
      </c>
    </row>
    <row r="51" spans="3:27">
      <c r="C51" t="s">
        <v>324</v>
      </c>
      <c r="D51" t="s">
        <v>364</v>
      </c>
      <c r="E51" t="s">
        <v>309</v>
      </c>
      <c r="F51" t="s">
        <v>310</v>
      </c>
      <c r="G51" s="50">
        <v>1.0699999999999999E-2</v>
      </c>
      <c r="H51" s="39">
        <f t="shared" ref="H51:H54" si="28">X35</f>
        <v>78338.911679878191</v>
      </c>
      <c r="I51" s="25">
        <f>H51+(H51*$G$51)</f>
        <v>79177.138034852891</v>
      </c>
      <c r="J51" s="25">
        <f t="shared" ref="J51:M51" si="29">I51+(I51*$G$51)</f>
        <v>80024.333411825821</v>
      </c>
      <c r="K51" s="25">
        <f t="shared" si="29"/>
        <v>80880.593779332354</v>
      </c>
      <c r="L51" s="25">
        <f t="shared" si="29"/>
        <v>81746.016132771212</v>
      </c>
      <c r="M51" s="25">
        <f t="shared" si="29"/>
        <v>82620.698505391862</v>
      </c>
      <c r="N51" s="25">
        <f t="shared" ref="N51:AA51" si="30">M51+(M51*$G$51)</f>
        <v>83504.739979399557</v>
      </c>
      <c r="O51" s="25">
        <f t="shared" si="30"/>
        <v>84398.240697179135</v>
      </c>
      <c r="P51" s="25">
        <f t="shared" si="30"/>
        <v>85301.301872638956</v>
      </c>
      <c r="Q51" s="25">
        <f t="shared" si="30"/>
        <v>86214.025802676188</v>
      </c>
      <c r="R51" s="25">
        <f t="shared" si="30"/>
        <v>87136.515878764825</v>
      </c>
      <c r="S51" s="25">
        <f t="shared" si="30"/>
        <v>88068.876598667615</v>
      </c>
      <c r="T51" s="25">
        <f t="shared" si="30"/>
        <v>89011.213578273353</v>
      </c>
      <c r="U51" s="25">
        <f t="shared" si="30"/>
        <v>89963.633563560885</v>
      </c>
      <c r="V51" s="25">
        <f t="shared" si="30"/>
        <v>90926.244442690993</v>
      </c>
      <c r="W51" s="25">
        <f t="shared" si="30"/>
        <v>91899.15525822778</v>
      </c>
      <c r="X51" s="25">
        <f t="shared" si="30"/>
        <v>92882.476219490811</v>
      </c>
      <c r="Y51" s="25">
        <f t="shared" si="30"/>
        <v>93876.318715039364</v>
      </c>
      <c r="Z51" s="25">
        <f t="shared" si="30"/>
        <v>94880.795325290281</v>
      </c>
      <c r="AA51" s="106">
        <f t="shared" si="30"/>
        <v>95896.019835270883</v>
      </c>
    </row>
    <row r="52" spans="3:27">
      <c r="C52" t="s">
        <v>324</v>
      </c>
      <c r="D52" t="s">
        <v>365</v>
      </c>
      <c r="E52" t="s">
        <v>311</v>
      </c>
      <c r="F52" t="s">
        <v>312</v>
      </c>
      <c r="G52" s="50">
        <v>1.04E-2</v>
      </c>
      <c r="H52" s="39">
        <f t="shared" si="28"/>
        <v>1545395.675474541</v>
      </c>
      <c r="I52" s="25">
        <f>H52+(H52*$G$52)</f>
        <v>1561467.7904994763</v>
      </c>
      <c r="J52" s="25">
        <f t="shared" ref="J52:M52" si="31">I52+(I52*$G$52)</f>
        <v>1577707.0555206707</v>
      </c>
      <c r="K52" s="25">
        <f t="shared" si="31"/>
        <v>1594115.2088980856</v>
      </c>
      <c r="L52" s="25">
        <f t="shared" si="31"/>
        <v>1610694.0070706257</v>
      </c>
      <c r="M52" s="25">
        <f t="shared" si="31"/>
        <v>1627445.2247441602</v>
      </c>
      <c r="N52" s="25">
        <f t="shared" ref="N52:AA52" si="32">M52+(M52*$G$52)</f>
        <v>1644370.6550814994</v>
      </c>
      <c r="O52" s="25">
        <f t="shared" si="32"/>
        <v>1661472.1098943469</v>
      </c>
      <c r="P52" s="25">
        <f t="shared" si="32"/>
        <v>1678751.419837248</v>
      </c>
      <c r="Q52" s="25">
        <f t="shared" si="32"/>
        <v>1696210.4346035554</v>
      </c>
      <c r="R52" s="25">
        <f t="shared" si="32"/>
        <v>1713851.0231234324</v>
      </c>
      <c r="S52" s="25">
        <f t="shared" si="32"/>
        <v>1731675.073763916</v>
      </c>
      <c r="T52" s="25">
        <f t="shared" si="32"/>
        <v>1749684.4945310608</v>
      </c>
      <c r="U52" s="25">
        <f t="shared" si="32"/>
        <v>1767881.2132741839</v>
      </c>
      <c r="V52" s="25">
        <f t="shared" si="32"/>
        <v>1786267.1778922353</v>
      </c>
      <c r="W52" s="25">
        <f t="shared" si="32"/>
        <v>1804844.3565423146</v>
      </c>
      <c r="X52" s="25">
        <f t="shared" si="32"/>
        <v>1823614.7378503548</v>
      </c>
      <c r="Y52" s="25">
        <f t="shared" si="32"/>
        <v>1842580.3311239984</v>
      </c>
      <c r="Z52" s="25">
        <f t="shared" si="32"/>
        <v>1861743.1665676879</v>
      </c>
      <c r="AA52" s="106">
        <f t="shared" si="32"/>
        <v>1881105.2954999919</v>
      </c>
    </row>
    <row r="53" spans="3:27">
      <c r="C53" t="s">
        <v>326</v>
      </c>
      <c r="D53" t="s">
        <v>366</v>
      </c>
      <c r="E53" t="s">
        <v>313</v>
      </c>
      <c r="F53" t="s">
        <v>314</v>
      </c>
      <c r="G53" s="50">
        <v>1.03E-2</v>
      </c>
      <c r="H53" s="39">
        <f t="shared" si="28"/>
        <v>881029.24605075608</v>
      </c>
      <c r="I53" s="25">
        <f>H53+(H53*$G$53)</f>
        <v>890103.84728507884</v>
      </c>
      <c r="J53" s="25">
        <f t="shared" ref="J53:M53" si="33">I53+(I53*$G$53)</f>
        <v>899271.91691211518</v>
      </c>
      <c r="K53" s="25">
        <f t="shared" si="33"/>
        <v>908534.41765631002</v>
      </c>
      <c r="L53" s="25">
        <f t="shared" si="33"/>
        <v>917892.32215817005</v>
      </c>
      <c r="M53" s="25">
        <f t="shared" si="33"/>
        <v>927346.6130763992</v>
      </c>
      <c r="N53" s="25">
        <f t="shared" ref="N53:AA53" si="34">M53+(M53*$G$53)</f>
        <v>936898.28319108614</v>
      </c>
      <c r="O53" s="25">
        <f t="shared" si="34"/>
        <v>946548.33550795435</v>
      </c>
      <c r="P53" s="25">
        <f t="shared" si="34"/>
        <v>956297.78336368629</v>
      </c>
      <c r="Q53" s="25">
        <f t="shared" si="34"/>
        <v>966147.65053233225</v>
      </c>
      <c r="R53" s="25">
        <f t="shared" si="34"/>
        <v>976098.97133281524</v>
      </c>
      <c r="S53" s="25">
        <f t="shared" si="34"/>
        <v>986152.79073754326</v>
      </c>
      <c r="T53" s="25">
        <f t="shared" si="34"/>
        <v>996310.16448213998</v>
      </c>
      <c r="U53" s="25">
        <f t="shared" si="34"/>
        <v>1006572.159176306</v>
      </c>
      <c r="V53" s="25">
        <f t="shared" si="34"/>
        <v>1016939.852415822</v>
      </c>
      <c r="W53" s="25">
        <f t="shared" si="34"/>
        <v>1027414.3328957049</v>
      </c>
      <c r="X53" s="25">
        <f t="shared" si="34"/>
        <v>1037996.7005245306</v>
      </c>
      <c r="Y53" s="25">
        <f t="shared" si="34"/>
        <v>1048688.0665399332</v>
      </c>
      <c r="Z53" s="25">
        <f t="shared" si="34"/>
        <v>1059489.5536252945</v>
      </c>
      <c r="AA53" s="106">
        <f t="shared" si="34"/>
        <v>1070402.296027635</v>
      </c>
    </row>
    <row r="54" spans="3:27">
      <c r="C54" t="s">
        <v>327</v>
      </c>
      <c r="D54" t="s">
        <v>367</v>
      </c>
      <c r="E54" t="s">
        <v>315</v>
      </c>
      <c r="F54" t="s">
        <v>316</v>
      </c>
      <c r="G54" s="50">
        <v>1.06E-2</v>
      </c>
      <c r="H54" s="39">
        <f t="shared" si="28"/>
        <v>4953116.3916679407</v>
      </c>
      <c r="I54" s="25">
        <f>H54+(H54*$G$54)</f>
        <v>5005619.4254196212</v>
      </c>
      <c r="J54" s="25">
        <f t="shared" ref="J54:M54" si="35">I54+(I54*$G$54)</f>
        <v>5058678.9913290692</v>
      </c>
      <c r="K54" s="25">
        <f t="shared" si="35"/>
        <v>5112300.9886371577</v>
      </c>
      <c r="L54" s="25">
        <f t="shared" si="35"/>
        <v>5166491.3791167112</v>
      </c>
      <c r="M54" s="25">
        <f t="shared" si="35"/>
        <v>5221256.187735348</v>
      </c>
      <c r="N54" s="25">
        <f t="shared" ref="N54:AA54" si="36">M54+(M54*$G$54)</f>
        <v>5276601.5033253431</v>
      </c>
      <c r="O54" s="25">
        <f t="shared" si="36"/>
        <v>5332533.4792605918</v>
      </c>
      <c r="P54" s="25">
        <f t="shared" si="36"/>
        <v>5389058.3341407543</v>
      </c>
      <c r="Q54" s="25">
        <f t="shared" si="36"/>
        <v>5446182.3524826467</v>
      </c>
      <c r="R54" s="25">
        <f t="shared" si="36"/>
        <v>5503911.8854189627</v>
      </c>
      <c r="S54" s="25">
        <f t="shared" si="36"/>
        <v>5562253.3514044033</v>
      </c>
      <c r="T54" s="25">
        <f t="shared" si="36"/>
        <v>5621213.23692929</v>
      </c>
      <c r="U54" s="25">
        <f t="shared" si="36"/>
        <v>5680798.0972407404</v>
      </c>
      <c r="V54" s="25">
        <f t="shared" si="36"/>
        <v>5741014.5570714921</v>
      </c>
      <c r="W54" s="25">
        <f t="shared" si="36"/>
        <v>5801869.3113764497</v>
      </c>
      <c r="X54" s="25">
        <f t="shared" si="36"/>
        <v>5863369.1260770401</v>
      </c>
      <c r="Y54" s="25">
        <f t="shared" si="36"/>
        <v>5925520.8388134567</v>
      </c>
      <c r="Z54" s="25">
        <f t="shared" si="36"/>
        <v>5988331.3597048791</v>
      </c>
      <c r="AA54" s="106">
        <f t="shared" si="36"/>
        <v>6051807.6721177511</v>
      </c>
    </row>
    <row r="55" spans="3:27">
      <c r="C55" t="s">
        <v>327</v>
      </c>
      <c r="D55" t="s">
        <v>368</v>
      </c>
    </row>
    <row r="56" spans="3:27">
      <c r="C56" t="s">
        <v>326</v>
      </c>
      <c r="D56" t="s">
        <v>369</v>
      </c>
    </row>
    <row r="57" spans="3:27">
      <c r="C57" t="s">
        <v>326</v>
      </c>
      <c r="D57" t="s">
        <v>370</v>
      </c>
    </row>
    <row r="58" spans="3:27">
      <c r="C58" t="s">
        <v>326</v>
      </c>
      <c r="D58" t="s">
        <v>371</v>
      </c>
    </row>
    <row r="59" spans="3:27">
      <c r="C59" t="s">
        <v>324</v>
      </c>
      <c r="D59" t="s">
        <v>372</v>
      </c>
    </row>
    <row r="60" spans="3:27">
      <c r="C60" t="s">
        <v>325</v>
      </c>
      <c r="D60" t="s">
        <v>373</v>
      </c>
    </row>
    <row r="61" spans="3:27">
      <c r="C61" t="s">
        <v>327</v>
      </c>
      <c r="D61" t="s">
        <v>374</v>
      </c>
    </row>
    <row r="62" spans="3:27">
      <c r="C62" t="s">
        <v>327</v>
      </c>
      <c r="D62" t="s">
        <v>375</v>
      </c>
    </row>
    <row r="63" spans="3:27">
      <c r="C63" t="s">
        <v>325</v>
      </c>
      <c r="D63" t="s">
        <v>376</v>
      </c>
    </row>
    <row r="64" spans="3:27">
      <c r="C64" t="s">
        <v>324</v>
      </c>
      <c r="D64" t="s">
        <v>377</v>
      </c>
    </row>
    <row r="65" spans="3:11">
      <c r="C65" t="s">
        <v>327</v>
      </c>
      <c r="D65" t="s">
        <v>378</v>
      </c>
    </row>
    <row r="66" spans="3:11">
      <c r="C66" t="s">
        <v>324</v>
      </c>
      <c r="D66" t="s">
        <v>379</v>
      </c>
    </row>
    <row r="67" spans="3:11">
      <c r="C67" t="s">
        <v>325</v>
      </c>
      <c r="D67" t="s">
        <v>380</v>
      </c>
    </row>
    <row r="68" spans="3:11">
      <c r="C68" t="s">
        <v>325</v>
      </c>
      <c r="D68" t="s">
        <v>381</v>
      </c>
    </row>
    <row r="74" spans="3:11">
      <c r="D74" s="96"/>
      <c r="E74" s="96"/>
      <c r="F74" s="96"/>
      <c r="G74" s="96"/>
      <c r="H74" s="96"/>
      <c r="I74" s="96"/>
      <c r="J74" s="96"/>
      <c r="K74" s="96"/>
    </row>
    <row r="82" spans="4:11">
      <c r="D82" s="96"/>
      <c r="E82" s="96"/>
      <c r="F82" s="96"/>
      <c r="G82" s="96"/>
      <c r="H82" s="96"/>
      <c r="I82" s="96"/>
      <c r="J82" s="96"/>
      <c r="K82" s="96"/>
    </row>
  </sheetData>
  <autoFilter ref="C33:D68" xr:uid="{9E159F4B-0302-4DE6-9B03-690989599CAB}"/>
  <mergeCells count="1">
    <mergeCell ref="F11:L11"/>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7E44F-626D-4DB7-86E1-7E3FC66438B4}">
  <sheetPr>
    <tabColor rgb="FFFFFF00"/>
  </sheetPr>
  <dimension ref="A1:AA82"/>
  <sheetViews>
    <sheetView zoomScale="76" workbookViewId="0">
      <selection activeCell="V18" sqref="V18"/>
    </sheetView>
  </sheetViews>
  <sheetFormatPr defaultColWidth="8.85546875" defaultRowHeight="15"/>
  <cols>
    <col min="2" max="2" width="13" bestFit="1" customWidth="1"/>
    <col min="3" max="3" width="20.7109375" bestFit="1" customWidth="1"/>
    <col min="4" max="4" width="13.85546875" bestFit="1" customWidth="1"/>
    <col min="5" max="5" width="13.85546875" customWidth="1"/>
    <col min="6" max="6" width="14.140625" bestFit="1" customWidth="1"/>
    <col min="7" max="7" width="11.5703125" bestFit="1" customWidth="1"/>
    <col min="8" max="8" width="12.85546875" bestFit="1" customWidth="1"/>
    <col min="9" max="9" width="14.28515625" bestFit="1" customWidth="1"/>
    <col min="10" max="10" width="12.85546875" bestFit="1" customWidth="1"/>
    <col min="11" max="12" width="13.140625" bestFit="1" customWidth="1"/>
    <col min="13" max="20" width="12.42578125" customWidth="1"/>
    <col min="21" max="23" width="13.140625" bestFit="1" customWidth="1"/>
    <col min="24" max="24" width="13" bestFit="1" customWidth="1"/>
    <col min="25" max="27" width="12.7109375" bestFit="1" customWidth="1"/>
    <col min="28" max="28" width="11.42578125" bestFit="1" customWidth="1"/>
    <col min="29" max="29" width="9.42578125" bestFit="1" customWidth="1"/>
    <col min="30" max="30" width="14.42578125" bestFit="1" customWidth="1"/>
    <col min="31" max="31" width="11.42578125" bestFit="1" customWidth="1"/>
  </cols>
  <sheetData>
    <row r="1" spans="1:22" ht="55.9" customHeight="1">
      <c r="D1" s="65" t="s">
        <v>298</v>
      </c>
      <c r="E1" s="71" t="s">
        <v>299</v>
      </c>
      <c r="F1" s="65" t="s">
        <v>386</v>
      </c>
      <c r="G1" s="93" t="s">
        <v>301</v>
      </c>
      <c r="I1" s="65"/>
      <c r="J1" s="65"/>
      <c r="K1" s="36" t="s">
        <v>302</v>
      </c>
      <c r="L1" s="36" t="s">
        <v>303</v>
      </c>
      <c r="M1" s="36" t="s">
        <v>304</v>
      </c>
      <c r="N1" s="36" t="s">
        <v>305</v>
      </c>
      <c r="O1" s="36" t="s">
        <v>306</v>
      </c>
    </row>
    <row r="2" spans="1:22">
      <c r="B2" t="s">
        <v>307</v>
      </c>
      <c r="C2" s="70" t="s">
        <v>308</v>
      </c>
      <c r="D2" s="81">
        <v>26566.595929262396</v>
      </c>
      <c r="E2" s="85">
        <f>D2/$D$9</f>
        <v>4.4635662793021981E-3</v>
      </c>
      <c r="F2" s="57">
        <f>AA42</f>
        <v>54044.316945256869</v>
      </c>
      <c r="G2" s="94">
        <f>F2/$F$9</f>
        <v>5.4703435667810144E-3</v>
      </c>
      <c r="H2" s="50"/>
      <c r="K2" s="63">
        <v>2</v>
      </c>
      <c r="L2" s="39">
        <f t="shared" ref="L2:L8" si="0">F2/K2</f>
        <v>27022.158472628435</v>
      </c>
      <c r="M2" s="39">
        <f t="shared" ref="M2:M8" si="1">L2*G2</f>
        <v>147.82049076128004</v>
      </c>
      <c r="N2" s="35">
        <v>0.58026007187671758</v>
      </c>
      <c r="O2" s="35">
        <v>0.13783597413647813</v>
      </c>
      <c r="U2">
        <v>1990</v>
      </c>
      <c r="V2">
        <f>17612+100161+4351869+480358</f>
        <v>4950000</v>
      </c>
    </row>
    <row r="3" spans="1:22">
      <c r="B3" t="s">
        <v>309</v>
      </c>
      <c r="C3" s="70" t="s">
        <v>310</v>
      </c>
      <c r="D3" s="81">
        <v>55983.612752116169</v>
      </c>
      <c r="E3" s="85">
        <f t="shared" ref="E3:E8" si="2">D3/$D$9</f>
        <v>9.4060438431487151E-3</v>
      </c>
      <c r="F3" s="57">
        <f>AA43</f>
        <v>107510.96182607317</v>
      </c>
      <c r="G3" s="94">
        <f t="shared" ref="G3:G4" si="3">F3/$F$9</f>
        <v>1.0882215404432349E-2</v>
      </c>
      <c r="K3" s="63">
        <v>15</v>
      </c>
      <c r="L3" s="39">
        <f t="shared" si="0"/>
        <v>7167.3974550715448</v>
      </c>
      <c r="M3" s="39">
        <f t="shared" si="1"/>
        <v>77.997162995268781</v>
      </c>
      <c r="N3" s="35">
        <v>0.49273024147761241</v>
      </c>
      <c r="O3" s="35">
        <v>7.2717916992056056E-2</v>
      </c>
      <c r="U3">
        <v>2021</v>
      </c>
      <c r="V3">
        <f>140777+800636+12786314+1454645+28628</f>
        <v>15211000</v>
      </c>
    </row>
    <row r="4" spans="1:22">
      <c r="C4" s="70"/>
      <c r="D4" s="81">
        <v>0</v>
      </c>
      <c r="E4" s="85">
        <f t="shared" si="2"/>
        <v>0</v>
      </c>
      <c r="F4" s="57">
        <f>H17</f>
        <v>0</v>
      </c>
      <c r="G4" s="94">
        <f t="shared" si="3"/>
        <v>0</v>
      </c>
      <c r="K4">
        <f>AVERAGE(20,200)</f>
        <v>110</v>
      </c>
      <c r="L4" s="39">
        <f t="shared" si="0"/>
        <v>0</v>
      </c>
      <c r="M4" s="39">
        <f t="shared" si="1"/>
        <v>0</v>
      </c>
      <c r="N4" s="35">
        <v>0.49754365777387549</v>
      </c>
      <c r="O4" s="35">
        <v>1.964701206131458E-2</v>
      </c>
      <c r="U4">
        <f>U3-U2</f>
        <v>31</v>
      </c>
      <c r="V4">
        <f>V3/V2-1</f>
        <v>2.0729292929292931</v>
      </c>
    </row>
    <row r="5" spans="1:22">
      <c r="B5" t="s">
        <v>311</v>
      </c>
      <c r="C5" s="98" t="s">
        <v>312</v>
      </c>
      <c r="D5" s="81">
        <v>190931.33199861538</v>
      </c>
      <c r="E5" s="85">
        <f t="shared" si="2"/>
        <v>3.2079181594829718E-2</v>
      </c>
      <c r="F5" s="57">
        <f>AA44</f>
        <v>2205664.103230109</v>
      </c>
      <c r="G5" s="94">
        <f>F5/$F$9</f>
        <v>0.22325641472731345</v>
      </c>
      <c r="H5" s="35"/>
      <c r="K5" s="63">
        <v>5</v>
      </c>
      <c r="L5" s="39">
        <f t="shared" si="0"/>
        <v>441132.82064602181</v>
      </c>
      <c r="M5" s="39">
        <f t="shared" si="1"/>
        <v>98485.731955977826</v>
      </c>
      <c r="N5" s="101">
        <v>0.344899949930358</v>
      </c>
      <c r="O5" s="101">
        <v>5.8015096048721897E-2</v>
      </c>
      <c r="V5" s="35">
        <f>V4/U4</f>
        <v>6.6868686868686869E-2</v>
      </c>
    </row>
    <row r="6" spans="1:22">
      <c r="C6" s="70"/>
      <c r="D6" s="81">
        <v>855086.7329832426</v>
      </c>
      <c r="E6" s="85">
        <f t="shared" si="2"/>
        <v>0.14366674290471107</v>
      </c>
      <c r="F6" s="57"/>
      <c r="G6" s="94">
        <f>F6/$F$9</f>
        <v>0</v>
      </c>
      <c r="H6" s="35"/>
      <c r="K6">
        <f>AVERAGE(4,13)</f>
        <v>8.5</v>
      </c>
      <c r="L6" s="39">
        <f t="shared" si="0"/>
        <v>0</v>
      </c>
      <c r="M6" s="39">
        <f t="shared" si="1"/>
        <v>0</v>
      </c>
      <c r="N6" s="35">
        <v>0.33003747953527612</v>
      </c>
      <c r="O6" s="35">
        <v>2.5808356020513467E-2</v>
      </c>
      <c r="V6" s="35">
        <f>V5*25</f>
        <v>1.6717171717171717</v>
      </c>
    </row>
    <row r="7" spans="1:22">
      <c r="B7" t="s">
        <v>313</v>
      </c>
      <c r="C7" s="70" t="s">
        <v>314</v>
      </c>
      <c r="D7" s="81">
        <v>1628380.2935006323</v>
      </c>
      <c r="E7" s="85">
        <f t="shared" si="2"/>
        <v>0.27359106854723936</v>
      </c>
      <c r="F7" s="57">
        <f>AA45</f>
        <v>1121864.7078331776</v>
      </c>
      <c r="G7" s="94">
        <f t="shared" ref="G7:G8" si="4">F7/$F$9</f>
        <v>0.11355468500990075</v>
      </c>
      <c r="H7" s="35"/>
      <c r="K7" s="63">
        <f>AVERAGE(40,60)</f>
        <v>50</v>
      </c>
      <c r="L7" s="39">
        <f t="shared" si="0"/>
        <v>22437.294156663553</v>
      </c>
      <c r="M7" s="39">
        <f t="shared" si="1"/>
        <v>2547.8598704344163</v>
      </c>
      <c r="N7" s="35">
        <v>0.8457076496176642</v>
      </c>
      <c r="O7" s="35">
        <v>3.8010802364927064E-2</v>
      </c>
    </row>
    <row r="8" spans="1:22">
      <c r="B8" t="s">
        <v>315</v>
      </c>
      <c r="C8" s="70" t="s">
        <v>316</v>
      </c>
      <c r="D8" s="81">
        <v>3194928.0863661035</v>
      </c>
      <c r="E8" s="85">
        <f t="shared" si="2"/>
        <v>0.53679339683076899</v>
      </c>
      <c r="F8" s="57">
        <f>AA46</f>
        <v>6390426.4537890404</v>
      </c>
      <c r="G8" s="94">
        <f t="shared" si="4"/>
        <v>0.64683634129157253</v>
      </c>
      <c r="H8" s="35"/>
      <c r="K8" s="63">
        <f>AVERAGE(30,40)</f>
        <v>35</v>
      </c>
      <c r="L8" s="39">
        <f t="shared" si="0"/>
        <v>182583.61296540115</v>
      </c>
      <c r="M8" s="39">
        <f t="shared" si="1"/>
        <v>118101.71619033661</v>
      </c>
      <c r="N8" s="35">
        <v>0.50266700163356404</v>
      </c>
      <c r="O8" s="35">
        <v>3.1421722443300611E-2</v>
      </c>
    </row>
    <row r="9" spans="1:22">
      <c r="D9" s="82">
        <f>SUM(D2:D8)</f>
        <v>5951876.6535299718</v>
      </c>
      <c r="E9" s="69">
        <f>SUM(E2:E8)</f>
        <v>1</v>
      </c>
      <c r="F9" s="97">
        <f>SUM(F2:F8)</f>
        <v>9879510.543623656</v>
      </c>
      <c r="G9" s="89"/>
      <c r="M9" s="95">
        <f>SUM(M2:M8)</f>
        <v>219361.1256705054</v>
      </c>
    </row>
    <row r="10" spans="1:22">
      <c r="D10" s="39"/>
      <c r="F10" s="39"/>
      <c r="L10" s="39"/>
    </row>
    <row r="11" spans="1:22">
      <c r="D11" s="39"/>
      <c r="F11" s="312" t="s">
        <v>383</v>
      </c>
      <c r="G11" s="312"/>
      <c r="H11" s="312"/>
      <c r="I11" s="312"/>
      <c r="J11" s="312"/>
      <c r="K11" s="312"/>
      <c r="L11" s="312"/>
      <c r="Q11" s="40"/>
      <c r="R11" s="46"/>
      <c r="S11" s="46"/>
      <c r="T11" s="46"/>
      <c r="U11" s="46"/>
    </row>
    <row r="12" spans="1:22" ht="75">
      <c r="A12" s="59"/>
      <c r="B12" s="67" t="s">
        <v>319</v>
      </c>
      <c r="D12" s="39"/>
      <c r="E12" s="20" t="s">
        <v>320</v>
      </c>
      <c r="F12" s="20" t="s">
        <v>308</v>
      </c>
      <c r="G12" s="20" t="s">
        <v>310</v>
      </c>
      <c r="H12" s="20"/>
      <c r="I12" s="66" t="s">
        <v>312</v>
      </c>
      <c r="J12" s="20"/>
      <c r="K12" s="20" t="s">
        <v>314</v>
      </c>
      <c r="L12" s="20" t="s">
        <v>316</v>
      </c>
      <c r="O12" s="67" t="s">
        <v>308</v>
      </c>
      <c r="P12" s="67" t="s">
        <v>310</v>
      </c>
      <c r="Q12" s="67"/>
      <c r="R12" s="66" t="s">
        <v>312</v>
      </c>
      <c r="S12" s="67"/>
      <c r="T12" s="67" t="s">
        <v>314</v>
      </c>
      <c r="U12" s="67" t="s">
        <v>316</v>
      </c>
    </row>
    <row r="13" spans="1:22">
      <c r="A13" s="59" t="s">
        <v>324</v>
      </c>
      <c r="B13" s="83">
        <v>1528197.1</v>
      </c>
      <c r="D13" t="s">
        <v>324</v>
      </c>
      <c r="E13" s="26">
        <f>SUM(F13:L13)</f>
        <v>2594495.5313382405</v>
      </c>
      <c r="F13" s="18">
        <f>F2*Herd_2020_PS!N38</f>
        <v>20469.627070131155</v>
      </c>
      <c r="G13" s="18">
        <f>F3*Herd_2020_PS!O38</f>
        <v>37396.681930585597</v>
      </c>
      <c r="H13" s="18"/>
      <c r="I13" s="18">
        <f>F5*Herd_2020_PS!Q38</f>
        <v>656984.62645594566</v>
      </c>
      <c r="J13" s="18"/>
      <c r="K13" s="18">
        <f>F7*Herd_2020_PS!S38</f>
        <v>460526.5559841643</v>
      </c>
      <c r="L13" s="18">
        <f>F8*Herd_2020_PS!T38</f>
        <v>1419118.0398974137</v>
      </c>
      <c r="N13" s="279"/>
      <c r="O13" s="280">
        <f>(F13/$F$2)*$M$2</f>
        <v>55.987946378749236</v>
      </c>
      <c r="P13" s="281">
        <f>(G13/$F$3)*$M$3</f>
        <v>27.130583211978365</v>
      </c>
      <c r="Q13" s="282"/>
      <c r="R13" s="280">
        <f>(I13/$F$5)*$M$5</f>
        <v>29335.206446703545</v>
      </c>
      <c r="S13" s="280"/>
      <c r="T13" s="280">
        <f>(K13/$F$7)*$M$7</f>
        <v>1045.898960069524</v>
      </c>
      <c r="U13" s="280">
        <f>(L13/$F$8)*$M$8</f>
        <v>26226.774879660312</v>
      </c>
      <c r="V13" s="279"/>
    </row>
    <row r="14" spans="1:22">
      <c r="A14" s="59" t="s">
        <v>325</v>
      </c>
      <c r="B14" s="83">
        <v>1062382.5</v>
      </c>
      <c r="D14" t="s">
        <v>325</v>
      </c>
      <c r="E14" s="26">
        <f t="shared" ref="E14:E16" si="5">SUM(F14:L14)</f>
        <v>2728412.5507303006</v>
      </c>
      <c r="F14" s="18">
        <f>F2*Herd_2020_PS!N39</f>
        <v>14106.480703150917</v>
      </c>
      <c r="G14" s="18">
        <f>F3*Herd_2020_PS!O39</f>
        <v>18587.358364807573</v>
      </c>
      <c r="H14" s="18"/>
      <c r="I14" s="18">
        <f>F5*Herd_2020_PS!Q39</f>
        <v>407204.94501690584</v>
      </c>
      <c r="J14" s="18"/>
      <c r="K14" s="18">
        <f>F7*Herd_2020_PS!S39</f>
        <v>127076.24225206676</v>
      </c>
      <c r="L14" s="18">
        <f>F8*Herd_2020_PS!T39</f>
        <v>2161437.5243933694</v>
      </c>
      <c r="N14" s="279"/>
      <c r="O14" s="280">
        <f>(F14/$F$2)*$M$2</f>
        <v>38.583647982201072</v>
      </c>
      <c r="P14" s="280">
        <f>(G14/$F$3)*$M$3</f>
        <v>13.484775835014229</v>
      </c>
      <c r="Q14" s="282"/>
      <c r="R14" s="280">
        <f>(I14/$F$5)*$M$5</f>
        <v>18182.22321674144</v>
      </c>
      <c r="S14" s="280"/>
      <c r="T14" s="280">
        <f>(K14/$F$7)*$M$7</f>
        <v>288.60205322350561</v>
      </c>
      <c r="U14" s="280">
        <f>(L14/$F$8)*$M$8</f>
        <v>39945.609720254892</v>
      </c>
      <c r="V14" s="279"/>
    </row>
    <row r="15" spans="1:22">
      <c r="A15" s="59" t="s">
        <v>326</v>
      </c>
      <c r="B15" s="83">
        <v>2194326.4666666668</v>
      </c>
      <c r="D15" t="s">
        <v>326</v>
      </c>
      <c r="E15" s="26">
        <f t="shared" si="5"/>
        <v>1801130.8683601206</v>
      </c>
      <c r="F15" s="18">
        <f>F2*Herd_2020_PS!N40</f>
        <v>3717.0350375330777</v>
      </c>
      <c r="G15" s="18">
        <f>F3*Herd_2020_PS!O40</f>
        <v>5745.6602966521195</v>
      </c>
      <c r="H15" s="18"/>
      <c r="I15" s="18">
        <f>F5*Herd_2020_PS!Q40</f>
        <v>213071.02735328668</v>
      </c>
      <c r="J15" s="18"/>
      <c r="K15" s="18">
        <f>F7*Herd_2020_PS!S40</f>
        <v>111970.29803891017</v>
      </c>
      <c r="L15" s="18">
        <f>F8*Herd_2020_PS!T40</f>
        <v>1466626.8476337385</v>
      </c>
      <c r="N15" s="279"/>
      <c r="O15" s="280">
        <f>(F15/$F$5)*$M$5</f>
        <v>165.97038317908797</v>
      </c>
      <c r="P15" s="280">
        <f>(G15/$F$3)*$M$3</f>
        <v>4.16836753259087</v>
      </c>
      <c r="Q15" s="282"/>
      <c r="R15" s="280">
        <f>(I15/$F$5)*$M$5</f>
        <v>9513.8947298320254</v>
      </c>
      <c r="S15" s="280"/>
      <c r="T15" s="280">
        <f>(K15/$F$7)*$M$7</f>
        <v>254.29503848546301</v>
      </c>
      <c r="U15" s="280">
        <f>(L15/$F$8)*$M$8</f>
        <v>27104.786976097144</v>
      </c>
      <c r="V15" s="279"/>
    </row>
    <row r="16" spans="1:22">
      <c r="A16" s="84" t="s">
        <v>327</v>
      </c>
      <c r="B16" s="83">
        <v>1179534.45</v>
      </c>
      <c r="D16" s="54" t="s">
        <v>327</v>
      </c>
      <c r="E16" s="26">
        <f t="shared" si="5"/>
        <v>2755471.593194996</v>
      </c>
      <c r="F16" s="18">
        <f>F2*Herd_2020_PS!N41</f>
        <v>15751.174134441722</v>
      </c>
      <c r="G16" s="18">
        <f>F3*Herd_2020_PS!O41</f>
        <v>45781.261234027894</v>
      </c>
      <c r="H16" s="18"/>
      <c r="I16" s="18">
        <f>F5*Herd_2020_PS!Q41</f>
        <v>928403.50440397044</v>
      </c>
      <c r="J16" s="18"/>
      <c r="K16" s="18">
        <f>F7*Herd_2020_PS!S41</f>
        <v>422291.61155803647</v>
      </c>
      <c r="L16" s="18">
        <f>F8*Herd_2020_PS!T41</f>
        <v>1343244.0418645192</v>
      </c>
      <c r="N16" s="279"/>
      <c r="O16" s="280">
        <f>(F16/$F$5)*$M$5</f>
        <v>703.31013300021073</v>
      </c>
      <c r="P16" s="280">
        <f>(G16/$F$3)*$M$3</f>
        <v>33.213436415685322</v>
      </c>
      <c r="Q16" s="282"/>
      <c r="R16" s="280">
        <f>(I16/$F$5)*$M$5</f>
        <v>41454.407562700799</v>
      </c>
      <c r="S16" s="280"/>
      <c r="T16" s="280">
        <f>(K16/$F$7)*$M$7</f>
        <v>959.0638186559238</v>
      </c>
      <c r="U16" s="280">
        <f>(L16/$F$8)*$M$8</f>
        <v>24824.54461432427</v>
      </c>
      <c r="V16" s="279"/>
    </row>
    <row r="17" spans="1:22">
      <c r="A17" s="59"/>
      <c r="B17" s="88">
        <f>SUM(B13:B16)</f>
        <v>5964440.5166666666</v>
      </c>
      <c r="D17" s="107" t="s">
        <v>384</v>
      </c>
      <c r="E17" s="34">
        <f>SUM(E13:E16)</f>
        <v>9879510.5436236579</v>
      </c>
      <c r="F17" s="39">
        <f>SUM(F13:F16)</f>
        <v>54044.316945256869</v>
      </c>
      <c r="G17" s="39">
        <f>SUM(G13:G16)</f>
        <v>107510.96182607318</v>
      </c>
      <c r="H17" s="39">
        <f t="shared" ref="H17:L17" si="6">SUM(H13:H16)</f>
        <v>0</v>
      </c>
      <c r="I17" s="39">
        <f t="shared" si="6"/>
        <v>2205664.1032301085</v>
      </c>
      <c r="J17" s="39">
        <f t="shared" si="6"/>
        <v>0</v>
      </c>
      <c r="K17" s="39">
        <f t="shared" si="6"/>
        <v>1121864.7078331776</v>
      </c>
      <c r="L17" s="39">
        <f t="shared" si="6"/>
        <v>6390426.4537890414</v>
      </c>
      <c r="N17" s="283" t="s">
        <v>330</v>
      </c>
      <c r="O17" s="284">
        <f t="shared" ref="O17:P17" si="7">SUM(O13:O16)</f>
        <v>963.85211054024899</v>
      </c>
      <c r="P17" s="284">
        <f t="shared" si="7"/>
        <v>77.997162995268781</v>
      </c>
      <c r="Q17" s="284"/>
      <c r="R17" s="284">
        <f>SUM(R13:R16)</f>
        <v>98485.731955977812</v>
      </c>
      <c r="S17" s="284"/>
      <c r="T17" s="284">
        <f t="shared" ref="T17:U17" si="8">SUM(T13:T16)</f>
        <v>2547.8598704344167</v>
      </c>
      <c r="U17" s="284">
        <f t="shared" si="8"/>
        <v>118101.71619033664</v>
      </c>
      <c r="V17" s="284">
        <f>SUM(O17:U17)</f>
        <v>220177.15729028441</v>
      </c>
    </row>
    <row r="18" spans="1:22" ht="45.75">
      <c r="N18" s="285" t="s">
        <v>331</v>
      </c>
      <c r="O18" s="284">
        <f t="shared" ref="O18:P18" si="9">O17*0.75</f>
        <v>722.8890829051868</v>
      </c>
      <c r="P18" s="284">
        <f t="shared" si="9"/>
        <v>58.497872246451585</v>
      </c>
      <c r="Q18" s="284"/>
      <c r="R18" s="284">
        <f>R17*0.75</f>
        <v>73864.298966983362</v>
      </c>
      <c r="S18" s="284"/>
      <c r="T18" s="284">
        <f t="shared" ref="T18:U18" si="10">T17*0.75</f>
        <v>1910.8949028258126</v>
      </c>
      <c r="U18" s="284">
        <f t="shared" si="10"/>
        <v>88576.287142752481</v>
      </c>
      <c r="V18" s="284">
        <f>SUM(O18:U18)</f>
        <v>165132.86796771327</v>
      </c>
    </row>
    <row r="19" spans="1:22">
      <c r="C19" s="90"/>
      <c r="D19" s="90"/>
      <c r="E19" s="90" t="s">
        <v>332</v>
      </c>
      <c r="F19" s="90"/>
      <c r="G19" s="90"/>
      <c r="H19" s="90" t="s">
        <v>333</v>
      </c>
      <c r="I19" s="90"/>
      <c r="J19" s="90"/>
      <c r="K19" s="90"/>
      <c r="L19" s="90"/>
    </row>
    <row r="20" spans="1:22" ht="30">
      <c r="C20" s="90" t="s">
        <v>334</v>
      </c>
      <c r="D20" s="90" t="s">
        <v>320</v>
      </c>
      <c r="E20" s="90" t="s">
        <v>308</v>
      </c>
      <c r="F20" s="90" t="s">
        <v>310</v>
      </c>
      <c r="G20" s="90" t="s">
        <v>335</v>
      </c>
      <c r="H20" s="90" t="s">
        <v>322</v>
      </c>
      <c r="I20" s="90" t="s">
        <v>323</v>
      </c>
      <c r="J20" s="90" t="s">
        <v>314</v>
      </c>
      <c r="K20" s="90" t="s">
        <v>316</v>
      </c>
      <c r="L20" s="92" t="s">
        <v>336</v>
      </c>
      <c r="N20" s="36" t="s">
        <v>337</v>
      </c>
      <c r="O20" s="39">
        <f>O18*K2</f>
        <v>1445.7781658103736</v>
      </c>
      <c r="P20" s="39">
        <f>P18*K3</f>
        <v>877.46808369677376</v>
      </c>
      <c r="Q20" s="39"/>
      <c r="R20" s="39">
        <f>R18*K5</f>
        <v>369321.49483491678</v>
      </c>
      <c r="S20" s="39"/>
      <c r="T20" s="222">
        <f>T18*12</f>
        <v>22930.738833909752</v>
      </c>
      <c r="U20" s="222">
        <f>U18*6</f>
        <v>531457.72285651485</v>
      </c>
      <c r="V20" s="95">
        <f>SUM(O20:U20)</f>
        <v>926033.20277484856</v>
      </c>
    </row>
    <row r="21" spans="1:22" ht="45">
      <c r="C21" s="90" t="s">
        <v>338</v>
      </c>
      <c r="D21" s="90"/>
      <c r="E21" s="91">
        <v>7.930574379302632E-3</v>
      </c>
      <c r="F21" s="91">
        <v>1.5347939498954194E-2</v>
      </c>
      <c r="G21" s="91">
        <v>6.1883369272403262E-3</v>
      </c>
      <c r="H21" s="91">
        <v>4.3789400257788165E-2</v>
      </c>
      <c r="I21" s="91">
        <v>0.19490844403443056</v>
      </c>
      <c r="J21" s="91">
        <v>0.1982808151137759</v>
      </c>
      <c r="K21" s="91">
        <v>0.53355456336838791</v>
      </c>
      <c r="L21" s="91">
        <f>SUM(E21:K21)</f>
        <v>1.0000000735798797</v>
      </c>
      <c r="N21" s="36" t="s">
        <v>339</v>
      </c>
      <c r="O21" s="39">
        <f>O20*Uganda_herd2020!P8</f>
        <v>838.92734241091625</v>
      </c>
      <c r="P21" s="39">
        <f>P20*Uganda_herd2020!P17</f>
        <v>432.35506076880915</v>
      </c>
      <c r="Q21" s="39"/>
      <c r="R21" s="39">
        <f>R20*Uganda_herd2020!P45</f>
        <v>127378.96507676777</v>
      </c>
      <c r="S21" s="39"/>
      <c r="T21" s="39">
        <f>T20*Uganda_herd2020!P53</f>
        <v>19392.701243222316</v>
      </c>
      <c r="U21" s="39">
        <f>U20*Uganda_herd2020!P62</f>
        <v>267146.26004328596</v>
      </c>
      <c r="V21" s="39">
        <f t="shared" ref="V21:V22" si="11">SUM(O21:U21)</f>
        <v>415189.20876645576</v>
      </c>
    </row>
    <row r="22" spans="1:22" ht="30">
      <c r="C22" s="90" t="s">
        <v>340</v>
      </c>
      <c r="D22" s="90"/>
      <c r="E22" s="91">
        <v>5.307045150118911E-3</v>
      </c>
      <c r="F22" s="91">
        <v>7.4075411267352466E-3</v>
      </c>
      <c r="G22" s="91">
        <v>1.3745226985539679E-3</v>
      </c>
      <c r="H22" s="91">
        <v>1.8537454623658342E-2</v>
      </c>
      <c r="I22" s="91">
        <v>0.12512580770355108</v>
      </c>
      <c r="J22" s="91">
        <v>5.3128771284707069E-2</v>
      </c>
      <c r="K22" s="91">
        <v>0.7891188104061112</v>
      </c>
      <c r="L22" s="91">
        <f t="shared" ref="L22:L25" si="12">SUM(E22:K22)</f>
        <v>0.9999999529934358</v>
      </c>
      <c r="N22" s="36" t="s">
        <v>341</v>
      </c>
      <c r="O22" s="39">
        <f>O20*Uganda_herd2020!R8</f>
        <v>199.28024186972345</v>
      </c>
      <c r="P22" s="39">
        <f>P20*Uganda_herd2020!R17</f>
        <v>63.807651273440491</v>
      </c>
      <c r="Q22" s="39"/>
      <c r="R22" s="39">
        <f>R20*Uganda_herd2020!R45</f>
        <v>21426.221995705244</v>
      </c>
      <c r="S22" s="39"/>
      <c r="T22" s="39">
        <f>T20*Uganda_herd2020!R53</f>
        <v>871.61578189750173</v>
      </c>
      <c r="U22" s="39">
        <f>U20*Uganda_herd2020!R62</f>
        <v>16699.317057945987</v>
      </c>
      <c r="V22" s="39">
        <f t="shared" si="11"/>
        <v>39260.242728691897</v>
      </c>
    </row>
    <row r="23" spans="1:22">
      <c r="C23" s="90" t="s">
        <v>342</v>
      </c>
      <c r="D23" s="90"/>
      <c r="E23" s="91">
        <v>0</v>
      </c>
      <c r="F23" s="91">
        <v>0</v>
      </c>
      <c r="G23" s="91">
        <v>0</v>
      </c>
      <c r="H23" s="91">
        <v>4.0516453672533479E-3</v>
      </c>
      <c r="I23" s="91">
        <v>2.0498938667870906E-2</v>
      </c>
      <c r="J23" s="91">
        <v>0.85249915672266863</v>
      </c>
      <c r="K23" s="91">
        <v>0.12295014205445662</v>
      </c>
      <c r="L23" s="91">
        <f t="shared" si="12"/>
        <v>0.9999998828122495</v>
      </c>
    </row>
    <row r="24" spans="1:22">
      <c r="C24" s="90" t="s">
        <v>343</v>
      </c>
      <c r="D24" s="90"/>
      <c r="E24" s="91">
        <v>2.1138917364442898E-3</v>
      </c>
      <c r="F24" s="91">
        <v>3.4613724077618407E-3</v>
      </c>
      <c r="G24" s="91">
        <v>6.101232406156181E-4</v>
      </c>
      <c r="H24" s="91">
        <v>2.1217060738518163E-2</v>
      </c>
      <c r="I24" s="91">
        <v>9.2417140520638624E-2</v>
      </c>
      <c r="J24" s="91">
        <v>7.0765279311796714E-2</v>
      </c>
      <c r="K24" s="91">
        <v>0.80941513821736166</v>
      </c>
      <c r="L24" s="91">
        <f t="shared" si="12"/>
        <v>1.0000000061731369</v>
      </c>
    </row>
    <row r="25" spans="1:22" ht="45">
      <c r="C25" s="90" t="s">
        <v>344</v>
      </c>
      <c r="D25" s="90"/>
      <c r="E25" s="91">
        <v>5.8067510346736457E-3</v>
      </c>
      <c r="F25" s="91">
        <v>1.7878468841126226E-2</v>
      </c>
      <c r="G25" s="91">
        <v>1.7915730337612547E-3</v>
      </c>
      <c r="H25" s="91">
        <v>6.5984067872440225E-2</v>
      </c>
      <c r="I25" s="91">
        <v>0.25497941338842722</v>
      </c>
      <c r="J25" s="91">
        <v>0.17300714232093717</v>
      </c>
      <c r="K25" s="91">
        <v>0.48055245657683843</v>
      </c>
      <c r="L25" s="91">
        <f t="shared" si="12"/>
        <v>0.99999987306820415</v>
      </c>
      <c r="N25" s="36" t="s">
        <v>339</v>
      </c>
      <c r="O25" s="25">
        <f>O20*N2</f>
        <v>838.92734241091625</v>
      </c>
      <c r="P25" s="25">
        <f>P20*N3</f>
        <v>432.35506076880915</v>
      </c>
      <c r="R25" s="25">
        <f>R20*N5</f>
        <v>127378.96507676777</v>
      </c>
      <c r="T25" s="25">
        <f>T20*N7</f>
        <v>19392.701243222316</v>
      </c>
      <c r="U25" s="25">
        <f>U20*N8</f>
        <v>267146.26004328596</v>
      </c>
    </row>
    <row r="26" spans="1:22" ht="30">
      <c r="C26" s="90"/>
      <c r="D26" s="90"/>
      <c r="E26" s="91"/>
      <c r="F26" s="91"/>
      <c r="G26" s="91"/>
      <c r="H26" s="91"/>
      <c r="I26" s="91"/>
      <c r="J26" s="91"/>
      <c r="K26" s="91"/>
      <c r="L26" s="90"/>
      <c r="N26" s="36" t="s">
        <v>341</v>
      </c>
      <c r="O26" s="25">
        <f>O20*O2</f>
        <v>199.28024186972345</v>
      </c>
      <c r="P26" s="25">
        <f>P20*O3</f>
        <v>63.807651273440491</v>
      </c>
      <c r="R26" s="25">
        <f>R20*O5</f>
        <v>21426.221995705244</v>
      </c>
      <c r="T26" s="25">
        <f>T20*O7</f>
        <v>871.61578189750173</v>
      </c>
      <c r="U26" s="25">
        <f>U20*O8</f>
        <v>16699.317057945987</v>
      </c>
    </row>
    <row r="27" spans="1:22">
      <c r="C27" s="90"/>
      <c r="D27" s="90"/>
      <c r="E27" s="90"/>
      <c r="F27" s="90"/>
      <c r="G27" s="90"/>
      <c r="H27" s="90"/>
      <c r="I27" s="90"/>
      <c r="J27" s="90"/>
      <c r="K27" s="90"/>
      <c r="L27" s="90"/>
    </row>
    <row r="32" spans="1:22">
      <c r="G32" s="64"/>
    </row>
    <row r="33" spans="3:27" ht="60">
      <c r="C33" s="40" t="s">
        <v>345</v>
      </c>
      <c r="D33" s="40" t="s">
        <v>346</v>
      </c>
      <c r="F33" s="40" t="s">
        <v>6</v>
      </c>
      <c r="G33" s="20" t="s">
        <v>385</v>
      </c>
      <c r="H33">
        <v>2008</v>
      </c>
      <c r="I33">
        <v>2009</v>
      </c>
      <c r="J33">
        <v>2010</v>
      </c>
      <c r="K33">
        <v>2011</v>
      </c>
      <c r="L33">
        <v>2012</v>
      </c>
      <c r="M33">
        <v>2013</v>
      </c>
      <c r="N33">
        <v>2014</v>
      </c>
      <c r="O33">
        <v>2015</v>
      </c>
      <c r="P33">
        <v>2016</v>
      </c>
      <c r="Q33">
        <v>2017</v>
      </c>
      <c r="R33">
        <v>2018</v>
      </c>
      <c r="S33">
        <v>2019</v>
      </c>
      <c r="T33">
        <v>2020</v>
      </c>
      <c r="U33">
        <v>2021</v>
      </c>
      <c r="V33">
        <v>2022</v>
      </c>
      <c r="W33">
        <v>2023</v>
      </c>
      <c r="X33">
        <v>2024</v>
      </c>
    </row>
    <row r="34" spans="3:27">
      <c r="C34" t="s">
        <v>326</v>
      </c>
      <c r="D34" t="s">
        <v>347</v>
      </c>
      <c r="E34" t="s">
        <v>307</v>
      </c>
      <c r="F34" t="s">
        <v>308</v>
      </c>
      <c r="G34" s="50">
        <v>1.77E-2</v>
      </c>
      <c r="H34" s="39">
        <f>'Animal &amp; HH Numbers 2008'!F2</f>
        <v>29245.42413489916</v>
      </c>
      <c r="I34" s="25">
        <f>H34+(H34*$G$34)</f>
        <v>29763.068142086875</v>
      </c>
      <c r="J34" s="25">
        <f>I34+(I34*$G$34)</f>
        <v>30289.874448201812</v>
      </c>
      <c r="K34" s="25">
        <f>J34+(J34*$G$34)</f>
        <v>30826.005225934983</v>
      </c>
      <c r="L34" s="25">
        <f t="shared" ref="L34:X34" si="13">K34+(K34*$G$34)</f>
        <v>31371.625518434033</v>
      </c>
      <c r="M34" s="25">
        <f t="shared" si="13"/>
        <v>31926.903290110316</v>
      </c>
      <c r="N34" s="25">
        <f t="shared" si="13"/>
        <v>32492.00947834527</v>
      </c>
      <c r="O34" s="25">
        <f t="shared" si="13"/>
        <v>33067.11804611198</v>
      </c>
      <c r="P34" s="25">
        <f t="shared" si="13"/>
        <v>33652.406035528162</v>
      </c>
      <c r="Q34" s="25">
        <f t="shared" si="13"/>
        <v>34248.053622357009</v>
      </c>
      <c r="R34" s="25">
        <f t="shared" si="13"/>
        <v>34854.244171472725</v>
      </c>
      <c r="S34" s="25">
        <f t="shared" si="13"/>
        <v>35471.164293307789</v>
      </c>
      <c r="T34" s="25">
        <f t="shared" si="13"/>
        <v>36099.003901299337</v>
      </c>
      <c r="U34" s="25">
        <f t="shared" si="13"/>
        <v>36737.956270352333</v>
      </c>
      <c r="V34" s="25">
        <f t="shared" si="13"/>
        <v>37388.218096337572</v>
      </c>
      <c r="W34" s="25">
        <f t="shared" si="13"/>
        <v>38049.989556642744</v>
      </c>
      <c r="X34" s="106">
        <f t="shared" si="13"/>
        <v>38723.474371795324</v>
      </c>
    </row>
    <row r="35" spans="3:27">
      <c r="C35" t="s">
        <v>326</v>
      </c>
      <c r="D35" t="s">
        <v>348</v>
      </c>
      <c r="E35" t="s">
        <v>309</v>
      </c>
      <c r="F35" t="s">
        <v>310</v>
      </c>
      <c r="G35" s="50">
        <v>1.6799999999999999E-2</v>
      </c>
      <c r="H35" s="39">
        <f>'Animal &amp; HH Numbers 2008'!F3</f>
        <v>60007.969691052553</v>
      </c>
      <c r="I35" s="25">
        <f>H35+(H35*$G$35)</f>
        <v>61016.103581862233</v>
      </c>
      <c r="J35" s="25">
        <f>I35+(I35*$G$35)</f>
        <v>62041.174122037519</v>
      </c>
      <c r="K35" s="25">
        <f>J35+(J35*$G$35)</f>
        <v>63083.465847287749</v>
      </c>
      <c r="L35" s="25">
        <f t="shared" ref="L35:X35" si="14">K35+(K35*$G$35)</f>
        <v>64143.26807352218</v>
      </c>
      <c r="M35" s="25">
        <f t="shared" si="14"/>
        <v>65220.874977157349</v>
      </c>
      <c r="N35" s="25">
        <f t="shared" si="14"/>
        <v>66316.585676773597</v>
      </c>
      <c r="O35" s="25">
        <f t="shared" si="14"/>
        <v>67430.704316143398</v>
      </c>
      <c r="P35" s="25">
        <f t="shared" si="14"/>
        <v>68563.540148654603</v>
      </c>
      <c r="Q35" s="25">
        <f t="shared" si="14"/>
        <v>69715.407623152001</v>
      </c>
      <c r="R35" s="25">
        <f t="shared" si="14"/>
        <v>70886.626471220952</v>
      </c>
      <c r="S35" s="25">
        <f t="shared" si="14"/>
        <v>72077.521795937471</v>
      </c>
      <c r="T35" s="25">
        <f t="shared" si="14"/>
        <v>73288.424162109222</v>
      </c>
      <c r="U35" s="25">
        <f t="shared" si="14"/>
        <v>74519.669688032664</v>
      </c>
      <c r="V35" s="25">
        <f t="shared" si="14"/>
        <v>75771.600138791619</v>
      </c>
      <c r="W35" s="25">
        <f t="shared" si="14"/>
        <v>77044.563021123322</v>
      </c>
      <c r="X35" s="106">
        <f t="shared" si="14"/>
        <v>78338.911679878191</v>
      </c>
    </row>
    <row r="36" spans="3:27">
      <c r="C36" t="s">
        <v>327</v>
      </c>
      <c r="D36" t="s">
        <v>349</v>
      </c>
      <c r="E36" t="s">
        <v>311</v>
      </c>
      <c r="F36" t="s">
        <v>312</v>
      </c>
      <c r="G36" s="50">
        <v>1.89E-2</v>
      </c>
      <c r="H36" s="39">
        <f>'Animal &amp; HH Numbers 2008'!F5</f>
        <v>1145340.7078935737</v>
      </c>
      <c r="I36" s="25">
        <f>H36+(H36*$G$36)</f>
        <v>1166987.6472727621</v>
      </c>
      <c r="J36" s="25">
        <f>I36+(I36*$G$36)</f>
        <v>1189043.7138062173</v>
      </c>
      <c r="K36" s="25">
        <f>J36+(J36*$G$36)</f>
        <v>1211516.6399971547</v>
      </c>
      <c r="L36" s="25">
        <f t="shared" ref="L36:X36" si="15">K36+(K36*$G$36)</f>
        <v>1234414.3044931008</v>
      </c>
      <c r="M36" s="25">
        <f t="shared" si="15"/>
        <v>1257744.7348480204</v>
      </c>
      <c r="N36" s="25">
        <f t="shared" si="15"/>
        <v>1281516.1103366478</v>
      </c>
      <c r="O36" s="25">
        <f t="shared" si="15"/>
        <v>1305736.7648220104</v>
      </c>
      <c r="P36" s="25">
        <f t="shared" si="15"/>
        <v>1330415.1896771465</v>
      </c>
      <c r="Q36" s="25">
        <f t="shared" si="15"/>
        <v>1355560.0367620445</v>
      </c>
      <c r="R36" s="25">
        <f t="shared" si="15"/>
        <v>1381180.1214568471</v>
      </c>
      <c r="S36" s="25">
        <f t="shared" si="15"/>
        <v>1407284.4257523816</v>
      </c>
      <c r="T36" s="25">
        <f t="shared" si="15"/>
        <v>1433882.1013991015</v>
      </c>
      <c r="U36" s="25">
        <f t="shared" si="15"/>
        <v>1460982.4731155445</v>
      </c>
      <c r="V36" s="25">
        <f t="shared" si="15"/>
        <v>1488595.0418574284</v>
      </c>
      <c r="W36" s="25">
        <f t="shared" si="15"/>
        <v>1516729.4881485337</v>
      </c>
      <c r="X36" s="106">
        <f t="shared" si="15"/>
        <v>1545395.675474541</v>
      </c>
    </row>
    <row r="37" spans="3:27">
      <c r="C37" t="s">
        <v>327</v>
      </c>
      <c r="D37" t="s">
        <v>350</v>
      </c>
      <c r="E37" t="s">
        <v>313</v>
      </c>
      <c r="F37" t="s">
        <v>314</v>
      </c>
      <c r="G37" s="50">
        <v>1.2800000000000001E-2</v>
      </c>
      <c r="H37" s="39">
        <f>'Animal &amp; HH Numbers 2008'!F7</f>
        <v>718805.25328041683</v>
      </c>
      <c r="I37" s="25">
        <f>H37+(H37*$G$37)</f>
        <v>728005.96052240615</v>
      </c>
      <c r="J37" s="25">
        <f>I37+(I37*$G$37)</f>
        <v>737324.43681709294</v>
      </c>
      <c r="K37" s="25">
        <f>J37+(J37*$G$37)</f>
        <v>746762.18960835168</v>
      </c>
      <c r="L37" s="25">
        <f t="shared" ref="L37:X37" si="16">K37+(K37*$G$37)</f>
        <v>756320.74563533859</v>
      </c>
      <c r="M37" s="25">
        <f t="shared" si="16"/>
        <v>766001.65117947094</v>
      </c>
      <c r="N37" s="25">
        <f t="shared" si="16"/>
        <v>775806.47231456812</v>
      </c>
      <c r="O37" s="25">
        <f t="shared" si="16"/>
        <v>785736.79516019463</v>
      </c>
      <c r="P37" s="25">
        <f t="shared" si="16"/>
        <v>795794.22613824508</v>
      </c>
      <c r="Q37" s="25">
        <f t="shared" si="16"/>
        <v>805980.39223281457</v>
      </c>
      <c r="R37" s="25">
        <f t="shared" si="16"/>
        <v>816296.94125339459</v>
      </c>
      <c r="S37" s="25">
        <f t="shared" si="16"/>
        <v>826745.54210143804</v>
      </c>
      <c r="T37" s="25">
        <f t="shared" si="16"/>
        <v>837327.8850403364</v>
      </c>
      <c r="U37" s="25">
        <f t="shared" si="16"/>
        <v>848045.68196885276</v>
      </c>
      <c r="V37" s="25">
        <f t="shared" si="16"/>
        <v>858900.66669805406</v>
      </c>
      <c r="W37" s="25">
        <f t="shared" si="16"/>
        <v>869894.59523178916</v>
      </c>
      <c r="X37" s="106">
        <f t="shared" si="16"/>
        <v>881029.24605075608</v>
      </c>
    </row>
    <row r="38" spans="3:27">
      <c r="C38" t="s">
        <v>326</v>
      </c>
      <c r="D38" t="s">
        <v>351</v>
      </c>
      <c r="E38" t="s">
        <v>315</v>
      </c>
      <c r="F38" t="s">
        <v>316</v>
      </c>
      <c r="G38" s="50">
        <v>1.35E-2</v>
      </c>
      <c r="H38" s="39">
        <f>'Animal &amp; HH Numbers 2008'!F8</f>
        <v>3996671.7889031321</v>
      </c>
      <c r="I38" s="25">
        <f>H38+(H38*$G$38)</f>
        <v>4050626.8580533243</v>
      </c>
      <c r="J38" s="25">
        <f>I38+(I38*$G$38)</f>
        <v>4105310.320637044</v>
      </c>
      <c r="K38" s="25">
        <f>J38+(J38*$G$38)</f>
        <v>4160732.0099656442</v>
      </c>
      <c r="L38" s="25">
        <f t="shared" ref="L38:X38" si="17">K38+(K38*$G$38)</f>
        <v>4216901.8921001805</v>
      </c>
      <c r="M38" s="25">
        <f t="shared" si="17"/>
        <v>4273830.0676435325</v>
      </c>
      <c r="N38" s="25">
        <f t="shared" si="17"/>
        <v>4331526.7735567205</v>
      </c>
      <c r="O38" s="25">
        <f t="shared" si="17"/>
        <v>4390002.3849997362</v>
      </c>
      <c r="P38" s="25">
        <f t="shared" si="17"/>
        <v>4449267.4171972331</v>
      </c>
      <c r="Q38" s="25">
        <f t="shared" si="17"/>
        <v>4509332.5273293955</v>
      </c>
      <c r="R38" s="25">
        <f t="shared" si="17"/>
        <v>4570208.5164483422</v>
      </c>
      <c r="S38" s="25">
        <f t="shared" si="17"/>
        <v>4631906.3314203946</v>
      </c>
      <c r="T38" s="25">
        <f t="shared" si="17"/>
        <v>4694437.0668945704</v>
      </c>
      <c r="U38" s="25">
        <f t="shared" si="17"/>
        <v>4757811.9672976471</v>
      </c>
      <c r="V38" s="25">
        <f t="shared" si="17"/>
        <v>4822042.4288561651</v>
      </c>
      <c r="W38" s="25">
        <f t="shared" si="17"/>
        <v>4887140.0016457234</v>
      </c>
      <c r="X38" s="106">
        <f t="shared" si="17"/>
        <v>4953116.3916679407</v>
      </c>
    </row>
    <row r="39" spans="3:27">
      <c r="C39" t="s">
        <v>325</v>
      </c>
      <c r="D39" t="s">
        <v>352</v>
      </c>
    </row>
    <row r="40" spans="3:27">
      <c r="C40" t="s">
        <v>326</v>
      </c>
      <c r="D40" t="s">
        <v>353</v>
      </c>
    </row>
    <row r="41" spans="3:27" ht="60">
      <c r="C41" t="s">
        <v>324</v>
      </c>
      <c r="D41" t="s">
        <v>354</v>
      </c>
      <c r="F41" s="40" t="s">
        <v>18</v>
      </c>
      <c r="G41" s="20" t="s">
        <v>385</v>
      </c>
      <c r="H41">
        <v>1</v>
      </c>
      <c r="I41">
        <v>2</v>
      </c>
      <c r="J41">
        <v>3</v>
      </c>
      <c r="K41">
        <v>4</v>
      </c>
      <c r="L41">
        <v>5</v>
      </c>
      <c r="M41">
        <v>6</v>
      </c>
      <c r="N41">
        <v>7</v>
      </c>
      <c r="O41">
        <v>8</v>
      </c>
      <c r="P41">
        <v>9</v>
      </c>
      <c r="Q41">
        <v>10</v>
      </c>
      <c r="R41">
        <v>11</v>
      </c>
      <c r="S41">
        <v>12</v>
      </c>
      <c r="T41">
        <v>13</v>
      </c>
      <c r="U41">
        <v>14</v>
      </c>
      <c r="V41">
        <v>15</v>
      </c>
      <c r="W41">
        <v>16</v>
      </c>
      <c r="X41">
        <v>17</v>
      </c>
      <c r="Y41">
        <v>18</v>
      </c>
      <c r="Z41">
        <v>19</v>
      </c>
      <c r="AA41">
        <v>20</v>
      </c>
    </row>
    <row r="42" spans="3:27">
      <c r="C42" t="s">
        <v>327</v>
      </c>
      <c r="D42" t="s">
        <v>355</v>
      </c>
      <c r="E42" t="s">
        <v>307</v>
      </c>
      <c r="F42" t="s">
        <v>308</v>
      </c>
      <c r="G42" s="50">
        <v>1.77E-2</v>
      </c>
      <c r="H42" s="39">
        <f>X34</f>
        <v>38723.474371795324</v>
      </c>
      <c r="I42" s="25">
        <f>H42+(H42*$G$42)</f>
        <v>39408.879868176104</v>
      </c>
      <c r="J42" s="25">
        <f t="shared" ref="J42:AA42" si="18">I42+(I42*$G$42)</f>
        <v>40106.417041842818</v>
      </c>
      <c r="K42" s="25">
        <f t="shared" si="18"/>
        <v>40816.300623483439</v>
      </c>
      <c r="L42" s="25">
        <f t="shared" si="18"/>
        <v>41538.749144519097</v>
      </c>
      <c r="M42" s="25">
        <f t="shared" si="18"/>
        <v>42273.985004377086</v>
      </c>
      <c r="N42" s="25">
        <f t="shared" si="18"/>
        <v>43022.234538954559</v>
      </c>
      <c r="O42" s="25">
        <f t="shared" si="18"/>
        <v>43783.728090294055</v>
      </c>
      <c r="P42" s="25">
        <f t="shared" si="18"/>
        <v>44558.700077492256</v>
      </c>
      <c r="Q42" s="25">
        <f t="shared" si="18"/>
        <v>45347.389068863871</v>
      </c>
      <c r="R42" s="25">
        <f t="shared" si="18"/>
        <v>46150.037855382761</v>
      </c>
      <c r="S42" s="25">
        <f t="shared" si="18"/>
        <v>46966.893525423038</v>
      </c>
      <c r="T42" s="25">
        <f t="shared" si="18"/>
        <v>47798.207540823023</v>
      </c>
      <c r="U42" s="25">
        <f t="shared" si="18"/>
        <v>48644.235814295593</v>
      </c>
      <c r="V42" s="25">
        <f t="shared" si="18"/>
        <v>49505.238788208626</v>
      </c>
      <c r="W42" s="25">
        <f t="shared" si="18"/>
        <v>50381.481514759922</v>
      </c>
      <c r="X42" s="25">
        <f t="shared" si="18"/>
        <v>51273.233737571172</v>
      </c>
      <c r="Y42" s="25">
        <f t="shared" si="18"/>
        <v>52180.769974726179</v>
      </c>
      <c r="Z42" s="25">
        <f t="shared" si="18"/>
        <v>53104.369603278836</v>
      </c>
      <c r="AA42" s="106">
        <f t="shared" si="18"/>
        <v>54044.316945256869</v>
      </c>
    </row>
    <row r="43" spans="3:27">
      <c r="C43" t="s">
        <v>325</v>
      </c>
      <c r="D43" t="s">
        <v>356</v>
      </c>
      <c r="E43" t="s">
        <v>309</v>
      </c>
      <c r="F43" t="s">
        <v>310</v>
      </c>
      <c r="G43" s="50">
        <v>1.6799999999999999E-2</v>
      </c>
      <c r="H43" s="39">
        <f>X35</f>
        <v>78338.911679878191</v>
      </c>
      <c r="I43" s="25">
        <f>H43+(H43*$G$43)</f>
        <v>79655.005396100139</v>
      </c>
      <c r="J43" s="25">
        <f t="shared" ref="J43:AA43" si="19">I43+(I43*$G$43)</f>
        <v>80993.209486754626</v>
      </c>
      <c r="K43" s="25">
        <f t="shared" si="19"/>
        <v>82353.895406132098</v>
      </c>
      <c r="L43" s="25">
        <f t="shared" si="19"/>
        <v>83737.440848955113</v>
      </c>
      <c r="M43" s="25">
        <f t="shared" si="19"/>
        <v>85144.229855217563</v>
      </c>
      <c r="N43" s="25">
        <f t="shared" si="19"/>
        <v>86574.652916785213</v>
      </c>
      <c r="O43" s="25">
        <f t="shared" si="19"/>
        <v>88029.107085787211</v>
      </c>
      <c r="P43" s="25">
        <f t="shared" si="19"/>
        <v>89507.996084828439</v>
      </c>
      <c r="Q43" s="25">
        <f t="shared" si="19"/>
        <v>91011.730419053551</v>
      </c>
      <c r="R43" s="25">
        <f t="shared" si="19"/>
        <v>92540.727490093646</v>
      </c>
      <c r="S43" s="25">
        <f t="shared" si="19"/>
        <v>94095.411711927212</v>
      </c>
      <c r="T43" s="25">
        <f t="shared" si="19"/>
        <v>95676.214628687594</v>
      </c>
      <c r="U43" s="25">
        <f t="shared" si="19"/>
        <v>97283.575034449546</v>
      </c>
      <c r="V43" s="25">
        <f t="shared" si="19"/>
        <v>98917.939095028298</v>
      </c>
      <c r="W43" s="25">
        <f t="shared" si="19"/>
        <v>100579.76047182477</v>
      </c>
      <c r="X43" s="25">
        <f t="shared" si="19"/>
        <v>102269.50044775143</v>
      </c>
      <c r="Y43" s="25">
        <f t="shared" si="19"/>
        <v>103987.62805527366</v>
      </c>
      <c r="Z43" s="25">
        <f t="shared" si="19"/>
        <v>105734.62020660225</v>
      </c>
      <c r="AA43" s="106">
        <f t="shared" si="19"/>
        <v>107510.96182607317</v>
      </c>
    </row>
    <row r="44" spans="3:27">
      <c r="C44" t="s">
        <v>327</v>
      </c>
      <c r="D44" t="s">
        <v>357</v>
      </c>
      <c r="E44" t="s">
        <v>311</v>
      </c>
      <c r="F44" t="s">
        <v>312</v>
      </c>
      <c r="G44" s="50">
        <v>1.89E-2</v>
      </c>
      <c r="H44" s="39">
        <f>X36</f>
        <v>1545395.675474541</v>
      </c>
      <c r="I44" s="25">
        <f>H44+(H44*$G$44)</f>
        <v>1574603.6537410098</v>
      </c>
      <c r="J44" s="25">
        <f t="shared" ref="J44:AA44" si="20">I44+(I44*$G$44)</f>
        <v>1604363.6627967148</v>
      </c>
      <c r="K44" s="25">
        <f t="shared" si="20"/>
        <v>1634686.1360235726</v>
      </c>
      <c r="L44" s="25">
        <f t="shared" si="20"/>
        <v>1665581.7039944183</v>
      </c>
      <c r="M44" s="25">
        <f t="shared" si="20"/>
        <v>1697061.1981999127</v>
      </c>
      <c r="N44" s="25">
        <f t="shared" si="20"/>
        <v>1729135.6548458911</v>
      </c>
      <c r="O44" s="25">
        <f t="shared" si="20"/>
        <v>1761816.3187224783</v>
      </c>
      <c r="P44" s="25">
        <f t="shared" si="20"/>
        <v>1795114.6471463332</v>
      </c>
      <c r="Q44" s="25">
        <f t="shared" si="20"/>
        <v>1829042.3139773989</v>
      </c>
      <c r="R44" s="25">
        <f t="shared" si="20"/>
        <v>1863611.2137115716</v>
      </c>
      <c r="S44" s="25">
        <f t="shared" si="20"/>
        <v>1898833.4656507203</v>
      </c>
      <c r="T44" s="25">
        <f t="shared" si="20"/>
        <v>1934721.4181515188</v>
      </c>
      <c r="U44" s="25">
        <f t="shared" si="20"/>
        <v>1971287.6529545826</v>
      </c>
      <c r="V44" s="25">
        <f t="shared" si="20"/>
        <v>2008544.9895954242</v>
      </c>
      <c r="W44" s="25">
        <f t="shared" si="20"/>
        <v>2046506.4898987776</v>
      </c>
      <c r="X44" s="25">
        <f t="shared" si="20"/>
        <v>2085185.4625578644</v>
      </c>
      <c r="Y44" s="25">
        <f t="shared" si="20"/>
        <v>2124595.4678002079</v>
      </c>
      <c r="Z44" s="25">
        <f t="shared" si="20"/>
        <v>2164750.322141632</v>
      </c>
      <c r="AA44" s="106">
        <f t="shared" si="20"/>
        <v>2205664.103230109</v>
      </c>
    </row>
    <row r="45" spans="3:27">
      <c r="C45" t="s">
        <v>324</v>
      </c>
      <c r="D45" t="s">
        <v>358</v>
      </c>
      <c r="E45" t="s">
        <v>313</v>
      </c>
      <c r="F45" t="s">
        <v>314</v>
      </c>
      <c r="G45" s="50">
        <v>1.2800000000000001E-2</v>
      </c>
      <c r="H45" s="39">
        <f>X37</f>
        <v>881029.24605075608</v>
      </c>
      <c r="I45" s="25">
        <f>H45+(H45*$G$45)</f>
        <v>892306.42040020577</v>
      </c>
      <c r="J45" s="25">
        <f t="shared" ref="J45:AA45" si="21">I45+(I45*$G$45)</f>
        <v>903727.94258132845</v>
      </c>
      <c r="K45" s="25">
        <f t="shared" si="21"/>
        <v>915295.66024636943</v>
      </c>
      <c r="L45" s="25">
        <f t="shared" si="21"/>
        <v>927011.44469752291</v>
      </c>
      <c r="M45" s="25">
        <f t="shared" si="21"/>
        <v>938877.19118965114</v>
      </c>
      <c r="N45" s="25">
        <f t="shared" si="21"/>
        <v>950894.81923687865</v>
      </c>
      <c r="O45" s="25">
        <f t="shared" si="21"/>
        <v>963066.27292311075</v>
      </c>
      <c r="P45" s="25">
        <f t="shared" si="21"/>
        <v>975393.52121652663</v>
      </c>
      <c r="Q45" s="25">
        <f t="shared" si="21"/>
        <v>987878.5582880982</v>
      </c>
      <c r="R45" s="25">
        <f t="shared" si="21"/>
        <v>1000523.4038341858</v>
      </c>
      <c r="S45" s="25">
        <f t="shared" si="21"/>
        <v>1013330.1034032634</v>
      </c>
      <c r="T45" s="25">
        <f t="shared" si="21"/>
        <v>1026300.7287268251</v>
      </c>
      <c r="U45" s="25">
        <f t="shared" si="21"/>
        <v>1039437.3780545285</v>
      </c>
      <c r="V45" s="25">
        <f t="shared" si="21"/>
        <v>1052742.1764936266</v>
      </c>
      <c r="W45" s="25">
        <f t="shared" si="21"/>
        <v>1066217.276352745</v>
      </c>
      <c r="X45" s="25">
        <f t="shared" si="21"/>
        <v>1079864.8574900602</v>
      </c>
      <c r="Y45" s="25">
        <f t="shared" si="21"/>
        <v>1093687.127665933</v>
      </c>
      <c r="Z45" s="25">
        <f t="shared" si="21"/>
        <v>1107686.3229000568</v>
      </c>
      <c r="AA45" s="106">
        <f t="shared" si="21"/>
        <v>1121864.7078331776</v>
      </c>
    </row>
    <row r="46" spans="3:27">
      <c r="C46" t="s">
        <v>325</v>
      </c>
      <c r="D46" t="s">
        <v>359</v>
      </c>
      <c r="E46" t="s">
        <v>315</v>
      </c>
      <c r="F46" t="s">
        <v>316</v>
      </c>
      <c r="G46" s="50">
        <v>1.35E-2</v>
      </c>
      <c r="H46" s="39">
        <f>X38</f>
        <v>4953116.3916679407</v>
      </c>
      <c r="I46" s="25">
        <f>H46+(H46*$G$46)</f>
        <v>5019983.4629554581</v>
      </c>
      <c r="J46" s="25">
        <f t="shared" ref="J46:AA46" si="22">I46+(I46*$G$46)</f>
        <v>5087753.2397053568</v>
      </c>
      <c r="K46" s="25">
        <f t="shared" si="22"/>
        <v>5156437.9084413787</v>
      </c>
      <c r="L46" s="25">
        <f t="shared" si="22"/>
        <v>5226049.8202053374</v>
      </c>
      <c r="M46" s="25">
        <f t="shared" si="22"/>
        <v>5296601.4927781094</v>
      </c>
      <c r="N46" s="25">
        <f t="shared" si="22"/>
        <v>5368105.6129306136</v>
      </c>
      <c r="O46" s="25">
        <f t="shared" si="22"/>
        <v>5440575.0387051767</v>
      </c>
      <c r="P46" s="25">
        <f t="shared" si="22"/>
        <v>5514022.8017276963</v>
      </c>
      <c r="Q46" s="25">
        <f t="shared" si="22"/>
        <v>5588462.10955102</v>
      </c>
      <c r="R46" s="25">
        <f t="shared" si="22"/>
        <v>5663906.348029959</v>
      </c>
      <c r="S46" s="25">
        <f t="shared" si="22"/>
        <v>5740369.0837283637</v>
      </c>
      <c r="T46" s="25">
        <f t="shared" si="22"/>
        <v>5817864.0663586967</v>
      </c>
      <c r="U46" s="25">
        <f t="shared" si="22"/>
        <v>5896405.2312545395</v>
      </c>
      <c r="V46" s="25">
        <f t="shared" si="22"/>
        <v>5976006.7018764755</v>
      </c>
      <c r="W46" s="25">
        <f t="shared" si="22"/>
        <v>6056682.7923518075</v>
      </c>
      <c r="X46" s="25">
        <f t="shared" si="22"/>
        <v>6138448.0100485571</v>
      </c>
      <c r="Y46" s="25">
        <f t="shared" si="22"/>
        <v>6221317.058184213</v>
      </c>
      <c r="Z46" s="25">
        <f t="shared" si="22"/>
        <v>6305304.8384697</v>
      </c>
      <c r="AA46" s="106">
        <f t="shared" si="22"/>
        <v>6390426.4537890404</v>
      </c>
    </row>
    <row r="47" spans="3:27">
      <c r="C47" t="s">
        <v>327</v>
      </c>
      <c r="D47" t="s">
        <v>360</v>
      </c>
    </row>
    <row r="48" spans="3:27">
      <c r="C48" t="s">
        <v>326</v>
      </c>
      <c r="D48" t="s">
        <v>361</v>
      </c>
    </row>
    <row r="49" spans="3:27" ht="60">
      <c r="C49" t="s">
        <v>326</v>
      </c>
      <c r="D49" t="s">
        <v>362</v>
      </c>
      <c r="F49" s="40" t="s">
        <v>160</v>
      </c>
      <c r="G49" s="20" t="s">
        <v>385</v>
      </c>
      <c r="H49">
        <v>1</v>
      </c>
      <c r="I49">
        <v>2</v>
      </c>
      <c r="J49">
        <v>3</v>
      </c>
      <c r="K49">
        <v>4</v>
      </c>
      <c r="L49">
        <v>5</v>
      </c>
      <c r="M49">
        <v>6</v>
      </c>
      <c r="N49">
        <v>7</v>
      </c>
      <c r="O49">
        <v>8</v>
      </c>
      <c r="P49">
        <v>9</v>
      </c>
      <c r="Q49">
        <v>10</v>
      </c>
      <c r="R49">
        <v>11</v>
      </c>
      <c r="S49">
        <v>12</v>
      </c>
      <c r="T49">
        <v>13</v>
      </c>
      <c r="U49">
        <v>14</v>
      </c>
      <c r="V49">
        <v>15</v>
      </c>
      <c r="W49">
        <v>16</v>
      </c>
      <c r="X49">
        <v>17</v>
      </c>
      <c r="Y49">
        <v>18</v>
      </c>
      <c r="Z49">
        <v>19</v>
      </c>
      <c r="AA49">
        <v>20</v>
      </c>
    </row>
    <row r="50" spans="3:27">
      <c r="C50" t="s">
        <v>325</v>
      </c>
      <c r="D50" t="s">
        <v>363</v>
      </c>
      <c r="E50" t="s">
        <v>307</v>
      </c>
      <c r="F50" t="s">
        <v>308</v>
      </c>
      <c r="G50" s="50">
        <v>1.04E-2</v>
      </c>
      <c r="H50" s="39">
        <f>X34</f>
        <v>38723.474371795324</v>
      </c>
      <c r="I50" s="25">
        <f>H50+(H50*$G$50)</f>
        <v>39126.198505261993</v>
      </c>
      <c r="J50" s="25">
        <f t="shared" ref="J50:AA50" si="23">I50+(I50*$G$50)</f>
        <v>39533.110969716719</v>
      </c>
      <c r="K50" s="25">
        <f t="shared" si="23"/>
        <v>39944.255323801772</v>
      </c>
      <c r="L50" s="25">
        <f t="shared" si="23"/>
        <v>40359.675579169307</v>
      </c>
      <c r="M50" s="25">
        <f t="shared" si="23"/>
        <v>40779.416205192669</v>
      </c>
      <c r="N50" s="25">
        <f t="shared" si="23"/>
        <v>41203.52213372667</v>
      </c>
      <c r="O50" s="25">
        <f t="shared" si="23"/>
        <v>41632.03876391743</v>
      </c>
      <c r="P50" s="25">
        <f t="shared" si="23"/>
        <v>42065.011967062172</v>
      </c>
      <c r="Q50" s="25">
        <f t="shared" si="23"/>
        <v>42502.488091519619</v>
      </c>
      <c r="R50" s="25">
        <f t="shared" si="23"/>
        <v>42944.513967671424</v>
      </c>
      <c r="S50" s="25">
        <f t="shared" si="23"/>
        <v>43391.13691293521</v>
      </c>
      <c r="T50" s="25">
        <f t="shared" si="23"/>
        <v>43842.404736829732</v>
      </c>
      <c r="U50" s="25">
        <f t="shared" si="23"/>
        <v>44298.365746092764</v>
      </c>
      <c r="V50" s="25">
        <f t="shared" si="23"/>
        <v>44759.068749852129</v>
      </c>
      <c r="W50" s="25">
        <f t="shared" si="23"/>
        <v>45224.56306485059</v>
      </c>
      <c r="X50" s="25">
        <f t="shared" si="23"/>
        <v>45694.898520725037</v>
      </c>
      <c r="Y50" s="25">
        <f t="shared" si="23"/>
        <v>46170.125465340578</v>
      </c>
      <c r="Z50" s="25">
        <f t="shared" si="23"/>
        <v>46650.294770180117</v>
      </c>
      <c r="AA50" s="106">
        <f t="shared" si="23"/>
        <v>47135.457835789988</v>
      </c>
    </row>
    <row r="51" spans="3:27">
      <c r="C51" t="s">
        <v>324</v>
      </c>
      <c r="D51" t="s">
        <v>364</v>
      </c>
      <c r="E51" t="s">
        <v>309</v>
      </c>
      <c r="F51" t="s">
        <v>310</v>
      </c>
      <c r="G51" s="50">
        <v>1.0699999999999999E-2</v>
      </c>
      <c r="H51" s="39">
        <f t="shared" ref="H51:H54" si="24">X35</f>
        <v>78338.911679878191</v>
      </c>
      <c r="I51" s="25">
        <f>H51+(H51*$G$51)</f>
        <v>79177.138034852891</v>
      </c>
      <c r="J51" s="25">
        <f t="shared" ref="J51:AA51" si="25">I51+(I51*$G$51)</f>
        <v>80024.333411825821</v>
      </c>
      <c r="K51" s="25">
        <f t="shared" si="25"/>
        <v>80880.593779332354</v>
      </c>
      <c r="L51" s="25">
        <f t="shared" si="25"/>
        <v>81746.016132771212</v>
      </c>
      <c r="M51" s="25">
        <f t="shared" si="25"/>
        <v>82620.698505391862</v>
      </c>
      <c r="N51" s="25">
        <f t="shared" si="25"/>
        <v>83504.739979399557</v>
      </c>
      <c r="O51" s="25">
        <f t="shared" si="25"/>
        <v>84398.240697179135</v>
      </c>
      <c r="P51" s="25">
        <f t="shared" si="25"/>
        <v>85301.301872638956</v>
      </c>
      <c r="Q51" s="25">
        <f t="shared" si="25"/>
        <v>86214.025802676188</v>
      </c>
      <c r="R51" s="25">
        <f t="shared" si="25"/>
        <v>87136.515878764825</v>
      </c>
      <c r="S51" s="25">
        <f t="shared" si="25"/>
        <v>88068.876598667615</v>
      </c>
      <c r="T51" s="25">
        <f t="shared" si="25"/>
        <v>89011.213578273353</v>
      </c>
      <c r="U51" s="25">
        <f t="shared" si="25"/>
        <v>89963.633563560885</v>
      </c>
      <c r="V51" s="25">
        <f t="shared" si="25"/>
        <v>90926.244442690993</v>
      </c>
      <c r="W51" s="25">
        <f t="shared" si="25"/>
        <v>91899.15525822778</v>
      </c>
      <c r="X51" s="25">
        <f t="shared" si="25"/>
        <v>92882.476219490811</v>
      </c>
      <c r="Y51" s="25">
        <f t="shared" si="25"/>
        <v>93876.318715039364</v>
      </c>
      <c r="Z51" s="25">
        <f t="shared" si="25"/>
        <v>94880.795325290281</v>
      </c>
      <c r="AA51" s="106">
        <f t="shared" si="25"/>
        <v>95896.019835270883</v>
      </c>
    </row>
    <row r="52" spans="3:27">
      <c r="C52" t="s">
        <v>324</v>
      </c>
      <c r="D52" t="s">
        <v>365</v>
      </c>
      <c r="E52" t="s">
        <v>311</v>
      </c>
      <c r="F52" t="s">
        <v>312</v>
      </c>
      <c r="G52" s="50">
        <v>1.04E-2</v>
      </c>
      <c r="H52" s="39">
        <f t="shared" si="24"/>
        <v>1545395.675474541</v>
      </c>
      <c r="I52" s="25">
        <f>H52+(H52*$G$52)</f>
        <v>1561467.7904994763</v>
      </c>
      <c r="J52" s="25">
        <f t="shared" ref="J52:AA52" si="26">I52+(I52*$G$52)</f>
        <v>1577707.0555206707</v>
      </c>
      <c r="K52" s="25">
        <f t="shared" si="26"/>
        <v>1594115.2088980856</v>
      </c>
      <c r="L52" s="25">
        <f t="shared" si="26"/>
        <v>1610694.0070706257</v>
      </c>
      <c r="M52" s="25">
        <f t="shared" si="26"/>
        <v>1627445.2247441602</v>
      </c>
      <c r="N52" s="25">
        <f t="shared" si="26"/>
        <v>1644370.6550814994</v>
      </c>
      <c r="O52" s="25">
        <f t="shared" si="26"/>
        <v>1661472.1098943469</v>
      </c>
      <c r="P52" s="25">
        <f t="shared" si="26"/>
        <v>1678751.419837248</v>
      </c>
      <c r="Q52" s="25">
        <f t="shared" si="26"/>
        <v>1696210.4346035554</v>
      </c>
      <c r="R52" s="25">
        <f t="shared" si="26"/>
        <v>1713851.0231234324</v>
      </c>
      <c r="S52" s="25">
        <f t="shared" si="26"/>
        <v>1731675.073763916</v>
      </c>
      <c r="T52" s="25">
        <f t="shared" si="26"/>
        <v>1749684.4945310608</v>
      </c>
      <c r="U52" s="25">
        <f t="shared" si="26"/>
        <v>1767881.2132741839</v>
      </c>
      <c r="V52" s="25">
        <f t="shared" si="26"/>
        <v>1786267.1778922353</v>
      </c>
      <c r="W52" s="25">
        <f t="shared" si="26"/>
        <v>1804844.3565423146</v>
      </c>
      <c r="X52" s="25">
        <f t="shared" si="26"/>
        <v>1823614.7378503548</v>
      </c>
      <c r="Y52" s="25">
        <f t="shared" si="26"/>
        <v>1842580.3311239984</v>
      </c>
      <c r="Z52" s="25">
        <f t="shared" si="26"/>
        <v>1861743.1665676879</v>
      </c>
      <c r="AA52" s="106">
        <f t="shared" si="26"/>
        <v>1881105.2954999919</v>
      </c>
    </row>
    <row r="53" spans="3:27">
      <c r="C53" t="s">
        <v>326</v>
      </c>
      <c r="D53" t="s">
        <v>366</v>
      </c>
      <c r="E53" t="s">
        <v>313</v>
      </c>
      <c r="F53" t="s">
        <v>314</v>
      </c>
      <c r="G53" s="50">
        <v>1.03E-2</v>
      </c>
      <c r="H53" s="39">
        <f t="shared" si="24"/>
        <v>881029.24605075608</v>
      </c>
      <c r="I53" s="25">
        <f>H53+(H53*$G$53)</f>
        <v>890103.84728507884</v>
      </c>
      <c r="J53" s="25">
        <f t="shared" ref="J53:AA53" si="27">I53+(I53*$G$53)</f>
        <v>899271.91691211518</v>
      </c>
      <c r="K53" s="25">
        <f t="shared" si="27"/>
        <v>908534.41765631002</v>
      </c>
      <c r="L53" s="25">
        <f t="shared" si="27"/>
        <v>917892.32215817005</v>
      </c>
      <c r="M53" s="25">
        <f t="shared" si="27"/>
        <v>927346.6130763992</v>
      </c>
      <c r="N53" s="25">
        <f t="shared" si="27"/>
        <v>936898.28319108614</v>
      </c>
      <c r="O53" s="25">
        <f t="shared" si="27"/>
        <v>946548.33550795435</v>
      </c>
      <c r="P53" s="25">
        <f t="shared" si="27"/>
        <v>956297.78336368629</v>
      </c>
      <c r="Q53" s="25">
        <f t="shared" si="27"/>
        <v>966147.65053233225</v>
      </c>
      <c r="R53" s="25">
        <f t="shared" si="27"/>
        <v>976098.97133281524</v>
      </c>
      <c r="S53" s="25">
        <f t="shared" si="27"/>
        <v>986152.79073754326</v>
      </c>
      <c r="T53" s="25">
        <f t="shared" si="27"/>
        <v>996310.16448213998</v>
      </c>
      <c r="U53" s="25">
        <f t="shared" si="27"/>
        <v>1006572.159176306</v>
      </c>
      <c r="V53" s="25">
        <f t="shared" si="27"/>
        <v>1016939.852415822</v>
      </c>
      <c r="W53" s="25">
        <f t="shared" si="27"/>
        <v>1027414.3328957049</v>
      </c>
      <c r="X53" s="25">
        <f t="shared" si="27"/>
        <v>1037996.7005245306</v>
      </c>
      <c r="Y53" s="25">
        <f t="shared" si="27"/>
        <v>1048688.0665399332</v>
      </c>
      <c r="Z53" s="25">
        <f t="shared" si="27"/>
        <v>1059489.5536252945</v>
      </c>
      <c r="AA53" s="106">
        <f t="shared" si="27"/>
        <v>1070402.296027635</v>
      </c>
    </row>
    <row r="54" spans="3:27">
      <c r="C54" t="s">
        <v>327</v>
      </c>
      <c r="D54" t="s">
        <v>367</v>
      </c>
      <c r="E54" t="s">
        <v>315</v>
      </c>
      <c r="F54" t="s">
        <v>316</v>
      </c>
      <c r="G54" s="50">
        <v>1.06E-2</v>
      </c>
      <c r="H54" s="39">
        <f t="shared" si="24"/>
        <v>4953116.3916679407</v>
      </c>
      <c r="I54" s="25">
        <f>H54+(H54*$G$54)</f>
        <v>5005619.4254196212</v>
      </c>
      <c r="J54" s="25">
        <f t="shared" ref="J54:AA54" si="28">I54+(I54*$G$54)</f>
        <v>5058678.9913290692</v>
      </c>
      <c r="K54" s="25">
        <f t="shared" si="28"/>
        <v>5112300.9886371577</v>
      </c>
      <c r="L54" s="25">
        <f t="shared" si="28"/>
        <v>5166491.3791167112</v>
      </c>
      <c r="M54" s="25">
        <f t="shared" si="28"/>
        <v>5221256.187735348</v>
      </c>
      <c r="N54" s="25">
        <f t="shared" si="28"/>
        <v>5276601.5033253431</v>
      </c>
      <c r="O54" s="25">
        <f t="shared" si="28"/>
        <v>5332533.4792605918</v>
      </c>
      <c r="P54" s="25">
        <f t="shared" si="28"/>
        <v>5389058.3341407543</v>
      </c>
      <c r="Q54" s="25">
        <f t="shared" si="28"/>
        <v>5446182.3524826467</v>
      </c>
      <c r="R54" s="25">
        <f t="shared" si="28"/>
        <v>5503911.8854189627</v>
      </c>
      <c r="S54" s="25">
        <f t="shared" si="28"/>
        <v>5562253.3514044033</v>
      </c>
      <c r="T54" s="25">
        <f t="shared" si="28"/>
        <v>5621213.23692929</v>
      </c>
      <c r="U54" s="25">
        <f t="shared" si="28"/>
        <v>5680798.0972407404</v>
      </c>
      <c r="V54" s="25">
        <f t="shared" si="28"/>
        <v>5741014.5570714921</v>
      </c>
      <c r="W54" s="25">
        <f t="shared" si="28"/>
        <v>5801869.3113764497</v>
      </c>
      <c r="X54" s="25">
        <f t="shared" si="28"/>
        <v>5863369.1260770401</v>
      </c>
      <c r="Y54" s="25">
        <f t="shared" si="28"/>
        <v>5925520.8388134567</v>
      </c>
      <c r="Z54" s="25">
        <f t="shared" si="28"/>
        <v>5988331.3597048791</v>
      </c>
      <c r="AA54" s="106">
        <f t="shared" si="28"/>
        <v>6051807.6721177511</v>
      </c>
    </row>
    <row r="55" spans="3:27">
      <c r="C55" t="s">
        <v>327</v>
      </c>
      <c r="D55" t="s">
        <v>368</v>
      </c>
    </row>
    <row r="56" spans="3:27">
      <c r="C56" t="s">
        <v>326</v>
      </c>
      <c r="D56" t="s">
        <v>369</v>
      </c>
    </row>
    <row r="57" spans="3:27">
      <c r="C57" t="s">
        <v>326</v>
      </c>
      <c r="D57" t="s">
        <v>370</v>
      </c>
    </row>
    <row r="58" spans="3:27">
      <c r="C58" t="s">
        <v>326</v>
      </c>
      <c r="D58" t="s">
        <v>371</v>
      </c>
    </row>
    <row r="59" spans="3:27">
      <c r="C59" t="s">
        <v>324</v>
      </c>
      <c r="D59" t="s">
        <v>372</v>
      </c>
    </row>
    <row r="60" spans="3:27">
      <c r="C60" t="s">
        <v>325</v>
      </c>
      <c r="D60" t="s">
        <v>373</v>
      </c>
    </row>
    <row r="61" spans="3:27">
      <c r="C61" t="s">
        <v>327</v>
      </c>
      <c r="D61" t="s">
        <v>374</v>
      </c>
    </row>
    <row r="62" spans="3:27">
      <c r="C62" t="s">
        <v>327</v>
      </c>
      <c r="D62" t="s">
        <v>375</v>
      </c>
    </row>
    <row r="63" spans="3:27">
      <c r="C63" t="s">
        <v>325</v>
      </c>
      <c r="D63" t="s">
        <v>376</v>
      </c>
    </row>
    <row r="64" spans="3:27">
      <c r="C64" t="s">
        <v>324</v>
      </c>
      <c r="D64" t="s">
        <v>377</v>
      </c>
    </row>
    <row r="65" spans="3:11">
      <c r="C65" t="s">
        <v>327</v>
      </c>
      <c r="D65" t="s">
        <v>378</v>
      </c>
    </row>
    <row r="66" spans="3:11">
      <c r="C66" t="s">
        <v>324</v>
      </c>
      <c r="D66" t="s">
        <v>379</v>
      </c>
    </row>
    <row r="67" spans="3:11">
      <c r="C67" t="s">
        <v>325</v>
      </c>
      <c r="D67" t="s">
        <v>380</v>
      </c>
    </row>
    <row r="68" spans="3:11">
      <c r="C68" t="s">
        <v>325</v>
      </c>
      <c r="D68" t="s">
        <v>381</v>
      </c>
    </row>
    <row r="74" spans="3:11">
      <c r="D74" s="96"/>
      <c r="E74" s="96"/>
      <c r="F74" s="96"/>
      <c r="G74" s="96"/>
      <c r="H74" s="96"/>
      <c r="I74" s="96"/>
      <c r="J74" s="96"/>
      <c r="K74" s="96"/>
    </row>
    <row r="82" spans="4:11">
      <c r="D82" s="96"/>
      <c r="E82" s="96"/>
      <c r="F82" s="96"/>
      <c r="G82" s="96"/>
      <c r="H82" s="96"/>
      <c r="I82" s="96"/>
      <c r="J82" s="96"/>
      <c r="K82" s="96"/>
    </row>
  </sheetData>
  <autoFilter ref="C33:D68" xr:uid="{9E159F4B-0302-4DE6-9B03-690989599CAB}"/>
  <mergeCells count="1">
    <mergeCell ref="F11:L11"/>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A2191-00E5-4881-A2D9-389F78239FE0}">
  <sheetPr>
    <tabColor rgb="FFFFFF00"/>
  </sheetPr>
  <dimension ref="A1:AA82"/>
  <sheetViews>
    <sheetView topLeftCell="D3" workbookViewId="0">
      <selection activeCell="V18" sqref="V18"/>
    </sheetView>
  </sheetViews>
  <sheetFormatPr defaultColWidth="8.85546875" defaultRowHeight="15"/>
  <cols>
    <col min="2" max="2" width="13" bestFit="1" customWidth="1"/>
    <col min="3" max="3" width="20.7109375" bestFit="1" customWidth="1"/>
    <col min="4" max="4" width="13.85546875" bestFit="1" customWidth="1"/>
    <col min="5" max="5" width="13.85546875" customWidth="1"/>
    <col min="6" max="6" width="14" bestFit="1" customWidth="1"/>
    <col min="7" max="7" width="11.28515625" bestFit="1" customWidth="1"/>
    <col min="8" max="8" width="12.7109375" bestFit="1" customWidth="1"/>
    <col min="9" max="9" width="14.28515625" bestFit="1" customWidth="1"/>
    <col min="10" max="12" width="12.7109375" bestFit="1" customWidth="1"/>
    <col min="13" max="20" width="12.42578125" customWidth="1"/>
    <col min="21" max="22" width="12.7109375" bestFit="1" customWidth="1"/>
    <col min="23" max="23" width="13.140625" bestFit="1" customWidth="1"/>
    <col min="24" max="24" width="13" bestFit="1" customWidth="1"/>
    <col min="25" max="27" width="12.7109375" bestFit="1" customWidth="1"/>
    <col min="28" max="28" width="11.42578125" bestFit="1" customWidth="1"/>
    <col min="29" max="29" width="9.42578125" bestFit="1" customWidth="1"/>
    <col min="30" max="30" width="14.42578125" bestFit="1" customWidth="1"/>
    <col min="31" max="31" width="11.42578125" bestFit="1" customWidth="1"/>
  </cols>
  <sheetData>
    <row r="1" spans="1:22" ht="70.900000000000006" customHeight="1">
      <c r="D1" s="65" t="s">
        <v>298</v>
      </c>
      <c r="E1" s="71" t="s">
        <v>299</v>
      </c>
      <c r="F1" s="65" t="s">
        <v>387</v>
      </c>
      <c r="G1" s="93" t="s">
        <v>301</v>
      </c>
      <c r="I1" s="65"/>
      <c r="J1" s="65"/>
      <c r="K1" s="36" t="s">
        <v>302</v>
      </c>
      <c r="L1" s="36" t="s">
        <v>303</v>
      </c>
      <c r="M1" s="36" t="s">
        <v>304</v>
      </c>
      <c r="N1" s="36" t="s">
        <v>305</v>
      </c>
      <c r="O1" s="36" t="s">
        <v>306</v>
      </c>
    </row>
    <row r="2" spans="1:22">
      <c r="B2" t="s">
        <v>307</v>
      </c>
      <c r="C2" s="70" t="s">
        <v>308</v>
      </c>
      <c r="D2" s="81">
        <v>26566.595929262396</v>
      </c>
      <c r="E2" s="85">
        <f>D2/$D$9</f>
        <v>4.4635662793021981E-3</v>
      </c>
      <c r="F2" s="57">
        <f>AA50</f>
        <v>47135.457835789988</v>
      </c>
      <c r="G2" s="94">
        <f>F2/$F$9</f>
        <v>5.1213275874170813E-3</v>
      </c>
      <c r="H2" s="50"/>
      <c r="K2" s="63">
        <v>2</v>
      </c>
      <c r="L2" s="39">
        <f t="shared" ref="L2:L8" si="0">F2/K2</f>
        <v>23567.728917894994</v>
      </c>
      <c r="M2" s="39">
        <f t="shared" ref="M2:M8" si="1">L2*G2</f>
        <v>120.69806027998295</v>
      </c>
      <c r="N2" s="35">
        <v>0.58026007187671758</v>
      </c>
      <c r="O2" s="35">
        <v>0.13783597413647813</v>
      </c>
      <c r="U2">
        <v>1990</v>
      </c>
      <c r="V2">
        <f>17612+100161+4351869+480358</f>
        <v>4950000</v>
      </c>
    </row>
    <row r="3" spans="1:22">
      <c r="B3" t="s">
        <v>309</v>
      </c>
      <c r="C3" s="70" t="s">
        <v>310</v>
      </c>
      <c r="D3" s="81">
        <v>55983.612752116169</v>
      </c>
      <c r="E3" s="85">
        <f t="shared" ref="E3:E8" si="2">D3/$D$9</f>
        <v>9.4060438431487151E-3</v>
      </c>
      <c r="F3" s="57">
        <f>AA51</f>
        <v>95896.019835270883</v>
      </c>
      <c r="G3" s="94">
        <f t="shared" ref="G3:G4" si="3">F3/$F$9</f>
        <v>1.0419224814083899E-2</v>
      </c>
      <c r="K3" s="63">
        <v>15</v>
      </c>
      <c r="L3" s="39">
        <f t="shared" si="0"/>
        <v>6393.0679890180591</v>
      </c>
      <c r="M3" s="39">
        <f t="shared" si="1"/>
        <v>66.610812629302416</v>
      </c>
      <c r="N3" s="35">
        <v>0.49273024147761241</v>
      </c>
      <c r="O3" s="35">
        <v>7.2717916992056056E-2</v>
      </c>
      <c r="U3">
        <v>2021</v>
      </c>
      <c r="V3">
        <f>140777+800636+12786314+1454645+28628</f>
        <v>15211000</v>
      </c>
    </row>
    <row r="4" spans="1:22">
      <c r="C4" s="70"/>
      <c r="D4" s="81">
        <v>0</v>
      </c>
      <c r="E4" s="85">
        <f t="shared" si="2"/>
        <v>0</v>
      </c>
      <c r="F4" s="57">
        <f>H17</f>
        <v>0</v>
      </c>
      <c r="G4" s="94">
        <f t="shared" si="3"/>
        <v>0</v>
      </c>
      <c r="K4">
        <f>AVERAGE(20,200)</f>
        <v>110</v>
      </c>
      <c r="L4" s="39">
        <f t="shared" si="0"/>
        <v>0</v>
      </c>
      <c r="M4" s="39">
        <f t="shared" si="1"/>
        <v>0</v>
      </c>
      <c r="N4" s="35">
        <v>0.49754365777387549</v>
      </c>
      <c r="O4" s="35">
        <v>1.964701206131458E-2</v>
      </c>
      <c r="U4">
        <f>U3-U2</f>
        <v>31</v>
      </c>
      <c r="V4">
        <f>V3/V2-1</f>
        <v>2.0729292929292931</v>
      </c>
    </row>
    <row r="5" spans="1:22">
      <c r="B5" t="s">
        <v>311</v>
      </c>
      <c r="C5" s="98" t="s">
        <v>312</v>
      </c>
      <c r="D5" s="81">
        <v>190931.33199861538</v>
      </c>
      <c r="E5" s="85">
        <f t="shared" si="2"/>
        <v>3.2079181594829718E-2</v>
      </c>
      <c r="F5" s="57">
        <f>AA52</f>
        <v>1938516.1797648796</v>
      </c>
      <c r="G5" s="94">
        <f>F5/$F$9</f>
        <v>0.2106222543688985</v>
      </c>
      <c r="H5" s="35"/>
      <c r="K5" s="63">
        <v>5</v>
      </c>
      <c r="L5" s="39">
        <f t="shared" si="0"/>
        <v>387703.23595297593</v>
      </c>
      <c r="M5" s="39">
        <f t="shared" si="1"/>
        <v>81658.929582532772</v>
      </c>
      <c r="N5" s="101">
        <v>0.344899949930358</v>
      </c>
      <c r="O5" s="101">
        <v>5.8015096048721897E-2</v>
      </c>
      <c r="V5" s="35">
        <f>V4/U4</f>
        <v>6.6868686868686869E-2</v>
      </c>
    </row>
    <row r="6" spans="1:22">
      <c r="C6" s="70"/>
      <c r="D6" s="81">
        <v>855086.7329832426</v>
      </c>
      <c r="E6" s="85">
        <f t="shared" si="2"/>
        <v>0.14366674290471107</v>
      </c>
      <c r="F6" s="57"/>
      <c r="G6" s="94">
        <f>F6/$F$9</f>
        <v>0</v>
      </c>
      <c r="H6" s="35"/>
      <c r="K6">
        <f>AVERAGE(4,13)</f>
        <v>8.5</v>
      </c>
      <c r="L6" s="39">
        <f t="shared" si="0"/>
        <v>0</v>
      </c>
      <c r="M6" s="39">
        <f t="shared" si="1"/>
        <v>0</v>
      </c>
      <c r="N6" s="35">
        <v>0.33003747953527612</v>
      </c>
      <c r="O6" s="35">
        <v>2.5808356020513467E-2</v>
      </c>
      <c r="V6" s="35">
        <f>V5*25</f>
        <v>1.6717171717171717</v>
      </c>
    </row>
    <row r="7" spans="1:22">
      <c r="B7" t="s">
        <v>313</v>
      </c>
      <c r="C7" s="70" t="s">
        <v>314</v>
      </c>
      <c r="D7" s="81">
        <v>1628380.2935006323</v>
      </c>
      <c r="E7" s="85">
        <f t="shared" si="2"/>
        <v>0.27359106854723936</v>
      </c>
      <c r="F7" s="57">
        <f>AA53</f>
        <v>1070402.296027635</v>
      </c>
      <c r="G7" s="94">
        <f t="shared" ref="G7:G8" si="4">F7/$F$9</f>
        <v>0.11630057413208186</v>
      </c>
      <c r="H7" s="35"/>
      <c r="K7" s="63">
        <f>AVERAGE(40,60)</f>
        <v>50</v>
      </c>
      <c r="L7" s="39">
        <f t="shared" si="0"/>
        <v>21408.0459205527</v>
      </c>
      <c r="M7" s="39">
        <f t="shared" si="1"/>
        <v>2489.768031606252</v>
      </c>
      <c r="N7" s="35">
        <v>0.8457076496176642</v>
      </c>
      <c r="O7" s="35">
        <v>3.8010802364927064E-2</v>
      </c>
    </row>
    <row r="8" spans="1:22">
      <c r="B8" t="s">
        <v>315</v>
      </c>
      <c r="C8" s="70" t="s">
        <v>316</v>
      </c>
      <c r="D8" s="81">
        <v>3194928.0863661035</v>
      </c>
      <c r="E8" s="85">
        <f t="shared" si="2"/>
        <v>0.53679339683076899</v>
      </c>
      <c r="F8" s="57">
        <f>AA54</f>
        <v>6051807.6721177511</v>
      </c>
      <c r="G8" s="94">
        <f t="shared" si="4"/>
        <v>0.65753661909751848</v>
      </c>
      <c r="H8" s="35"/>
      <c r="K8" s="63">
        <f>AVERAGE(30,40)</f>
        <v>35</v>
      </c>
      <c r="L8" s="39">
        <f t="shared" si="0"/>
        <v>172908.79063193576</v>
      </c>
      <c r="M8" s="39">
        <f t="shared" si="1"/>
        <v>113693.86160436372</v>
      </c>
      <c r="N8" s="35">
        <v>0.50266700163356404</v>
      </c>
      <c r="O8" s="35">
        <v>3.1421722443300611E-2</v>
      </c>
    </row>
    <row r="9" spans="1:22">
      <c r="D9" s="82">
        <f>SUM(D2:D8)</f>
        <v>5951876.6535299718</v>
      </c>
      <c r="E9" s="69">
        <f>SUM(E2:E8)</f>
        <v>1</v>
      </c>
      <c r="F9" s="97">
        <f>SUM(F2:F8)</f>
        <v>9203757.6255813278</v>
      </c>
      <c r="G9" s="89"/>
      <c r="M9" s="95">
        <f>SUM(M2:M8)</f>
        <v>198029.86809141201</v>
      </c>
    </row>
    <row r="10" spans="1:22">
      <c r="D10" s="39"/>
      <c r="F10" s="39"/>
      <c r="L10" s="39"/>
    </row>
    <row r="11" spans="1:22">
      <c r="D11" s="39"/>
      <c r="F11" s="312" t="s">
        <v>383</v>
      </c>
      <c r="G11" s="312"/>
      <c r="H11" s="312"/>
      <c r="I11" s="312"/>
      <c r="J11" s="312"/>
      <c r="K11" s="312"/>
      <c r="L11" s="312"/>
      <c r="Q11" s="40"/>
      <c r="R11" s="46"/>
      <c r="S11" s="46"/>
      <c r="T11" s="46"/>
      <c r="U11" s="46"/>
    </row>
    <row r="12" spans="1:22" ht="75">
      <c r="A12" s="59"/>
      <c r="B12" s="67" t="s">
        <v>319</v>
      </c>
      <c r="D12" s="39"/>
      <c r="E12" s="20" t="s">
        <v>320</v>
      </c>
      <c r="F12" s="20" t="s">
        <v>308</v>
      </c>
      <c r="G12" s="20" t="s">
        <v>310</v>
      </c>
      <c r="H12" s="20"/>
      <c r="I12" s="66" t="s">
        <v>312</v>
      </c>
      <c r="J12" s="20"/>
      <c r="K12" s="20" t="s">
        <v>314</v>
      </c>
      <c r="L12" s="20" t="s">
        <v>316</v>
      </c>
      <c r="O12" s="67" t="s">
        <v>308</v>
      </c>
      <c r="P12" s="67" t="s">
        <v>310</v>
      </c>
      <c r="Q12" s="67"/>
      <c r="R12" s="66" t="s">
        <v>312</v>
      </c>
      <c r="S12" s="67"/>
      <c r="T12" s="67" t="s">
        <v>314</v>
      </c>
      <c r="U12" s="67" t="s">
        <v>316</v>
      </c>
    </row>
    <row r="13" spans="1:22">
      <c r="A13" s="59" t="s">
        <v>324</v>
      </c>
      <c r="B13" s="83">
        <v>1528197.1</v>
      </c>
      <c r="D13" t="s">
        <v>324</v>
      </c>
      <c r="E13" s="26">
        <f>SUM(F13:L13)</f>
        <v>2411943.026624456</v>
      </c>
      <c r="F13" s="18">
        <f>F2*Herd_2020_PS!N38</f>
        <v>17852.852958727068</v>
      </c>
      <c r="G13" s="18">
        <f>F3*Herd_2020_PS!O38</f>
        <v>33356.533057441608</v>
      </c>
      <c r="H13" s="18"/>
      <c r="I13" s="18">
        <f>F5*Herd_2020_PS!Q38</f>
        <v>577411.27779906965</v>
      </c>
      <c r="J13" s="18"/>
      <c r="K13" s="18">
        <f>F7*Herd_2020_PS!S38</f>
        <v>439401.18578046095</v>
      </c>
      <c r="L13" s="18">
        <f>F8*Herd_2020_PS!T38</f>
        <v>1343921.1770287571</v>
      </c>
      <c r="N13" s="279"/>
      <c r="O13" s="280">
        <f>(F13/$F$2)*$M$2</f>
        <v>45.715154185814797</v>
      </c>
      <c r="P13" s="281">
        <f>(G13/$F$3)*$M$3</f>
        <v>23.169947796260363</v>
      </c>
      <c r="Q13" s="282"/>
      <c r="R13" s="280">
        <f>(I13/$F$5)*$M$5</f>
        <v>24323.133005613272</v>
      </c>
      <c r="S13" s="280"/>
      <c r="T13" s="280">
        <f>(K13/$F$7)*$M$7</f>
        <v>1022.0522036117035</v>
      </c>
      <c r="U13" s="280">
        <f>(L13/$F$8)*$M$8</f>
        <v>25247.925345058473</v>
      </c>
      <c r="V13" s="279"/>
    </row>
    <row r="14" spans="1:22">
      <c r="A14" s="59" t="s">
        <v>325</v>
      </c>
      <c r="B14" s="83">
        <v>1062382.5</v>
      </c>
      <c r="D14" t="s">
        <v>325</v>
      </c>
      <c r="E14" s="26">
        <f t="shared" ref="E14:E16" si="5">SUM(F14:L14)</f>
        <v>2554920.3759644129</v>
      </c>
      <c r="F14" s="18">
        <f>F2*Herd_2020_PS!N39</f>
        <v>12303.151635134333</v>
      </c>
      <c r="G14" s="18">
        <f>F3*Herd_2020_PS!O39</f>
        <v>16579.273928554892</v>
      </c>
      <c r="H14" s="18"/>
      <c r="I14" s="18">
        <f>F5*Herd_2020_PS!Q39</f>
        <v>357884.6721218946</v>
      </c>
      <c r="J14" s="18"/>
      <c r="K14" s="18">
        <f>F7*Herd_2020_PS!S39</f>
        <v>121246.97436992815</v>
      </c>
      <c r="L14" s="18">
        <f>F8*Herd_2020_PS!T39</f>
        <v>2046906.3039089011</v>
      </c>
      <c r="N14" s="279"/>
      <c r="O14" s="280">
        <f>(F14/$F$2)*$M$2</f>
        <v>31.504234940594518</v>
      </c>
      <c r="P14" s="280">
        <f>(G14/$F$3)*$M$3</f>
        <v>11.516212154392893</v>
      </c>
      <c r="Q14" s="282"/>
      <c r="R14" s="280">
        <f>(I14/$F$5)*$M$5</f>
        <v>15075.695289277504</v>
      </c>
      <c r="S14" s="280"/>
      <c r="T14" s="280">
        <f>(K14/$F$7)*$M$7</f>
        <v>282.02185462000915</v>
      </c>
      <c r="U14" s="280">
        <f>(L14/$F$8)*$M$8</f>
        <v>38454.738590904475</v>
      </c>
      <c r="V14" s="279"/>
    </row>
    <row r="15" spans="1:22">
      <c r="A15" s="59" t="s">
        <v>326</v>
      </c>
      <c r="B15" s="83">
        <v>2194326.4666666668</v>
      </c>
      <c r="D15" t="s">
        <v>326</v>
      </c>
      <c r="E15" s="26">
        <f t="shared" si="5"/>
        <v>1691377.397417513</v>
      </c>
      <c r="F15" s="18">
        <f>F2*Herd_2020_PS!N40</f>
        <v>3241.8607207722512</v>
      </c>
      <c r="G15" s="18">
        <f>F3*Herd_2020_PS!O40</f>
        <v>5124.9281414284296</v>
      </c>
      <c r="H15" s="18"/>
      <c r="I15" s="18">
        <f>F5*Herd_2020_PS!Q40</f>
        <v>187264.06861252725</v>
      </c>
      <c r="J15" s="18"/>
      <c r="K15" s="18">
        <f>F7*Herd_2020_PS!S40</f>
        <v>106833.97317956305</v>
      </c>
      <c r="L15" s="18">
        <f>F8*Herd_2020_PS!T40</f>
        <v>1388912.566763222</v>
      </c>
      <c r="N15" s="279"/>
      <c r="O15" s="280">
        <f>(F15/$F$5)*$M$5</f>
        <v>136.56160267180675</v>
      </c>
      <c r="P15" s="280">
        <f>(G15/$F$3)*$M$3</f>
        <v>3.559851897437865</v>
      </c>
      <c r="Q15" s="282"/>
      <c r="R15" s="280">
        <f>(I15/$F$5)*$M$5</f>
        <v>7888.396058692515</v>
      </c>
      <c r="S15" s="280"/>
      <c r="T15" s="280">
        <f>(K15/$F$7)*$M$7</f>
        <v>248.49704835189237</v>
      </c>
      <c r="U15" s="280">
        <f>(L15/$F$8)*$M$8</f>
        <v>26093.167810615585</v>
      </c>
      <c r="V15" s="279"/>
    </row>
    <row r="16" spans="1:22">
      <c r="A16" s="84" t="s">
        <v>327</v>
      </c>
      <c r="B16" s="83">
        <v>1179534.45</v>
      </c>
      <c r="D16" s="54" t="s">
        <v>327</v>
      </c>
      <c r="E16" s="26">
        <f t="shared" si="5"/>
        <v>2545516.8255749443</v>
      </c>
      <c r="F16" s="18">
        <f>F2*Herd_2020_PS!N41</f>
        <v>13737.592521156341</v>
      </c>
      <c r="G16" s="18">
        <f>F3*Herd_2020_PS!O41</f>
        <v>40835.28470784596</v>
      </c>
      <c r="H16" s="18"/>
      <c r="I16" s="18">
        <f>F5*Herd_2020_PS!Q41</f>
        <v>815956.16123138787</v>
      </c>
      <c r="J16" s="18"/>
      <c r="K16" s="18">
        <f>F7*Herd_2020_PS!S41</f>
        <v>402920.16269768286</v>
      </c>
      <c r="L16" s="18">
        <f>F8*Herd_2020_PS!T41</f>
        <v>1272067.6244168712</v>
      </c>
      <c r="N16" s="279"/>
      <c r="O16" s="280">
        <f>(F16/$F$5)*$M$5</f>
        <v>578.68854128145369</v>
      </c>
      <c r="P16" s="280">
        <f>(G16/$F$3)*$M$3</f>
        <v>28.364800781211294</v>
      </c>
      <c r="Q16" s="282"/>
      <c r="R16" s="280">
        <f>(I16/$F$5)*$M$5</f>
        <v>34371.705228949468</v>
      </c>
      <c r="S16" s="280"/>
      <c r="T16" s="280">
        <f>(K16/$F$7)*$M$7</f>
        <v>937.19692502264706</v>
      </c>
      <c r="U16" s="280">
        <f>(L16/$F$8)*$M$8</f>
        <v>23898.029857785186</v>
      </c>
      <c r="V16" s="279"/>
    </row>
    <row r="17" spans="1:22">
      <c r="A17" s="59"/>
      <c r="B17" s="88">
        <f>SUM(B13:B16)</f>
        <v>5964440.5166666666</v>
      </c>
      <c r="D17" s="107" t="s">
        <v>384</v>
      </c>
      <c r="E17" s="34">
        <f>SUM(E13:E16)</f>
        <v>9203757.625581326</v>
      </c>
      <c r="F17" s="39">
        <f>SUM(F13:F16)</f>
        <v>47135.457835789988</v>
      </c>
      <c r="G17" s="39">
        <f>SUM(G13:G16)</f>
        <v>95896.019835270883</v>
      </c>
      <c r="H17" s="39">
        <f t="shared" ref="H17:L17" si="6">SUM(H13:H16)</f>
        <v>0</v>
      </c>
      <c r="I17" s="39">
        <f t="shared" si="6"/>
        <v>1938516.1797648794</v>
      </c>
      <c r="J17" s="39">
        <f t="shared" si="6"/>
        <v>0</v>
      </c>
      <c r="K17" s="39">
        <f t="shared" si="6"/>
        <v>1070402.296027635</v>
      </c>
      <c r="L17" s="39">
        <f t="shared" si="6"/>
        <v>6051807.6721177511</v>
      </c>
      <c r="N17" s="283" t="s">
        <v>330</v>
      </c>
      <c r="O17" s="284">
        <f t="shared" ref="O17:P17" si="7">SUM(O13:O16)</f>
        <v>792.46953307966976</v>
      </c>
      <c r="P17" s="284">
        <f t="shared" si="7"/>
        <v>66.610812629302416</v>
      </c>
      <c r="Q17" s="284"/>
      <c r="R17" s="284">
        <f>SUM(R13:R16)</f>
        <v>81658.929582532757</v>
      </c>
      <c r="S17" s="284"/>
      <c r="T17" s="284">
        <f t="shared" ref="T17:U17" si="8">SUM(T13:T16)</f>
        <v>2489.768031606252</v>
      </c>
      <c r="U17" s="284">
        <f t="shared" si="8"/>
        <v>113693.86160436372</v>
      </c>
      <c r="V17" s="284">
        <f>SUM(O17:U17)</f>
        <v>198701.63956421171</v>
      </c>
    </row>
    <row r="18" spans="1:22" ht="45.75">
      <c r="N18" s="285" t="s">
        <v>331</v>
      </c>
      <c r="O18" s="284">
        <f t="shared" ref="O18:P18" si="9">O17*0.75</f>
        <v>594.35214980975229</v>
      </c>
      <c r="P18" s="284">
        <f t="shared" si="9"/>
        <v>49.958109471976812</v>
      </c>
      <c r="Q18" s="284"/>
      <c r="R18" s="284">
        <f>R17*0.75</f>
        <v>61244.197186899568</v>
      </c>
      <c r="S18" s="284"/>
      <c r="T18" s="284">
        <f t="shared" ref="T18:U18" si="10">T17*0.75</f>
        <v>1867.3260237046889</v>
      </c>
      <c r="U18" s="284">
        <f t="shared" si="10"/>
        <v>85270.396203272787</v>
      </c>
      <c r="V18" s="284">
        <f>SUM(O18:U18)</f>
        <v>149026.22967315878</v>
      </c>
    </row>
    <row r="19" spans="1:22">
      <c r="C19" s="90"/>
      <c r="D19" s="90"/>
      <c r="E19" s="90" t="s">
        <v>332</v>
      </c>
      <c r="F19" s="90"/>
      <c r="G19" s="90"/>
      <c r="H19" s="90" t="s">
        <v>333</v>
      </c>
      <c r="I19" s="90"/>
      <c r="J19" s="90"/>
      <c r="K19" s="90"/>
      <c r="L19" s="90"/>
    </row>
    <row r="20" spans="1:22" ht="30">
      <c r="C20" s="90" t="s">
        <v>334</v>
      </c>
      <c r="D20" s="90" t="s">
        <v>320</v>
      </c>
      <c r="E20" s="90" t="s">
        <v>308</v>
      </c>
      <c r="F20" s="90" t="s">
        <v>310</v>
      </c>
      <c r="G20" s="90" t="s">
        <v>335</v>
      </c>
      <c r="H20" s="90" t="s">
        <v>322</v>
      </c>
      <c r="I20" s="90" t="s">
        <v>323</v>
      </c>
      <c r="J20" s="90" t="s">
        <v>314</v>
      </c>
      <c r="K20" s="90" t="s">
        <v>316</v>
      </c>
      <c r="L20" s="92" t="s">
        <v>336</v>
      </c>
      <c r="N20" s="36" t="s">
        <v>337</v>
      </c>
      <c r="O20" s="39">
        <f>O18*K2</f>
        <v>1188.7042996195046</v>
      </c>
      <c r="P20" s="39">
        <f>P18*K3</f>
        <v>749.37164207965213</v>
      </c>
      <c r="Q20" s="39"/>
      <c r="R20" s="39">
        <f>R18*K5</f>
        <v>306220.98593449785</v>
      </c>
      <c r="S20" s="39"/>
      <c r="T20" s="222">
        <f>T18*12</f>
        <v>22407.912284456266</v>
      </c>
      <c r="U20" s="222">
        <f>U18*6</f>
        <v>511622.37721963669</v>
      </c>
      <c r="V20" s="95">
        <f>SUM(O20:U20)</f>
        <v>842189.35138029</v>
      </c>
    </row>
    <row r="21" spans="1:22" ht="45">
      <c r="C21" s="90" t="s">
        <v>338</v>
      </c>
      <c r="D21" s="90"/>
      <c r="E21" s="91">
        <v>7.930574379302632E-3</v>
      </c>
      <c r="F21" s="91">
        <v>1.5347939498954194E-2</v>
      </c>
      <c r="G21" s="91">
        <v>6.1883369272403262E-3</v>
      </c>
      <c r="H21" s="91">
        <v>4.3789400257788165E-2</v>
      </c>
      <c r="I21" s="91">
        <v>0.19490844403443056</v>
      </c>
      <c r="J21" s="91">
        <v>0.1982808151137759</v>
      </c>
      <c r="K21" s="91">
        <v>0.53355456336838791</v>
      </c>
      <c r="L21" s="91">
        <f>SUM(E21:K21)</f>
        <v>1.0000000735798797</v>
      </c>
      <c r="N21" s="36" t="s">
        <v>339</v>
      </c>
      <c r="O21" s="39">
        <f>O20*Uganda_herd2020!P8</f>
        <v>689.75764233737698</v>
      </c>
      <c r="P21" s="39">
        <f>P20*Uganda_herd2020!P17</f>
        <v>369.23807015838196</v>
      </c>
      <c r="Q21" s="39"/>
      <c r="R21" s="39">
        <f>R20*Uganda_herd2020!P45</f>
        <v>105615.60271643316</v>
      </c>
      <c r="S21" s="39"/>
      <c r="T21" s="39">
        <f>T20*Uganda_herd2020!P53</f>
        <v>18950.542830926293</v>
      </c>
      <c r="U21" s="39">
        <f>U20*Uganda_herd2020!P62</f>
        <v>257175.68632563105</v>
      </c>
      <c r="V21" s="39">
        <f t="shared" ref="V21:V22" si="11">SUM(O21:U21)</f>
        <v>382800.82758548623</v>
      </c>
    </row>
    <row r="22" spans="1:22" ht="30">
      <c r="C22" s="90" t="s">
        <v>340</v>
      </c>
      <c r="D22" s="90"/>
      <c r="E22" s="91">
        <v>5.307045150118911E-3</v>
      </c>
      <c r="F22" s="91">
        <v>7.4075411267352466E-3</v>
      </c>
      <c r="G22" s="91">
        <v>1.3745226985539679E-3</v>
      </c>
      <c r="H22" s="91">
        <v>1.8537454623658342E-2</v>
      </c>
      <c r="I22" s="91">
        <v>0.12512580770355108</v>
      </c>
      <c r="J22" s="91">
        <v>5.3128771284707069E-2</v>
      </c>
      <c r="K22" s="91">
        <v>0.7891188104061112</v>
      </c>
      <c r="L22" s="91">
        <f t="shared" ref="L22:L25" si="12">SUM(E22:K22)</f>
        <v>0.9999999529934358</v>
      </c>
      <c r="N22" s="36" t="s">
        <v>341</v>
      </c>
      <c r="O22" s="39">
        <f>O20*Uganda_herd2020!R8</f>
        <v>163.8462150982744</v>
      </c>
      <c r="P22" s="39">
        <f>P20*Uganda_herd2020!R17</f>
        <v>54.492744864948882</v>
      </c>
      <c r="Q22" s="39"/>
      <c r="R22" s="39">
        <f>R20*Uganda_herd2020!R45</f>
        <v>17765.439911124209</v>
      </c>
      <c r="S22" s="39"/>
      <c r="T22" s="39">
        <f>T20*Uganda_herd2020!R53</f>
        <v>851.74272525508843</v>
      </c>
      <c r="U22" s="39">
        <f>U20*Uganda_herd2020!R62</f>
        <v>16076.056332777069</v>
      </c>
      <c r="V22" s="39">
        <f t="shared" si="11"/>
        <v>34911.577929119594</v>
      </c>
    </row>
    <row r="23" spans="1:22">
      <c r="C23" s="90" t="s">
        <v>342</v>
      </c>
      <c r="D23" s="90"/>
      <c r="E23" s="91">
        <v>0</v>
      </c>
      <c r="F23" s="91">
        <v>0</v>
      </c>
      <c r="G23" s="91">
        <v>0</v>
      </c>
      <c r="H23" s="91">
        <v>4.0516453672533479E-3</v>
      </c>
      <c r="I23" s="91">
        <v>2.0498938667870906E-2</v>
      </c>
      <c r="J23" s="91">
        <v>0.85249915672266863</v>
      </c>
      <c r="K23" s="91">
        <v>0.12295014205445662</v>
      </c>
      <c r="L23" s="91">
        <f t="shared" si="12"/>
        <v>0.9999998828122495</v>
      </c>
    </row>
    <row r="24" spans="1:22">
      <c r="C24" s="90" t="s">
        <v>343</v>
      </c>
      <c r="D24" s="90"/>
      <c r="E24" s="91">
        <v>2.1138917364442898E-3</v>
      </c>
      <c r="F24" s="91">
        <v>3.4613724077618407E-3</v>
      </c>
      <c r="G24" s="91">
        <v>6.101232406156181E-4</v>
      </c>
      <c r="H24" s="91">
        <v>2.1217060738518163E-2</v>
      </c>
      <c r="I24" s="91">
        <v>9.2417140520638624E-2</v>
      </c>
      <c r="J24" s="91">
        <v>7.0765279311796714E-2</v>
      </c>
      <c r="K24" s="91">
        <v>0.80941513821736166</v>
      </c>
      <c r="L24" s="91">
        <f t="shared" si="12"/>
        <v>1.0000000061731369</v>
      </c>
    </row>
    <row r="25" spans="1:22" ht="45">
      <c r="C25" s="90" t="s">
        <v>344</v>
      </c>
      <c r="D25" s="90"/>
      <c r="E25" s="91">
        <v>5.8067510346736457E-3</v>
      </c>
      <c r="F25" s="91">
        <v>1.7878468841126226E-2</v>
      </c>
      <c r="G25" s="91">
        <v>1.7915730337612547E-3</v>
      </c>
      <c r="H25" s="91">
        <v>6.5984067872440225E-2</v>
      </c>
      <c r="I25" s="91">
        <v>0.25497941338842722</v>
      </c>
      <c r="J25" s="91">
        <v>0.17300714232093717</v>
      </c>
      <c r="K25" s="91">
        <v>0.48055245657683843</v>
      </c>
      <c r="L25" s="91">
        <f t="shared" si="12"/>
        <v>0.99999987306820415</v>
      </c>
      <c r="N25" s="36" t="s">
        <v>339</v>
      </c>
      <c r="O25" s="25">
        <f>O20*N2</f>
        <v>689.75764233737698</v>
      </c>
      <c r="P25" s="25">
        <f>P20*N3</f>
        <v>369.23807015838196</v>
      </c>
      <c r="R25" s="25">
        <f>R20*N5</f>
        <v>105615.60271643316</v>
      </c>
      <c r="T25" s="25">
        <f>T20*N7</f>
        <v>18950.542830926293</v>
      </c>
      <c r="U25" s="25">
        <f>U20*N8</f>
        <v>257175.68632563105</v>
      </c>
    </row>
    <row r="26" spans="1:22" ht="30">
      <c r="C26" s="90"/>
      <c r="D26" s="90"/>
      <c r="E26" s="91"/>
      <c r="F26" s="91"/>
      <c r="G26" s="91"/>
      <c r="H26" s="91"/>
      <c r="I26" s="91"/>
      <c r="J26" s="91"/>
      <c r="K26" s="91"/>
      <c r="L26" s="90"/>
      <c r="N26" s="36" t="s">
        <v>341</v>
      </c>
      <c r="O26" s="25">
        <f>O20*O2</f>
        <v>163.8462150982744</v>
      </c>
      <c r="P26" s="25">
        <f>P20*O3</f>
        <v>54.492744864948882</v>
      </c>
      <c r="R26" s="25">
        <f>R20*O5</f>
        <v>17765.439911124209</v>
      </c>
      <c r="T26" s="25">
        <f>T20*O7</f>
        <v>851.74272525508843</v>
      </c>
      <c r="U26" s="25">
        <f>U20*O8</f>
        <v>16076.056332777069</v>
      </c>
    </row>
    <row r="27" spans="1:22">
      <c r="C27" s="90"/>
      <c r="D27" s="90"/>
      <c r="E27" s="90"/>
      <c r="F27" s="90"/>
      <c r="G27" s="90"/>
      <c r="H27" s="90"/>
      <c r="I27" s="90"/>
      <c r="J27" s="90"/>
      <c r="K27" s="90"/>
      <c r="L27" s="90"/>
    </row>
    <row r="32" spans="1:22">
      <c r="G32" s="64"/>
    </row>
    <row r="33" spans="3:27" ht="75">
      <c r="C33" s="40" t="s">
        <v>345</v>
      </c>
      <c r="D33" s="40" t="s">
        <v>346</v>
      </c>
      <c r="F33" s="40" t="s">
        <v>6</v>
      </c>
      <c r="G33" s="20" t="s">
        <v>385</v>
      </c>
      <c r="H33">
        <v>2008</v>
      </c>
      <c r="I33">
        <v>2009</v>
      </c>
      <c r="J33">
        <v>2010</v>
      </c>
      <c r="K33">
        <v>2011</v>
      </c>
      <c r="L33">
        <v>2012</v>
      </c>
      <c r="M33">
        <v>2013</v>
      </c>
      <c r="N33">
        <v>2014</v>
      </c>
      <c r="O33">
        <v>2015</v>
      </c>
      <c r="P33">
        <v>2016</v>
      </c>
      <c r="Q33">
        <v>2017</v>
      </c>
      <c r="R33">
        <v>2018</v>
      </c>
      <c r="S33">
        <v>2019</v>
      </c>
      <c r="T33">
        <v>2020</v>
      </c>
      <c r="U33">
        <v>2021</v>
      </c>
      <c r="V33">
        <v>2022</v>
      </c>
      <c r="W33">
        <v>2023</v>
      </c>
      <c r="X33">
        <v>2024</v>
      </c>
    </row>
    <row r="34" spans="3:27">
      <c r="C34" t="s">
        <v>326</v>
      </c>
      <c r="D34" t="s">
        <v>347</v>
      </c>
      <c r="E34" t="s">
        <v>307</v>
      </c>
      <c r="F34" t="s">
        <v>308</v>
      </c>
      <c r="G34" s="50">
        <v>1.77E-2</v>
      </c>
      <c r="H34" s="39">
        <f>'Animal &amp; HH Numbers 2008'!F2</f>
        <v>29245.42413489916</v>
      </c>
      <c r="I34" s="25">
        <f>H34+(H34*$G$34)</f>
        <v>29763.068142086875</v>
      </c>
      <c r="J34" s="25">
        <f>I34+(I34*$G$34)</f>
        <v>30289.874448201812</v>
      </c>
      <c r="K34" s="25">
        <f>J34+(J34*$G$34)</f>
        <v>30826.005225934983</v>
      </c>
      <c r="L34" s="25">
        <f t="shared" ref="L34:X34" si="13">K34+(K34*$G$34)</f>
        <v>31371.625518434033</v>
      </c>
      <c r="M34" s="25">
        <f t="shared" si="13"/>
        <v>31926.903290110316</v>
      </c>
      <c r="N34" s="25">
        <f t="shared" si="13"/>
        <v>32492.00947834527</v>
      </c>
      <c r="O34" s="25">
        <f t="shared" si="13"/>
        <v>33067.11804611198</v>
      </c>
      <c r="P34" s="25">
        <f t="shared" si="13"/>
        <v>33652.406035528162</v>
      </c>
      <c r="Q34" s="25">
        <f t="shared" si="13"/>
        <v>34248.053622357009</v>
      </c>
      <c r="R34" s="25">
        <f t="shared" si="13"/>
        <v>34854.244171472725</v>
      </c>
      <c r="S34" s="25">
        <f t="shared" si="13"/>
        <v>35471.164293307789</v>
      </c>
      <c r="T34" s="25">
        <f t="shared" si="13"/>
        <v>36099.003901299337</v>
      </c>
      <c r="U34" s="25">
        <f t="shared" si="13"/>
        <v>36737.956270352333</v>
      </c>
      <c r="V34" s="25">
        <f t="shared" si="13"/>
        <v>37388.218096337572</v>
      </c>
      <c r="W34" s="25">
        <f t="shared" si="13"/>
        <v>38049.989556642744</v>
      </c>
      <c r="X34" s="106">
        <f t="shared" si="13"/>
        <v>38723.474371795324</v>
      </c>
    </row>
    <row r="35" spans="3:27">
      <c r="C35" t="s">
        <v>326</v>
      </c>
      <c r="D35" t="s">
        <v>348</v>
      </c>
      <c r="E35" t="s">
        <v>309</v>
      </c>
      <c r="F35" t="s">
        <v>310</v>
      </c>
      <c r="G35" s="50">
        <v>1.6799999999999999E-2</v>
      </c>
      <c r="H35" s="39">
        <f>'Animal &amp; HH Numbers 2008'!F3</f>
        <v>60007.969691052553</v>
      </c>
      <c r="I35" s="25">
        <f>H35+(H35*$G$35)</f>
        <v>61016.103581862233</v>
      </c>
      <c r="J35" s="25">
        <f>I35+(I35*$G$35)</f>
        <v>62041.174122037519</v>
      </c>
      <c r="K35" s="25">
        <f>J35+(J35*$G$35)</f>
        <v>63083.465847287749</v>
      </c>
      <c r="L35" s="25">
        <f t="shared" ref="L35:X35" si="14">K35+(K35*$G$35)</f>
        <v>64143.26807352218</v>
      </c>
      <c r="M35" s="25">
        <f t="shared" si="14"/>
        <v>65220.874977157349</v>
      </c>
      <c r="N35" s="25">
        <f t="shared" si="14"/>
        <v>66316.585676773597</v>
      </c>
      <c r="O35" s="25">
        <f t="shared" si="14"/>
        <v>67430.704316143398</v>
      </c>
      <c r="P35" s="25">
        <f t="shared" si="14"/>
        <v>68563.540148654603</v>
      </c>
      <c r="Q35" s="25">
        <f t="shared" si="14"/>
        <v>69715.407623152001</v>
      </c>
      <c r="R35" s="25">
        <f t="shared" si="14"/>
        <v>70886.626471220952</v>
      </c>
      <c r="S35" s="25">
        <f t="shared" si="14"/>
        <v>72077.521795937471</v>
      </c>
      <c r="T35" s="25">
        <f t="shared" si="14"/>
        <v>73288.424162109222</v>
      </c>
      <c r="U35" s="25">
        <f t="shared" si="14"/>
        <v>74519.669688032664</v>
      </c>
      <c r="V35" s="25">
        <f t="shared" si="14"/>
        <v>75771.600138791619</v>
      </c>
      <c r="W35" s="25">
        <f t="shared" si="14"/>
        <v>77044.563021123322</v>
      </c>
      <c r="X35" s="106">
        <f t="shared" si="14"/>
        <v>78338.911679878191</v>
      </c>
    </row>
    <row r="36" spans="3:27">
      <c r="C36" t="s">
        <v>327</v>
      </c>
      <c r="D36" t="s">
        <v>349</v>
      </c>
      <c r="E36" t="s">
        <v>311</v>
      </c>
      <c r="F36" t="s">
        <v>312</v>
      </c>
      <c r="G36" s="60">
        <v>1.89E-2</v>
      </c>
      <c r="H36" s="39">
        <f>'Animal &amp; HH Numbers 2008'!F5</f>
        <v>1145340.7078935737</v>
      </c>
      <c r="I36" s="25">
        <f>H36+(H36*$G$36)</f>
        <v>1166987.6472727621</v>
      </c>
      <c r="J36" s="25">
        <f>I36+(I36*$G$36)</f>
        <v>1189043.7138062173</v>
      </c>
      <c r="K36" s="25">
        <f>J36+(J36*$G$36)</f>
        <v>1211516.6399971547</v>
      </c>
      <c r="L36" s="25">
        <f t="shared" ref="L36:X36" si="15">K36+(K36*$G$36)</f>
        <v>1234414.3044931008</v>
      </c>
      <c r="M36" s="25">
        <f t="shared" si="15"/>
        <v>1257744.7348480204</v>
      </c>
      <c r="N36" s="25">
        <f t="shared" si="15"/>
        <v>1281516.1103366478</v>
      </c>
      <c r="O36" s="25">
        <f t="shared" si="15"/>
        <v>1305736.7648220104</v>
      </c>
      <c r="P36" s="25">
        <f t="shared" si="15"/>
        <v>1330415.1896771465</v>
      </c>
      <c r="Q36" s="25">
        <f t="shared" si="15"/>
        <v>1355560.0367620445</v>
      </c>
      <c r="R36" s="25">
        <f t="shared" si="15"/>
        <v>1381180.1214568471</v>
      </c>
      <c r="S36" s="25">
        <f t="shared" si="15"/>
        <v>1407284.4257523816</v>
      </c>
      <c r="T36" s="25">
        <f t="shared" si="15"/>
        <v>1433882.1013991015</v>
      </c>
      <c r="U36" s="25">
        <f t="shared" si="15"/>
        <v>1460982.4731155445</v>
      </c>
      <c r="V36" s="25">
        <f t="shared" si="15"/>
        <v>1488595.0418574284</v>
      </c>
      <c r="W36" s="25">
        <f t="shared" si="15"/>
        <v>1516729.4881485337</v>
      </c>
      <c r="X36" s="106">
        <f t="shared" si="15"/>
        <v>1545395.675474541</v>
      </c>
    </row>
    <row r="37" spans="3:27">
      <c r="C37" t="s">
        <v>327</v>
      </c>
      <c r="D37" t="s">
        <v>350</v>
      </c>
      <c r="E37" t="s">
        <v>313</v>
      </c>
      <c r="F37" t="s">
        <v>314</v>
      </c>
      <c r="G37" s="50">
        <v>1.2800000000000001E-2</v>
      </c>
      <c r="H37" s="39">
        <f>'Animal &amp; HH Numbers 2008'!F7</f>
        <v>718805.25328041683</v>
      </c>
      <c r="I37" s="25">
        <f>H37+(H37*$G$37)</f>
        <v>728005.96052240615</v>
      </c>
      <c r="J37" s="25">
        <f>I37+(I37*$G$37)</f>
        <v>737324.43681709294</v>
      </c>
      <c r="K37" s="25">
        <f>J37+(J37*$G$37)</f>
        <v>746762.18960835168</v>
      </c>
      <c r="L37" s="25">
        <f t="shared" ref="L37:X37" si="16">K37+(K37*$G$37)</f>
        <v>756320.74563533859</v>
      </c>
      <c r="M37" s="25">
        <f t="shared" si="16"/>
        <v>766001.65117947094</v>
      </c>
      <c r="N37" s="25">
        <f t="shared" si="16"/>
        <v>775806.47231456812</v>
      </c>
      <c r="O37" s="25">
        <f t="shared" si="16"/>
        <v>785736.79516019463</v>
      </c>
      <c r="P37" s="25">
        <f t="shared" si="16"/>
        <v>795794.22613824508</v>
      </c>
      <c r="Q37" s="25">
        <f t="shared" si="16"/>
        <v>805980.39223281457</v>
      </c>
      <c r="R37" s="25">
        <f t="shared" si="16"/>
        <v>816296.94125339459</v>
      </c>
      <c r="S37" s="25">
        <f t="shared" si="16"/>
        <v>826745.54210143804</v>
      </c>
      <c r="T37" s="25">
        <f t="shared" si="16"/>
        <v>837327.8850403364</v>
      </c>
      <c r="U37" s="25">
        <f t="shared" si="16"/>
        <v>848045.68196885276</v>
      </c>
      <c r="V37" s="25">
        <f t="shared" si="16"/>
        <v>858900.66669805406</v>
      </c>
      <c r="W37" s="25">
        <f t="shared" si="16"/>
        <v>869894.59523178916</v>
      </c>
      <c r="X37" s="106">
        <f t="shared" si="16"/>
        <v>881029.24605075608</v>
      </c>
    </row>
    <row r="38" spans="3:27">
      <c r="C38" t="s">
        <v>326</v>
      </c>
      <c r="D38" t="s">
        <v>351</v>
      </c>
      <c r="E38" t="s">
        <v>315</v>
      </c>
      <c r="F38" t="s">
        <v>316</v>
      </c>
      <c r="G38" s="50">
        <v>1.35E-2</v>
      </c>
      <c r="H38" s="39">
        <f>'Animal &amp; HH Numbers 2008'!F8</f>
        <v>3996671.7889031321</v>
      </c>
      <c r="I38" s="25">
        <f>H38+(H38*$G$38)</f>
        <v>4050626.8580533243</v>
      </c>
      <c r="J38" s="25">
        <f>I38+(I38*$G$38)</f>
        <v>4105310.320637044</v>
      </c>
      <c r="K38" s="25">
        <f>J38+(J38*$G$38)</f>
        <v>4160732.0099656442</v>
      </c>
      <c r="L38" s="25">
        <f t="shared" ref="L38:X38" si="17">K38+(K38*$G$38)</f>
        <v>4216901.8921001805</v>
      </c>
      <c r="M38" s="25">
        <f t="shared" si="17"/>
        <v>4273830.0676435325</v>
      </c>
      <c r="N38" s="25">
        <f t="shared" si="17"/>
        <v>4331526.7735567205</v>
      </c>
      <c r="O38" s="25">
        <f t="shared" si="17"/>
        <v>4390002.3849997362</v>
      </c>
      <c r="P38" s="25">
        <f t="shared" si="17"/>
        <v>4449267.4171972331</v>
      </c>
      <c r="Q38" s="25">
        <f t="shared" si="17"/>
        <v>4509332.5273293955</v>
      </c>
      <c r="R38" s="25">
        <f t="shared" si="17"/>
        <v>4570208.5164483422</v>
      </c>
      <c r="S38" s="25">
        <f t="shared" si="17"/>
        <v>4631906.3314203946</v>
      </c>
      <c r="T38" s="25">
        <f t="shared" si="17"/>
        <v>4694437.0668945704</v>
      </c>
      <c r="U38" s="25">
        <f t="shared" si="17"/>
        <v>4757811.9672976471</v>
      </c>
      <c r="V38" s="25">
        <f t="shared" si="17"/>
        <v>4822042.4288561651</v>
      </c>
      <c r="W38" s="25">
        <f t="shared" si="17"/>
        <v>4887140.0016457234</v>
      </c>
      <c r="X38" s="106">
        <f t="shared" si="17"/>
        <v>4953116.3916679407</v>
      </c>
    </row>
    <row r="39" spans="3:27">
      <c r="C39" t="s">
        <v>325</v>
      </c>
      <c r="D39" t="s">
        <v>352</v>
      </c>
    </row>
    <row r="40" spans="3:27">
      <c r="C40" t="s">
        <v>326</v>
      </c>
      <c r="D40" t="s">
        <v>353</v>
      </c>
    </row>
    <row r="41" spans="3:27" ht="75">
      <c r="C41" t="s">
        <v>324</v>
      </c>
      <c r="D41" t="s">
        <v>354</v>
      </c>
      <c r="F41" s="40" t="s">
        <v>18</v>
      </c>
      <c r="G41" s="20" t="s">
        <v>385</v>
      </c>
      <c r="H41">
        <v>1</v>
      </c>
      <c r="I41">
        <v>2</v>
      </c>
      <c r="J41">
        <v>3</v>
      </c>
      <c r="K41">
        <v>4</v>
      </c>
      <c r="L41">
        <v>5</v>
      </c>
      <c r="M41">
        <v>6</v>
      </c>
      <c r="N41">
        <v>7</v>
      </c>
      <c r="O41">
        <v>8</v>
      </c>
      <c r="P41">
        <v>9</v>
      </c>
      <c r="Q41">
        <v>10</v>
      </c>
      <c r="R41">
        <v>11</v>
      </c>
      <c r="S41">
        <v>12</v>
      </c>
      <c r="T41">
        <v>13</v>
      </c>
      <c r="U41">
        <v>14</v>
      </c>
      <c r="V41">
        <v>15</v>
      </c>
      <c r="W41">
        <v>16</v>
      </c>
      <c r="X41">
        <v>17</v>
      </c>
      <c r="Y41">
        <v>18</v>
      </c>
      <c r="Z41">
        <v>19</v>
      </c>
      <c r="AA41">
        <v>20</v>
      </c>
    </row>
    <row r="42" spans="3:27">
      <c r="C42" t="s">
        <v>327</v>
      </c>
      <c r="D42" t="s">
        <v>355</v>
      </c>
      <c r="E42" t="s">
        <v>307</v>
      </c>
      <c r="F42" t="s">
        <v>308</v>
      </c>
      <c r="G42" s="50">
        <v>1.77E-2</v>
      </c>
      <c r="H42" s="39">
        <f>X34</f>
        <v>38723.474371795324</v>
      </c>
      <c r="I42" s="25">
        <f>H42+(H42*$G$42)</f>
        <v>39408.879868176104</v>
      </c>
      <c r="J42" s="25">
        <f t="shared" ref="J42:AA42" si="18">I42+(I42*$G$42)</f>
        <v>40106.417041842818</v>
      </c>
      <c r="K42" s="25">
        <f t="shared" si="18"/>
        <v>40816.300623483439</v>
      </c>
      <c r="L42" s="25">
        <f t="shared" si="18"/>
        <v>41538.749144519097</v>
      </c>
      <c r="M42" s="25">
        <f t="shared" si="18"/>
        <v>42273.985004377086</v>
      </c>
      <c r="N42" s="25">
        <f t="shared" si="18"/>
        <v>43022.234538954559</v>
      </c>
      <c r="O42" s="25">
        <f t="shared" si="18"/>
        <v>43783.728090294055</v>
      </c>
      <c r="P42" s="25">
        <f t="shared" si="18"/>
        <v>44558.700077492256</v>
      </c>
      <c r="Q42" s="25">
        <f t="shared" si="18"/>
        <v>45347.389068863871</v>
      </c>
      <c r="R42" s="25">
        <f t="shared" si="18"/>
        <v>46150.037855382761</v>
      </c>
      <c r="S42" s="25">
        <f t="shared" si="18"/>
        <v>46966.893525423038</v>
      </c>
      <c r="T42" s="25">
        <f t="shared" si="18"/>
        <v>47798.207540823023</v>
      </c>
      <c r="U42" s="25">
        <f t="shared" si="18"/>
        <v>48644.235814295593</v>
      </c>
      <c r="V42" s="25">
        <f t="shared" si="18"/>
        <v>49505.238788208626</v>
      </c>
      <c r="W42" s="25">
        <f t="shared" si="18"/>
        <v>50381.481514759922</v>
      </c>
      <c r="X42" s="25">
        <f t="shared" si="18"/>
        <v>51273.233737571172</v>
      </c>
      <c r="Y42" s="25">
        <f t="shared" si="18"/>
        <v>52180.769974726179</v>
      </c>
      <c r="Z42" s="25">
        <f t="shared" si="18"/>
        <v>53104.369603278836</v>
      </c>
      <c r="AA42" s="106">
        <f t="shared" si="18"/>
        <v>54044.316945256869</v>
      </c>
    </row>
    <row r="43" spans="3:27">
      <c r="C43" t="s">
        <v>325</v>
      </c>
      <c r="D43" t="s">
        <v>356</v>
      </c>
      <c r="E43" t="s">
        <v>309</v>
      </c>
      <c r="F43" t="s">
        <v>310</v>
      </c>
      <c r="G43" s="50">
        <v>1.6799999999999999E-2</v>
      </c>
      <c r="H43" s="39">
        <f>X35</f>
        <v>78338.911679878191</v>
      </c>
      <c r="I43" s="25">
        <f>H43+(H43*$G$43)</f>
        <v>79655.005396100139</v>
      </c>
      <c r="J43" s="25">
        <f t="shared" ref="J43:AA43" si="19">I43+(I43*$G$43)</f>
        <v>80993.209486754626</v>
      </c>
      <c r="K43" s="25">
        <f t="shared" si="19"/>
        <v>82353.895406132098</v>
      </c>
      <c r="L43" s="25">
        <f t="shared" si="19"/>
        <v>83737.440848955113</v>
      </c>
      <c r="M43" s="25">
        <f t="shared" si="19"/>
        <v>85144.229855217563</v>
      </c>
      <c r="N43" s="25">
        <f t="shared" si="19"/>
        <v>86574.652916785213</v>
      </c>
      <c r="O43" s="25">
        <f t="shared" si="19"/>
        <v>88029.107085787211</v>
      </c>
      <c r="P43" s="25">
        <f t="shared" si="19"/>
        <v>89507.996084828439</v>
      </c>
      <c r="Q43" s="25">
        <f t="shared" si="19"/>
        <v>91011.730419053551</v>
      </c>
      <c r="R43" s="25">
        <f t="shared" si="19"/>
        <v>92540.727490093646</v>
      </c>
      <c r="S43" s="25">
        <f t="shared" si="19"/>
        <v>94095.411711927212</v>
      </c>
      <c r="T43" s="25">
        <f t="shared" si="19"/>
        <v>95676.214628687594</v>
      </c>
      <c r="U43" s="25">
        <f t="shared" si="19"/>
        <v>97283.575034449546</v>
      </c>
      <c r="V43" s="25">
        <f t="shared" si="19"/>
        <v>98917.939095028298</v>
      </c>
      <c r="W43" s="25">
        <f t="shared" si="19"/>
        <v>100579.76047182477</v>
      </c>
      <c r="X43" s="25">
        <f t="shared" si="19"/>
        <v>102269.50044775143</v>
      </c>
      <c r="Y43" s="25">
        <f t="shared" si="19"/>
        <v>103987.62805527366</v>
      </c>
      <c r="Z43" s="25">
        <f t="shared" si="19"/>
        <v>105734.62020660225</v>
      </c>
      <c r="AA43" s="106">
        <f t="shared" si="19"/>
        <v>107510.96182607317</v>
      </c>
    </row>
    <row r="44" spans="3:27">
      <c r="C44" t="s">
        <v>327</v>
      </c>
      <c r="D44" t="s">
        <v>357</v>
      </c>
      <c r="E44" t="s">
        <v>311</v>
      </c>
      <c r="F44" t="s">
        <v>312</v>
      </c>
      <c r="G44" s="60">
        <v>1.89E-2</v>
      </c>
      <c r="H44" s="39">
        <f>X36</f>
        <v>1545395.675474541</v>
      </c>
      <c r="I44" s="25">
        <f>H44+(H44*$G$44)</f>
        <v>1574603.6537410098</v>
      </c>
      <c r="J44" s="25">
        <f t="shared" ref="J44:AA44" si="20">I44+(I44*$G$44)</f>
        <v>1604363.6627967148</v>
      </c>
      <c r="K44" s="25">
        <f t="shared" si="20"/>
        <v>1634686.1360235726</v>
      </c>
      <c r="L44" s="25">
        <f t="shared" si="20"/>
        <v>1665581.7039944183</v>
      </c>
      <c r="M44" s="25">
        <f t="shared" si="20"/>
        <v>1697061.1981999127</v>
      </c>
      <c r="N44" s="25">
        <f t="shared" si="20"/>
        <v>1729135.6548458911</v>
      </c>
      <c r="O44" s="25">
        <f t="shared" si="20"/>
        <v>1761816.3187224783</v>
      </c>
      <c r="P44" s="25">
        <f t="shared" si="20"/>
        <v>1795114.6471463332</v>
      </c>
      <c r="Q44" s="25">
        <f t="shared" si="20"/>
        <v>1829042.3139773989</v>
      </c>
      <c r="R44" s="25">
        <f t="shared" si="20"/>
        <v>1863611.2137115716</v>
      </c>
      <c r="S44" s="25">
        <f t="shared" si="20"/>
        <v>1898833.4656507203</v>
      </c>
      <c r="T44" s="25">
        <f t="shared" si="20"/>
        <v>1934721.4181515188</v>
      </c>
      <c r="U44" s="25">
        <f t="shared" si="20"/>
        <v>1971287.6529545826</v>
      </c>
      <c r="V44" s="25">
        <f t="shared" si="20"/>
        <v>2008544.9895954242</v>
      </c>
      <c r="W44" s="25">
        <f t="shared" si="20"/>
        <v>2046506.4898987776</v>
      </c>
      <c r="X44" s="25">
        <f t="shared" si="20"/>
        <v>2085185.4625578644</v>
      </c>
      <c r="Y44" s="25">
        <f t="shared" si="20"/>
        <v>2124595.4678002079</v>
      </c>
      <c r="Z44" s="25">
        <f t="shared" si="20"/>
        <v>2164750.322141632</v>
      </c>
      <c r="AA44" s="106">
        <f t="shared" si="20"/>
        <v>2205664.103230109</v>
      </c>
    </row>
    <row r="45" spans="3:27">
      <c r="C45" t="s">
        <v>324</v>
      </c>
      <c r="D45" t="s">
        <v>358</v>
      </c>
      <c r="E45" t="s">
        <v>313</v>
      </c>
      <c r="F45" t="s">
        <v>314</v>
      </c>
      <c r="G45" s="50">
        <v>1.2800000000000001E-2</v>
      </c>
      <c r="H45" s="39">
        <f>X37</f>
        <v>881029.24605075608</v>
      </c>
      <c r="I45" s="25">
        <f>H45+(H45*$G$45)</f>
        <v>892306.42040020577</v>
      </c>
      <c r="J45" s="25">
        <f t="shared" ref="J45:AA45" si="21">I45+(I45*$G$45)</f>
        <v>903727.94258132845</v>
      </c>
      <c r="K45" s="25">
        <f t="shared" si="21"/>
        <v>915295.66024636943</v>
      </c>
      <c r="L45" s="25">
        <f t="shared" si="21"/>
        <v>927011.44469752291</v>
      </c>
      <c r="M45" s="25">
        <f t="shared" si="21"/>
        <v>938877.19118965114</v>
      </c>
      <c r="N45" s="25">
        <f t="shared" si="21"/>
        <v>950894.81923687865</v>
      </c>
      <c r="O45" s="25">
        <f t="shared" si="21"/>
        <v>963066.27292311075</v>
      </c>
      <c r="P45" s="25">
        <f t="shared" si="21"/>
        <v>975393.52121652663</v>
      </c>
      <c r="Q45" s="25">
        <f t="shared" si="21"/>
        <v>987878.5582880982</v>
      </c>
      <c r="R45" s="25">
        <f t="shared" si="21"/>
        <v>1000523.4038341858</v>
      </c>
      <c r="S45" s="25">
        <f t="shared" si="21"/>
        <v>1013330.1034032634</v>
      </c>
      <c r="T45" s="25">
        <f t="shared" si="21"/>
        <v>1026300.7287268251</v>
      </c>
      <c r="U45" s="25">
        <f t="shared" si="21"/>
        <v>1039437.3780545285</v>
      </c>
      <c r="V45" s="25">
        <f t="shared" si="21"/>
        <v>1052742.1764936266</v>
      </c>
      <c r="W45" s="25">
        <f t="shared" si="21"/>
        <v>1066217.276352745</v>
      </c>
      <c r="X45" s="25">
        <f t="shared" si="21"/>
        <v>1079864.8574900602</v>
      </c>
      <c r="Y45" s="25">
        <f t="shared" si="21"/>
        <v>1093687.127665933</v>
      </c>
      <c r="Z45" s="25">
        <f t="shared" si="21"/>
        <v>1107686.3229000568</v>
      </c>
      <c r="AA45" s="106">
        <f t="shared" si="21"/>
        <v>1121864.7078331776</v>
      </c>
    </row>
    <row r="46" spans="3:27">
      <c r="C46" t="s">
        <v>325</v>
      </c>
      <c r="D46" t="s">
        <v>359</v>
      </c>
      <c r="E46" t="s">
        <v>315</v>
      </c>
      <c r="F46" t="s">
        <v>316</v>
      </c>
      <c r="G46" s="50">
        <v>1.35E-2</v>
      </c>
      <c r="H46" s="39">
        <f>X38</f>
        <v>4953116.3916679407</v>
      </c>
      <c r="I46" s="25">
        <f>H46+(H46*$G$46)</f>
        <v>5019983.4629554581</v>
      </c>
      <c r="J46" s="25">
        <f t="shared" ref="J46:AA46" si="22">I46+(I46*$G$46)</f>
        <v>5087753.2397053568</v>
      </c>
      <c r="K46" s="25">
        <f t="shared" si="22"/>
        <v>5156437.9084413787</v>
      </c>
      <c r="L46" s="25">
        <f t="shared" si="22"/>
        <v>5226049.8202053374</v>
      </c>
      <c r="M46" s="25">
        <f t="shared" si="22"/>
        <v>5296601.4927781094</v>
      </c>
      <c r="N46" s="25">
        <f t="shared" si="22"/>
        <v>5368105.6129306136</v>
      </c>
      <c r="O46" s="25">
        <f t="shared" si="22"/>
        <v>5440575.0387051767</v>
      </c>
      <c r="P46" s="25">
        <f t="shared" si="22"/>
        <v>5514022.8017276963</v>
      </c>
      <c r="Q46" s="25">
        <f t="shared" si="22"/>
        <v>5588462.10955102</v>
      </c>
      <c r="R46" s="25">
        <f t="shared" si="22"/>
        <v>5663906.348029959</v>
      </c>
      <c r="S46" s="25">
        <f t="shared" si="22"/>
        <v>5740369.0837283637</v>
      </c>
      <c r="T46" s="25">
        <f t="shared" si="22"/>
        <v>5817864.0663586967</v>
      </c>
      <c r="U46" s="25">
        <f t="shared" si="22"/>
        <v>5896405.2312545395</v>
      </c>
      <c r="V46" s="25">
        <f t="shared" si="22"/>
        <v>5976006.7018764755</v>
      </c>
      <c r="W46" s="25">
        <f t="shared" si="22"/>
        <v>6056682.7923518075</v>
      </c>
      <c r="X46" s="25">
        <f t="shared" si="22"/>
        <v>6138448.0100485571</v>
      </c>
      <c r="Y46" s="25">
        <f t="shared" si="22"/>
        <v>6221317.058184213</v>
      </c>
      <c r="Z46" s="25">
        <f t="shared" si="22"/>
        <v>6305304.8384697</v>
      </c>
      <c r="AA46" s="106">
        <f t="shared" si="22"/>
        <v>6390426.4537890404</v>
      </c>
    </row>
    <row r="47" spans="3:27">
      <c r="C47" t="s">
        <v>327</v>
      </c>
      <c r="D47" t="s">
        <v>360</v>
      </c>
    </row>
    <row r="48" spans="3:27">
      <c r="C48" t="s">
        <v>326</v>
      </c>
      <c r="D48" t="s">
        <v>361</v>
      </c>
    </row>
    <row r="49" spans="3:27" ht="75">
      <c r="C49" t="s">
        <v>326</v>
      </c>
      <c r="D49" t="s">
        <v>362</v>
      </c>
      <c r="F49" s="40" t="s">
        <v>160</v>
      </c>
      <c r="G49" s="20" t="s">
        <v>385</v>
      </c>
      <c r="H49">
        <v>1</v>
      </c>
      <c r="I49">
        <v>2</v>
      </c>
      <c r="J49">
        <v>3</v>
      </c>
      <c r="K49">
        <v>4</v>
      </c>
      <c r="L49">
        <v>5</v>
      </c>
      <c r="M49">
        <v>6</v>
      </c>
      <c r="N49">
        <v>7</v>
      </c>
      <c r="O49">
        <v>8</v>
      </c>
      <c r="P49">
        <v>9</v>
      </c>
      <c r="Q49">
        <v>10</v>
      </c>
      <c r="R49">
        <v>11</v>
      </c>
      <c r="S49">
        <v>12</v>
      </c>
      <c r="T49">
        <v>13</v>
      </c>
      <c r="U49">
        <v>14</v>
      </c>
      <c r="V49">
        <v>15</v>
      </c>
      <c r="W49">
        <v>16</v>
      </c>
      <c r="X49">
        <v>17</v>
      </c>
      <c r="Y49">
        <v>18</v>
      </c>
      <c r="Z49">
        <v>19</v>
      </c>
      <c r="AA49">
        <v>20</v>
      </c>
    </row>
    <row r="50" spans="3:27">
      <c r="C50" t="s">
        <v>325</v>
      </c>
      <c r="D50" t="s">
        <v>363</v>
      </c>
      <c r="E50" t="s">
        <v>307</v>
      </c>
      <c r="F50" t="s">
        <v>308</v>
      </c>
      <c r="G50" s="50">
        <v>1.04E-2</v>
      </c>
      <c r="H50" s="39">
        <f>X34</f>
        <v>38723.474371795324</v>
      </c>
      <c r="I50" s="25">
        <f>H50+(H50*$G$50)</f>
        <v>39126.198505261993</v>
      </c>
      <c r="J50" s="25">
        <f t="shared" ref="J50:AA50" si="23">I50+(I50*$G$50)</f>
        <v>39533.110969716719</v>
      </c>
      <c r="K50" s="25">
        <f t="shared" si="23"/>
        <v>39944.255323801772</v>
      </c>
      <c r="L50" s="25">
        <f t="shared" si="23"/>
        <v>40359.675579169307</v>
      </c>
      <c r="M50" s="25">
        <f t="shared" si="23"/>
        <v>40779.416205192669</v>
      </c>
      <c r="N50" s="25">
        <f t="shared" si="23"/>
        <v>41203.52213372667</v>
      </c>
      <c r="O50" s="25">
        <f t="shared" si="23"/>
        <v>41632.03876391743</v>
      </c>
      <c r="P50" s="25">
        <f t="shared" si="23"/>
        <v>42065.011967062172</v>
      </c>
      <c r="Q50" s="25">
        <f t="shared" si="23"/>
        <v>42502.488091519619</v>
      </c>
      <c r="R50" s="25">
        <f t="shared" si="23"/>
        <v>42944.513967671424</v>
      </c>
      <c r="S50" s="25">
        <f t="shared" si="23"/>
        <v>43391.13691293521</v>
      </c>
      <c r="T50" s="25">
        <f t="shared" si="23"/>
        <v>43842.404736829732</v>
      </c>
      <c r="U50" s="25">
        <f t="shared" si="23"/>
        <v>44298.365746092764</v>
      </c>
      <c r="V50" s="25">
        <f t="shared" si="23"/>
        <v>44759.068749852129</v>
      </c>
      <c r="W50" s="25">
        <f t="shared" si="23"/>
        <v>45224.56306485059</v>
      </c>
      <c r="X50" s="25">
        <f t="shared" si="23"/>
        <v>45694.898520725037</v>
      </c>
      <c r="Y50" s="25">
        <f t="shared" si="23"/>
        <v>46170.125465340578</v>
      </c>
      <c r="Z50" s="25">
        <f t="shared" si="23"/>
        <v>46650.294770180117</v>
      </c>
      <c r="AA50" s="106">
        <f t="shared" si="23"/>
        <v>47135.457835789988</v>
      </c>
    </row>
    <row r="51" spans="3:27">
      <c r="C51" t="s">
        <v>324</v>
      </c>
      <c r="D51" t="s">
        <v>364</v>
      </c>
      <c r="E51" t="s">
        <v>309</v>
      </c>
      <c r="F51" t="s">
        <v>310</v>
      </c>
      <c r="G51" s="50">
        <v>1.0699999999999999E-2</v>
      </c>
      <c r="H51" s="39">
        <f t="shared" ref="H51:H54" si="24">X35</f>
        <v>78338.911679878191</v>
      </c>
      <c r="I51" s="25">
        <f>H51+(H51*$G$51)</f>
        <v>79177.138034852891</v>
      </c>
      <c r="J51" s="25">
        <f t="shared" ref="J51:AA51" si="25">I51+(I51*$G$51)</f>
        <v>80024.333411825821</v>
      </c>
      <c r="K51" s="25">
        <f t="shared" si="25"/>
        <v>80880.593779332354</v>
      </c>
      <c r="L51" s="25">
        <f t="shared" si="25"/>
        <v>81746.016132771212</v>
      </c>
      <c r="M51" s="25">
        <f t="shared" si="25"/>
        <v>82620.698505391862</v>
      </c>
      <c r="N51" s="25">
        <f t="shared" si="25"/>
        <v>83504.739979399557</v>
      </c>
      <c r="O51" s="25">
        <f t="shared" si="25"/>
        <v>84398.240697179135</v>
      </c>
      <c r="P51" s="25">
        <f t="shared" si="25"/>
        <v>85301.301872638956</v>
      </c>
      <c r="Q51" s="25">
        <f t="shared" si="25"/>
        <v>86214.025802676188</v>
      </c>
      <c r="R51" s="25">
        <f t="shared" si="25"/>
        <v>87136.515878764825</v>
      </c>
      <c r="S51" s="25">
        <f t="shared" si="25"/>
        <v>88068.876598667615</v>
      </c>
      <c r="T51" s="25">
        <f t="shared" si="25"/>
        <v>89011.213578273353</v>
      </c>
      <c r="U51" s="25">
        <f t="shared" si="25"/>
        <v>89963.633563560885</v>
      </c>
      <c r="V51" s="25">
        <f t="shared" si="25"/>
        <v>90926.244442690993</v>
      </c>
      <c r="W51" s="25">
        <f t="shared" si="25"/>
        <v>91899.15525822778</v>
      </c>
      <c r="X51" s="25">
        <f t="shared" si="25"/>
        <v>92882.476219490811</v>
      </c>
      <c r="Y51" s="25">
        <f t="shared" si="25"/>
        <v>93876.318715039364</v>
      </c>
      <c r="Z51" s="25">
        <f t="shared" si="25"/>
        <v>94880.795325290281</v>
      </c>
      <c r="AA51" s="106">
        <f t="shared" si="25"/>
        <v>95896.019835270883</v>
      </c>
    </row>
    <row r="52" spans="3:27">
      <c r="C52" t="s">
        <v>324</v>
      </c>
      <c r="D52" t="s">
        <v>365</v>
      </c>
      <c r="E52" t="s">
        <v>311</v>
      </c>
      <c r="F52" t="s">
        <v>312</v>
      </c>
      <c r="G52" s="60">
        <v>1.2E-2</v>
      </c>
      <c r="H52" s="39">
        <f t="shared" si="24"/>
        <v>1545395.675474541</v>
      </c>
      <c r="I52" s="25">
        <f>H52+(H52*$G$52)</f>
        <v>1563940.4235802356</v>
      </c>
      <c r="J52" s="25">
        <f t="shared" ref="J52:AA52" si="26">I52+(I52*$G$52)</f>
        <v>1582707.7086631984</v>
      </c>
      <c r="K52" s="25">
        <f t="shared" si="26"/>
        <v>1601700.2011671567</v>
      </c>
      <c r="L52" s="25">
        <f t="shared" si="26"/>
        <v>1620920.6035811626</v>
      </c>
      <c r="M52" s="25">
        <f t="shared" si="26"/>
        <v>1640371.6508241366</v>
      </c>
      <c r="N52" s="25">
        <f t="shared" si="26"/>
        <v>1660056.1106340261</v>
      </c>
      <c r="O52" s="25">
        <f t="shared" si="26"/>
        <v>1679976.7839616344</v>
      </c>
      <c r="P52" s="25">
        <f t="shared" si="26"/>
        <v>1700136.5053691741</v>
      </c>
      <c r="Q52" s="25">
        <f t="shared" si="26"/>
        <v>1720538.1434336042</v>
      </c>
      <c r="R52" s="25">
        <f t="shared" si="26"/>
        <v>1741184.6011548075</v>
      </c>
      <c r="S52" s="25">
        <f t="shared" si="26"/>
        <v>1762078.8163686651</v>
      </c>
      <c r="T52" s="25">
        <f t="shared" si="26"/>
        <v>1783223.7621650891</v>
      </c>
      <c r="U52" s="25">
        <f t="shared" si="26"/>
        <v>1804622.4473110703</v>
      </c>
      <c r="V52" s="25">
        <f t="shared" si="26"/>
        <v>1826277.916678803</v>
      </c>
      <c r="W52" s="25">
        <f t="shared" si="26"/>
        <v>1848193.2516789488</v>
      </c>
      <c r="X52" s="25">
        <f t="shared" si="26"/>
        <v>1870371.5706990962</v>
      </c>
      <c r="Y52" s="25">
        <f t="shared" si="26"/>
        <v>1892816.0295474853</v>
      </c>
      <c r="Z52" s="25">
        <f t="shared" si="26"/>
        <v>1915529.8219020551</v>
      </c>
      <c r="AA52" s="106">
        <f t="shared" si="26"/>
        <v>1938516.1797648796</v>
      </c>
    </row>
    <row r="53" spans="3:27">
      <c r="C53" t="s">
        <v>326</v>
      </c>
      <c r="D53" t="s">
        <v>366</v>
      </c>
      <c r="E53" t="s">
        <v>313</v>
      </c>
      <c r="F53" t="s">
        <v>314</v>
      </c>
      <c r="G53" s="50">
        <v>1.03E-2</v>
      </c>
      <c r="H53" s="39">
        <f t="shared" si="24"/>
        <v>881029.24605075608</v>
      </c>
      <c r="I53" s="25">
        <f>H53+(H53*$G$53)</f>
        <v>890103.84728507884</v>
      </c>
      <c r="J53" s="25">
        <f t="shared" ref="J53:AA53" si="27">I53+(I53*$G$53)</f>
        <v>899271.91691211518</v>
      </c>
      <c r="K53" s="25">
        <f t="shared" si="27"/>
        <v>908534.41765631002</v>
      </c>
      <c r="L53" s="25">
        <f t="shared" si="27"/>
        <v>917892.32215817005</v>
      </c>
      <c r="M53" s="25">
        <f t="shared" si="27"/>
        <v>927346.6130763992</v>
      </c>
      <c r="N53" s="25">
        <f t="shared" si="27"/>
        <v>936898.28319108614</v>
      </c>
      <c r="O53" s="25">
        <f t="shared" si="27"/>
        <v>946548.33550795435</v>
      </c>
      <c r="P53" s="25">
        <f t="shared" si="27"/>
        <v>956297.78336368629</v>
      </c>
      <c r="Q53" s="25">
        <f t="shared" si="27"/>
        <v>966147.65053233225</v>
      </c>
      <c r="R53" s="25">
        <f t="shared" si="27"/>
        <v>976098.97133281524</v>
      </c>
      <c r="S53" s="25">
        <f t="shared" si="27"/>
        <v>986152.79073754326</v>
      </c>
      <c r="T53" s="25">
        <f t="shared" si="27"/>
        <v>996310.16448213998</v>
      </c>
      <c r="U53" s="25">
        <f t="shared" si="27"/>
        <v>1006572.159176306</v>
      </c>
      <c r="V53" s="25">
        <f t="shared" si="27"/>
        <v>1016939.852415822</v>
      </c>
      <c r="W53" s="25">
        <f t="shared" si="27"/>
        <v>1027414.3328957049</v>
      </c>
      <c r="X53" s="25">
        <f t="shared" si="27"/>
        <v>1037996.7005245306</v>
      </c>
      <c r="Y53" s="25">
        <f t="shared" si="27"/>
        <v>1048688.0665399332</v>
      </c>
      <c r="Z53" s="25">
        <f t="shared" si="27"/>
        <v>1059489.5536252945</v>
      </c>
      <c r="AA53" s="106">
        <f t="shared" si="27"/>
        <v>1070402.296027635</v>
      </c>
    </row>
    <row r="54" spans="3:27">
      <c r="C54" t="s">
        <v>327</v>
      </c>
      <c r="D54" t="s">
        <v>367</v>
      </c>
      <c r="E54" t="s">
        <v>315</v>
      </c>
      <c r="F54" t="s">
        <v>316</v>
      </c>
      <c r="G54" s="50">
        <v>1.06E-2</v>
      </c>
      <c r="H54" s="39">
        <f t="shared" si="24"/>
        <v>4953116.3916679407</v>
      </c>
      <c r="I54" s="25">
        <f>H54+(H54*$G$54)</f>
        <v>5005619.4254196212</v>
      </c>
      <c r="J54" s="25">
        <f t="shared" ref="J54:AA54" si="28">I54+(I54*$G$54)</f>
        <v>5058678.9913290692</v>
      </c>
      <c r="K54" s="25">
        <f t="shared" si="28"/>
        <v>5112300.9886371577</v>
      </c>
      <c r="L54" s="25">
        <f t="shared" si="28"/>
        <v>5166491.3791167112</v>
      </c>
      <c r="M54" s="25">
        <f t="shared" si="28"/>
        <v>5221256.187735348</v>
      </c>
      <c r="N54" s="25">
        <f t="shared" si="28"/>
        <v>5276601.5033253431</v>
      </c>
      <c r="O54" s="25">
        <f t="shared" si="28"/>
        <v>5332533.4792605918</v>
      </c>
      <c r="P54" s="25">
        <f t="shared" si="28"/>
        <v>5389058.3341407543</v>
      </c>
      <c r="Q54" s="25">
        <f t="shared" si="28"/>
        <v>5446182.3524826467</v>
      </c>
      <c r="R54" s="25">
        <f t="shared" si="28"/>
        <v>5503911.8854189627</v>
      </c>
      <c r="S54" s="25">
        <f t="shared" si="28"/>
        <v>5562253.3514044033</v>
      </c>
      <c r="T54" s="25">
        <f t="shared" si="28"/>
        <v>5621213.23692929</v>
      </c>
      <c r="U54" s="25">
        <f t="shared" si="28"/>
        <v>5680798.0972407404</v>
      </c>
      <c r="V54" s="25">
        <f t="shared" si="28"/>
        <v>5741014.5570714921</v>
      </c>
      <c r="W54" s="25">
        <f t="shared" si="28"/>
        <v>5801869.3113764497</v>
      </c>
      <c r="X54" s="25">
        <f t="shared" si="28"/>
        <v>5863369.1260770401</v>
      </c>
      <c r="Y54" s="25">
        <f t="shared" si="28"/>
        <v>5925520.8388134567</v>
      </c>
      <c r="Z54" s="25">
        <f t="shared" si="28"/>
        <v>5988331.3597048791</v>
      </c>
      <c r="AA54" s="106">
        <f t="shared" si="28"/>
        <v>6051807.6721177511</v>
      </c>
    </row>
    <row r="55" spans="3:27">
      <c r="C55" t="s">
        <v>327</v>
      </c>
      <c r="D55" t="s">
        <v>368</v>
      </c>
    </row>
    <row r="56" spans="3:27">
      <c r="C56" t="s">
        <v>326</v>
      </c>
      <c r="D56" t="s">
        <v>369</v>
      </c>
    </row>
    <row r="57" spans="3:27">
      <c r="C57" t="s">
        <v>326</v>
      </c>
      <c r="D57" t="s">
        <v>370</v>
      </c>
    </row>
    <row r="58" spans="3:27">
      <c r="C58" t="s">
        <v>326</v>
      </c>
      <c r="D58" t="s">
        <v>371</v>
      </c>
    </row>
    <row r="59" spans="3:27">
      <c r="C59" t="s">
        <v>324</v>
      </c>
      <c r="D59" t="s">
        <v>372</v>
      </c>
    </row>
    <row r="60" spans="3:27">
      <c r="C60" t="s">
        <v>325</v>
      </c>
      <c r="D60" t="s">
        <v>373</v>
      </c>
    </row>
    <row r="61" spans="3:27">
      <c r="C61" t="s">
        <v>327</v>
      </c>
      <c r="D61" t="s">
        <v>374</v>
      </c>
    </row>
    <row r="62" spans="3:27">
      <c r="C62" t="s">
        <v>327</v>
      </c>
      <c r="D62" t="s">
        <v>375</v>
      </c>
    </row>
    <row r="63" spans="3:27">
      <c r="C63" t="s">
        <v>325</v>
      </c>
      <c r="D63" t="s">
        <v>376</v>
      </c>
    </row>
    <row r="64" spans="3:27">
      <c r="C64" t="s">
        <v>324</v>
      </c>
      <c r="D64" t="s">
        <v>377</v>
      </c>
    </row>
    <row r="65" spans="3:11">
      <c r="C65" t="s">
        <v>327</v>
      </c>
      <c r="D65" t="s">
        <v>378</v>
      </c>
    </row>
    <row r="66" spans="3:11">
      <c r="C66" t="s">
        <v>324</v>
      </c>
      <c r="D66" t="s">
        <v>379</v>
      </c>
    </row>
    <row r="67" spans="3:11">
      <c r="C67" t="s">
        <v>325</v>
      </c>
      <c r="D67" t="s">
        <v>380</v>
      </c>
    </row>
    <row r="68" spans="3:11">
      <c r="C68" t="s">
        <v>325</v>
      </c>
      <c r="D68" t="s">
        <v>381</v>
      </c>
    </row>
    <row r="74" spans="3:11">
      <c r="D74" s="96"/>
      <c r="E74" s="96"/>
      <c r="F74" s="96"/>
      <c r="G74" s="96"/>
      <c r="H74" s="96"/>
      <c r="I74" s="96"/>
      <c r="J74" s="96"/>
      <c r="K74" s="96"/>
    </row>
    <row r="82" spans="4:11">
      <c r="D82" s="96"/>
      <c r="E82" s="96"/>
      <c r="F82" s="96"/>
      <c r="G82" s="96"/>
      <c r="H82" s="96"/>
      <c r="I82" s="96"/>
      <c r="J82" s="96"/>
      <c r="K82" s="96"/>
    </row>
  </sheetData>
  <autoFilter ref="C33:D68" xr:uid="{9E159F4B-0302-4DE6-9B03-690989599CAB}"/>
  <mergeCells count="1">
    <mergeCell ref="F11:L11"/>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3C58F-B274-4EF2-AE76-D9D1890FBB8B}">
  <dimension ref="A1:U44"/>
  <sheetViews>
    <sheetView workbookViewId="0">
      <selection activeCell="Q39" sqref="Q39"/>
    </sheetView>
  </sheetViews>
  <sheetFormatPr defaultColWidth="8.85546875" defaultRowHeight="15"/>
  <cols>
    <col min="1" max="1" width="20.7109375" bestFit="1" customWidth="1"/>
    <col min="2" max="2" width="11.42578125" bestFit="1" customWidth="1"/>
    <col min="3" max="3" width="14.85546875" bestFit="1" customWidth="1"/>
    <col min="4" max="4" width="13.5703125" bestFit="1" customWidth="1"/>
    <col min="5" max="5" width="13" bestFit="1" customWidth="1"/>
    <col min="6" max="6" width="13.140625" customWidth="1"/>
    <col min="7" max="7" width="13.5703125" bestFit="1" customWidth="1"/>
    <col min="8" max="8" width="13" bestFit="1" customWidth="1"/>
    <col min="9" max="9" width="12" bestFit="1" customWidth="1"/>
    <col min="10" max="10" width="11.5703125" bestFit="1" customWidth="1"/>
    <col min="11" max="11" width="6.28515625" customWidth="1"/>
    <col min="12" max="12" width="10.7109375" customWidth="1"/>
    <col min="13" max="16" width="11" customWidth="1"/>
    <col min="17" max="17" width="20.28515625" customWidth="1"/>
    <col min="18" max="20" width="11" customWidth="1"/>
  </cols>
  <sheetData>
    <row r="1" spans="1:21" ht="45">
      <c r="B1" s="2" t="s">
        <v>388</v>
      </c>
      <c r="C1" s="2" t="s">
        <v>389</v>
      </c>
      <c r="D1" s="3" t="s">
        <v>390</v>
      </c>
      <c r="E1" s="2" t="s">
        <v>391</v>
      </c>
      <c r="F1" s="2" t="s">
        <v>392</v>
      </c>
      <c r="G1" s="2" t="s">
        <v>393</v>
      </c>
      <c r="H1" s="2" t="s">
        <v>394</v>
      </c>
      <c r="I1" s="2" t="s">
        <v>395</v>
      </c>
      <c r="J1" s="86" t="s">
        <v>396</v>
      </c>
    </row>
    <row r="2" spans="1:21">
      <c r="A2" s="4" t="s">
        <v>308</v>
      </c>
      <c r="B2" s="1">
        <v>21347.638774906343</v>
      </c>
      <c r="C2" s="1">
        <v>16494.344924503457</v>
      </c>
      <c r="D2" s="1">
        <v>8989.0498058826779</v>
      </c>
      <c r="E2" s="1">
        <v>1596.8041710751211</v>
      </c>
      <c r="F2" s="1">
        <v>3734.8927689644715</v>
      </c>
      <c r="G2" s="1">
        <v>7767.4619263557888</v>
      </c>
      <c r="H2" s="1">
        <v>5285.3644682281092</v>
      </c>
      <c r="I2" s="1">
        <v>65215.556839915967</v>
      </c>
      <c r="J2" s="87">
        <f>I2/$I$9</f>
        <v>4.454163848260616E-3</v>
      </c>
      <c r="K2">
        <f>(B2+C2)/I2</f>
        <v>0.58026007187671758</v>
      </c>
    </row>
    <row r="3" spans="1:21">
      <c r="A3" s="4" t="s">
        <v>310</v>
      </c>
      <c r="B3" s="1">
        <v>36730.207821148375</v>
      </c>
      <c r="C3" s="1">
        <v>30984.878378410307</v>
      </c>
      <c r="D3" s="1">
        <v>9993.5007086289424</v>
      </c>
      <c r="E3" s="1">
        <v>10893.508146117309</v>
      </c>
      <c r="F3" s="1">
        <v>3785.1567500548481</v>
      </c>
      <c r="G3" s="1">
        <v>19496.964087640699</v>
      </c>
      <c r="H3" s="1">
        <v>25544.097816719517</v>
      </c>
      <c r="I3" s="1">
        <v>137428.31370872</v>
      </c>
      <c r="J3" s="87">
        <f t="shared" ref="J3:J8" si="0">I3/$I$9</f>
        <v>9.386230162097442E-3</v>
      </c>
      <c r="K3">
        <f t="shared" ref="K3:K8" si="1">(B3+C3)/I3</f>
        <v>0.49273024147761252</v>
      </c>
    </row>
    <row r="4" spans="1:21">
      <c r="A4" s="4" t="s">
        <v>321</v>
      </c>
      <c r="B4" s="1">
        <v>8368.7817569760009</v>
      </c>
      <c r="C4" s="1">
        <v>6976.4828541661745</v>
      </c>
      <c r="D4" s="1">
        <v>605.95405888219591</v>
      </c>
      <c r="E4" s="1">
        <v>3228.4677758332059</v>
      </c>
      <c r="F4" s="1">
        <v>271.84901427793113</v>
      </c>
      <c r="G4" s="1">
        <v>4301.7868434021093</v>
      </c>
      <c r="H4" s="1">
        <v>7088.7241608880622</v>
      </c>
      <c r="I4" s="1">
        <v>30842.046464425675</v>
      </c>
      <c r="J4" s="87">
        <f t="shared" si="0"/>
        <v>2.1064840204528721E-3</v>
      </c>
      <c r="K4">
        <f t="shared" si="1"/>
        <v>0.49754365777387549</v>
      </c>
    </row>
    <row r="5" spans="1:21">
      <c r="A5" s="4" t="s">
        <v>322</v>
      </c>
      <c r="B5" s="1">
        <v>103755.19668221717</v>
      </c>
      <c r="C5" s="1">
        <v>84118.485365320696</v>
      </c>
      <c r="D5" s="1">
        <v>92177.54538699871</v>
      </c>
      <c r="E5" s="1">
        <v>42912.969012963164</v>
      </c>
      <c r="F5" s="1">
        <v>32569.868884479285</v>
      </c>
      <c r="G5" s="1">
        <v>51009.834398020801</v>
      </c>
      <c r="H5" s="1">
        <v>62153.451170021217</v>
      </c>
      <c r="I5" s="1">
        <v>468697.35090002103</v>
      </c>
      <c r="J5" s="87">
        <f t="shared" si="0"/>
        <v>3.2011607311411006E-2</v>
      </c>
      <c r="K5">
        <f t="shared" si="1"/>
        <v>0.40084221019549493</v>
      </c>
    </row>
    <row r="6" spans="1:21">
      <c r="A6" s="4" t="s">
        <v>323</v>
      </c>
      <c r="B6" s="1">
        <v>378607.38944252668</v>
      </c>
      <c r="C6" s="1">
        <v>294378.39314546197</v>
      </c>
      <c r="D6" s="1">
        <v>52626.31595124102</v>
      </c>
      <c r="E6" s="1">
        <v>306256.0662410428</v>
      </c>
      <c r="F6" s="1">
        <v>18595.422932144422</v>
      </c>
      <c r="G6" s="1">
        <v>379278.56983737618</v>
      </c>
      <c r="H6" s="1">
        <v>669320.80055027292</v>
      </c>
      <c r="I6" s="1">
        <v>2099062.9581000661</v>
      </c>
      <c r="J6" s="87">
        <f t="shared" si="0"/>
        <v>0.14336411120651177</v>
      </c>
      <c r="K6">
        <f t="shared" si="1"/>
        <v>0.32061248091249783</v>
      </c>
    </row>
    <row r="7" spans="1:21">
      <c r="A7" s="4" t="s">
        <v>314</v>
      </c>
      <c r="B7" s="1">
        <v>786964.41194928379</v>
      </c>
      <c r="C7" s="1">
        <v>485346.41904398042</v>
      </c>
      <c r="D7" s="1">
        <v>57184.72047108104</v>
      </c>
      <c r="E7" s="1">
        <v>708566.67229798983</v>
      </c>
      <c r="F7" s="1">
        <v>19095.789517464658</v>
      </c>
      <c r="G7" s="1">
        <v>627082.36441445735</v>
      </c>
      <c r="H7" s="1">
        <v>1313100.0369584828</v>
      </c>
      <c r="I7" s="1">
        <v>3997340.4146527397</v>
      </c>
      <c r="J7" s="87">
        <f t="shared" si="0"/>
        <v>0.27301475333320602</v>
      </c>
      <c r="K7">
        <f t="shared" si="1"/>
        <v>0.31828933716264279</v>
      </c>
    </row>
    <row r="8" spans="1:21">
      <c r="A8" s="4" t="s">
        <v>316</v>
      </c>
      <c r="B8" s="1">
        <v>2369483.959148318</v>
      </c>
      <c r="C8" s="1">
        <v>1392154.026898196</v>
      </c>
      <c r="D8" s="1">
        <v>235140.0516556956</v>
      </c>
      <c r="E8" s="1">
        <v>948849.39007328765</v>
      </c>
      <c r="F8" s="1">
        <v>76752.405738875765</v>
      </c>
      <c r="G8" s="1">
        <v>963784.65545482317</v>
      </c>
      <c r="H8" s="1">
        <v>1856730.2036982474</v>
      </c>
      <c r="I8" s="1">
        <v>7842894.6926674442</v>
      </c>
      <c r="J8" s="87">
        <f t="shared" si="0"/>
        <v>0.53566265011806036</v>
      </c>
      <c r="K8">
        <f t="shared" si="1"/>
        <v>0.47962367639124126</v>
      </c>
    </row>
    <row r="9" spans="1:21" ht="15.75">
      <c r="B9" s="5">
        <v>3705257.5855753766</v>
      </c>
      <c r="C9" s="5">
        <v>2310453.0306100389</v>
      </c>
      <c r="D9" s="5">
        <v>456717.13803841016</v>
      </c>
      <c r="E9" s="5">
        <v>2022303.8777183089</v>
      </c>
      <c r="F9" s="5">
        <v>154805.38560626138</v>
      </c>
      <c r="G9" s="5">
        <v>2052721.6369620762</v>
      </c>
      <c r="H9" s="5">
        <v>3939222.6788228601</v>
      </c>
      <c r="I9" s="6">
        <f>SUM(I2:I8)</f>
        <v>14641481.333333332</v>
      </c>
    </row>
    <row r="10" spans="1:21">
      <c r="K10" s="18"/>
    </row>
    <row r="12" spans="1:21">
      <c r="C12" s="311" t="s">
        <v>332</v>
      </c>
      <c r="D12" s="311"/>
      <c r="E12" s="311"/>
      <c r="F12" s="311" t="s">
        <v>333</v>
      </c>
      <c r="G12" s="311"/>
      <c r="H12" s="311"/>
      <c r="I12" s="311"/>
      <c r="L12" s="59"/>
      <c r="M12" s="59" t="s">
        <v>332</v>
      </c>
      <c r="N12" s="59"/>
      <c r="O12" s="59"/>
      <c r="P12" s="59" t="s">
        <v>333</v>
      </c>
      <c r="Q12" s="59"/>
      <c r="R12" s="59"/>
      <c r="S12" s="59"/>
      <c r="T12" s="59"/>
      <c r="U12" s="59"/>
    </row>
    <row r="13" spans="1:21" ht="45">
      <c r="A13" s="72" t="s">
        <v>334</v>
      </c>
      <c r="B13" s="73" t="s">
        <v>320</v>
      </c>
      <c r="C13" s="74" t="s">
        <v>308</v>
      </c>
      <c r="D13" s="74" t="s">
        <v>310</v>
      </c>
      <c r="E13" s="74" t="s">
        <v>335</v>
      </c>
      <c r="F13" s="74" t="s">
        <v>322</v>
      </c>
      <c r="G13" s="74" t="s">
        <v>323</v>
      </c>
      <c r="H13" s="74" t="s">
        <v>314</v>
      </c>
      <c r="I13" s="74" t="s">
        <v>316</v>
      </c>
      <c r="J13" s="75" t="s">
        <v>397</v>
      </c>
      <c r="L13" s="59" t="s">
        <v>334</v>
      </c>
      <c r="M13" s="59" t="s">
        <v>308</v>
      </c>
      <c r="N13" s="59" t="s">
        <v>310</v>
      </c>
      <c r="O13" s="59" t="s">
        <v>335</v>
      </c>
      <c r="P13" s="59" t="s">
        <v>322</v>
      </c>
      <c r="Q13" s="59" t="s">
        <v>323</v>
      </c>
      <c r="R13" s="59" t="s">
        <v>314</v>
      </c>
      <c r="S13" s="59" t="s">
        <v>316</v>
      </c>
      <c r="T13" s="59" t="s">
        <v>397</v>
      </c>
      <c r="U13" s="59"/>
    </row>
    <row r="14" spans="1:21">
      <c r="A14" s="76" t="s">
        <v>338</v>
      </c>
      <c r="B14" s="77">
        <v>3114630</v>
      </c>
      <c r="C14" s="76">
        <v>24700.804879007355</v>
      </c>
      <c r="D14" s="76">
        <v>47803.152801627701</v>
      </c>
      <c r="E14" s="76">
        <v>19274.379843690538</v>
      </c>
      <c r="F14" s="76">
        <v>136387.77972491476</v>
      </c>
      <c r="G14" s="76">
        <v>607067.68704295845</v>
      </c>
      <c r="H14" s="76">
        <v>617571.37517781986</v>
      </c>
      <c r="I14" s="76">
        <v>1661825.0497040821</v>
      </c>
      <c r="J14" s="78">
        <v>0.21272644196753643</v>
      </c>
      <c r="L14" s="59" t="s">
        <v>338</v>
      </c>
      <c r="M14" s="60">
        <f>C14/$B$14</f>
        <v>7.930574379302632E-3</v>
      </c>
      <c r="N14" s="60">
        <f t="shared" ref="N14:S14" si="2">D14/$B$14</f>
        <v>1.5347939498954194E-2</v>
      </c>
      <c r="O14" s="60">
        <f t="shared" si="2"/>
        <v>6.1883369272403262E-3</v>
      </c>
      <c r="P14" s="60">
        <f t="shared" si="2"/>
        <v>4.3789400257788165E-2</v>
      </c>
      <c r="Q14" s="60">
        <f t="shared" si="2"/>
        <v>0.19490844403443056</v>
      </c>
      <c r="R14" s="60">
        <f t="shared" si="2"/>
        <v>0.1982808151137759</v>
      </c>
      <c r="S14" s="60">
        <f t="shared" si="2"/>
        <v>0.53355456336838791</v>
      </c>
      <c r="T14" s="60">
        <f>SUM(M14:S14)</f>
        <v>1.0000000735798797</v>
      </c>
      <c r="U14" s="59"/>
    </row>
    <row r="15" spans="1:21">
      <c r="A15" s="76" t="s">
        <v>340</v>
      </c>
      <c r="B15" s="77">
        <v>3207503</v>
      </c>
      <c r="C15" s="76">
        <v>17022.363240141858</v>
      </c>
      <c r="D15" s="76">
        <v>23759.710386626684</v>
      </c>
      <c r="E15" s="76">
        <v>4408.7856791799477</v>
      </c>
      <c r="F15" s="76">
        <v>59458.941317748002</v>
      </c>
      <c r="G15" s="76">
        <v>401341.40358656325</v>
      </c>
      <c r="H15" s="76">
        <v>170410.69328201178</v>
      </c>
      <c r="I15" s="76">
        <v>2531100.9517340329</v>
      </c>
      <c r="J15" s="78">
        <v>0.21906955834612077</v>
      </c>
      <c r="L15" s="59" t="s">
        <v>340</v>
      </c>
      <c r="M15" s="60">
        <f>C15/$B$15</f>
        <v>5.307045150118911E-3</v>
      </c>
      <c r="N15" s="60">
        <f t="shared" ref="N15:S15" si="3">D15/$B$15</f>
        <v>7.4075411267352466E-3</v>
      </c>
      <c r="O15" s="60">
        <f t="shared" si="3"/>
        <v>1.3745226985539679E-3</v>
      </c>
      <c r="P15" s="60">
        <f t="shared" si="3"/>
        <v>1.8537454623658342E-2</v>
      </c>
      <c r="Q15" s="60">
        <f t="shared" si="3"/>
        <v>0.12512580770355108</v>
      </c>
      <c r="R15" s="60">
        <f t="shared" si="3"/>
        <v>5.3128771284707069E-2</v>
      </c>
      <c r="S15" s="60">
        <f t="shared" si="3"/>
        <v>0.7891188104061112</v>
      </c>
      <c r="T15" s="60">
        <f t="shared" ref="T15:T18" si="4">SUM(M15:S15)</f>
        <v>0.9999999529934358</v>
      </c>
      <c r="U15" s="59"/>
    </row>
    <row r="16" spans="1:21">
      <c r="A16" s="76" t="s">
        <v>342</v>
      </c>
      <c r="B16" s="77">
        <v>2924234</v>
      </c>
      <c r="C16" s="76">
        <v>0</v>
      </c>
      <c r="D16" s="76">
        <v>0</v>
      </c>
      <c r="E16" s="76">
        <v>0</v>
      </c>
      <c r="F16" s="76">
        <v>11847.959138864726</v>
      </c>
      <c r="G16" s="76">
        <v>59943.693416502814</v>
      </c>
      <c r="H16" s="76">
        <v>2492907.0190597563</v>
      </c>
      <c r="I16" s="76">
        <v>359534.98570047191</v>
      </c>
      <c r="J16" s="78">
        <v>0.19972252743704139</v>
      </c>
      <c r="L16" s="59" t="s">
        <v>342</v>
      </c>
      <c r="M16" s="60">
        <f>C16/$B$16</f>
        <v>0</v>
      </c>
      <c r="N16" s="60">
        <f t="shared" ref="N16:S16" si="5">D16/$B$16</f>
        <v>0</v>
      </c>
      <c r="O16" s="60">
        <f t="shared" si="5"/>
        <v>0</v>
      </c>
      <c r="P16" s="60">
        <f t="shared" si="5"/>
        <v>4.0516453672533479E-3</v>
      </c>
      <c r="Q16" s="60">
        <f t="shared" si="5"/>
        <v>2.0498938667870906E-2</v>
      </c>
      <c r="R16" s="60">
        <f t="shared" si="5"/>
        <v>0.85249915672266863</v>
      </c>
      <c r="S16" s="60">
        <f t="shared" si="5"/>
        <v>0.12295014205445662</v>
      </c>
      <c r="T16" s="60">
        <f t="shared" si="4"/>
        <v>0.9999998828122495</v>
      </c>
      <c r="U16" s="59"/>
    </row>
    <row r="17" spans="1:21">
      <c r="A17" s="76" t="s">
        <v>343</v>
      </c>
      <c r="B17" s="77">
        <v>2121852</v>
      </c>
      <c r="C17" s="76">
        <v>4485.3654087577888</v>
      </c>
      <c r="D17" s="76">
        <v>7344.5199661542774</v>
      </c>
      <c r="E17" s="76">
        <v>1294.5912183467306</v>
      </c>
      <c r="F17" s="76">
        <v>45019.462762146242</v>
      </c>
      <c r="G17" s="76">
        <v>196095.49444799812</v>
      </c>
      <c r="H17" s="76">
        <v>150153.44943829448</v>
      </c>
      <c r="I17" s="76">
        <v>1717459.1298567853</v>
      </c>
      <c r="J17" s="78">
        <v>0.14492058315628195</v>
      </c>
      <c r="L17" s="59" t="s">
        <v>343</v>
      </c>
      <c r="M17" s="60">
        <f>C17/$B$17</f>
        <v>2.1138917364442898E-3</v>
      </c>
      <c r="N17" s="60">
        <f t="shared" ref="N17:S17" si="6">D17/$B$17</f>
        <v>3.4613724077618407E-3</v>
      </c>
      <c r="O17" s="60">
        <f t="shared" si="6"/>
        <v>6.101232406156181E-4</v>
      </c>
      <c r="P17" s="60">
        <f t="shared" si="6"/>
        <v>2.1217060738518163E-2</v>
      </c>
      <c r="Q17" s="60">
        <f t="shared" si="6"/>
        <v>9.2417140520638624E-2</v>
      </c>
      <c r="R17" s="60">
        <f t="shared" si="6"/>
        <v>7.0765279311796714E-2</v>
      </c>
      <c r="S17" s="60">
        <f t="shared" si="6"/>
        <v>0.80941513821736166</v>
      </c>
      <c r="T17" s="60">
        <f t="shared" si="4"/>
        <v>1.0000000061731369</v>
      </c>
      <c r="U17" s="59"/>
    </row>
    <row r="18" spans="1:21">
      <c r="A18" s="76" t="s">
        <v>344</v>
      </c>
      <c r="B18" s="77">
        <v>3273263</v>
      </c>
      <c r="C18" s="76">
        <v>19007.023312008962</v>
      </c>
      <c r="D18" s="76">
        <v>58520.930554311351</v>
      </c>
      <c r="E18" s="76">
        <v>5864.2897232084661</v>
      </c>
      <c r="F18" s="76">
        <v>215983.20795634732</v>
      </c>
      <c r="G18" s="76">
        <v>834614.6796060435</v>
      </c>
      <c r="H18" s="76">
        <v>566297.87769485777</v>
      </c>
      <c r="I18" s="76">
        <v>1572974.5756720719</v>
      </c>
      <c r="J18" s="78">
        <v>0.22356088909301958</v>
      </c>
      <c r="L18" s="59" t="s">
        <v>344</v>
      </c>
      <c r="M18" s="60">
        <f>C18/$B$18</f>
        <v>5.8067510346736457E-3</v>
      </c>
      <c r="N18" s="60">
        <f t="shared" ref="N18:S18" si="7">D18/$B$18</f>
        <v>1.7878468841126226E-2</v>
      </c>
      <c r="O18" s="60">
        <f t="shared" si="7"/>
        <v>1.7915730337612547E-3</v>
      </c>
      <c r="P18" s="60">
        <f t="shared" si="7"/>
        <v>6.5984067872440225E-2</v>
      </c>
      <c r="Q18" s="60">
        <f t="shared" si="7"/>
        <v>0.25497941338842722</v>
      </c>
      <c r="R18" s="60">
        <f t="shared" si="7"/>
        <v>0.17300714232093717</v>
      </c>
      <c r="S18" s="60">
        <f t="shared" si="7"/>
        <v>0.48055245657683843</v>
      </c>
      <c r="T18" s="60">
        <f t="shared" si="4"/>
        <v>0.99999987306820415</v>
      </c>
      <c r="U18" s="59"/>
    </row>
    <row r="19" spans="1:21">
      <c r="A19" s="79" t="s">
        <v>395</v>
      </c>
      <c r="B19" s="28">
        <v>14641481</v>
      </c>
      <c r="C19" s="76">
        <v>65215.556839915967</v>
      </c>
      <c r="D19" s="76">
        <v>137428.31370872</v>
      </c>
      <c r="E19" s="76">
        <v>30842.046464425675</v>
      </c>
      <c r="F19" s="76">
        <v>468697.35090002103</v>
      </c>
      <c r="G19" s="76">
        <v>2099062.9581000661</v>
      </c>
      <c r="H19" s="76">
        <v>3997340.4146527397</v>
      </c>
      <c r="I19" s="76">
        <v>7842894.6926674442</v>
      </c>
      <c r="J19" s="70"/>
      <c r="L19" s="59" t="s">
        <v>395</v>
      </c>
      <c r="M19" s="59"/>
      <c r="N19" s="59"/>
      <c r="O19" s="59"/>
      <c r="P19" s="59"/>
      <c r="Q19" s="59"/>
      <c r="R19" s="59"/>
      <c r="S19" s="59"/>
      <c r="T19" s="59"/>
      <c r="U19" s="59"/>
    </row>
    <row r="20" spans="1:21">
      <c r="A20" s="79" t="s">
        <v>336</v>
      </c>
      <c r="B20" s="72"/>
      <c r="C20" s="80">
        <f>C19/$B$19</f>
        <v>4.454163949665745E-3</v>
      </c>
      <c r="D20" s="80">
        <f t="shared" ref="D20:I20" si="8">D19/$B$19</f>
        <v>9.3862303757878043E-3</v>
      </c>
      <c r="E20" s="80">
        <f t="shared" si="8"/>
        <v>2.1064840684098607E-3</v>
      </c>
      <c r="F20" s="80">
        <f t="shared" si="8"/>
        <v>3.2011608040199008E-2</v>
      </c>
      <c r="G20" s="80">
        <f t="shared" si="8"/>
        <v>0.14336411447039177</v>
      </c>
      <c r="H20" s="80">
        <f t="shared" si="8"/>
        <v>0.27301475954876009</v>
      </c>
      <c r="I20" s="80">
        <f t="shared" si="8"/>
        <v>0.53566266231315285</v>
      </c>
      <c r="J20" s="70"/>
    </row>
    <row r="23" spans="1:21">
      <c r="C23" s="313" t="s">
        <v>332</v>
      </c>
      <c r="D23" s="314"/>
      <c r="E23" s="315"/>
      <c r="F23" s="313" t="s">
        <v>333</v>
      </c>
      <c r="G23" s="314"/>
      <c r="H23" s="314"/>
      <c r="I23" s="315"/>
      <c r="N23" t="s">
        <v>332</v>
      </c>
      <c r="Q23" t="s">
        <v>333</v>
      </c>
    </row>
    <row r="24" spans="1:21" ht="45">
      <c r="A24" s="14" t="s">
        <v>334</v>
      </c>
      <c r="B24" s="2" t="s">
        <v>398</v>
      </c>
      <c r="C24" s="2" t="s">
        <v>308</v>
      </c>
      <c r="D24" s="2" t="s">
        <v>310</v>
      </c>
      <c r="E24" s="2" t="s">
        <v>335</v>
      </c>
      <c r="F24" s="86" t="s">
        <v>322</v>
      </c>
      <c r="G24" s="86" t="s">
        <v>323</v>
      </c>
      <c r="H24" s="2" t="s">
        <v>314</v>
      </c>
      <c r="I24" s="2" t="s">
        <v>316</v>
      </c>
      <c r="J24" s="2" t="s">
        <v>397</v>
      </c>
      <c r="L24" s="20" t="s">
        <v>334</v>
      </c>
      <c r="M24" s="20"/>
      <c r="N24" s="20" t="s">
        <v>308</v>
      </c>
      <c r="O24" s="20" t="s">
        <v>310</v>
      </c>
      <c r="P24" s="20" t="s">
        <v>335</v>
      </c>
      <c r="Q24" s="64" t="s">
        <v>312</v>
      </c>
      <c r="R24" s="20"/>
      <c r="S24" s="20" t="s">
        <v>314</v>
      </c>
      <c r="T24" s="20" t="s">
        <v>316</v>
      </c>
    </row>
    <row r="25" spans="1:21">
      <c r="A25" s="12" t="s">
        <v>324</v>
      </c>
      <c r="B25" s="17">
        <f>B14/10^6</f>
        <v>3.11463</v>
      </c>
      <c r="C25" s="16">
        <v>24700.804879007355</v>
      </c>
      <c r="D25" s="16">
        <v>47803.152801627701</v>
      </c>
      <c r="E25" s="16">
        <v>19274.379843690538</v>
      </c>
      <c r="F25" s="16">
        <v>136387.77972491476</v>
      </c>
      <c r="G25" s="16">
        <v>607067.68704295845</v>
      </c>
      <c r="H25" s="16">
        <v>617571.37517781986</v>
      </c>
      <c r="I25" s="16">
        <v>1661825.0497040821</v>
      </c>
      <c r="J25" s="15">
        <v>0.21272644196753643</v>
      </c>
      <c r="L25" t="s">
        <v>324</v>
      </c>
      <c r="N25" s="50">
        <f>C25/$C$30</f>
        <v>0.37875632864164904</v>
      </c>
      <c r="O25" s="50">
        <f>D25/$D$30</f>
        <v>0.34784064150671834</v>
      </c>
      <c r="P25" s="50">
        <f>E25/$E$30</f>
        <v>0.62493842183664106</v>
      </c>
      <c r="Q25" s="50">
        <f>(F25+G25)/($F$30+$G$30)</f>
        <v>0.28953460498709188</v>
      </c>
      <c r="R25" s="50"/>
      <c r="S25" s="50">
        <f>H25/$H$30</f>
        <v>0.15449556733122766</v>
      </c>
      <c r="T25" s="50">
        <f>I25/$I$30</f>
        <v>0.21188924686924226</v>
      </c>
    </row>
    <row r="26" spans="1:21">
      <c r="A26" s="12" t="s">
        <v>325</v>
      </c>
      <c r="B26" s="17">
        <f t="shared" ref="B26:B30" si="9">B15/10^6</f>
        <v>3.207503</v>
      </c>
      <c r="C26" s="16">
        <v>17022.363240141858</v>
      </c>
      <c r="D26" s="16">
        <v>23759.710386626684</v>
      </c>
      <c r="E26" s="16">
        <v>4408.7856791799477</v>
      </c>
      <c r="F26" s="16">
        <v>59458.941317748002</v>
      </c>
      <c r="G26" s="16">
        <v>401341.40358656325</v>
      </c>
      <c r="H26" s="16">
        <v>170410.69328201178</v>
      </c>
      <c r="I26" s="16">
        <v>2531100.9517340329</v>
      </c>
      <c r="J26" s="15">
        <v>0.21906955834612077</v>
      </c>
      <c r="L26" t="s">
        <v>325</v>
      </c>
      <c r="N26" s="50">
        <f t="shared" ref="N26:N29" si="10">C26/$C$30</f>
        <v>0.26101691168453101</v>
      </c>
      <c r="O26" s="50">
        <f t="shared" ref="O26:O30" si="11">D26/$D$30</f>
        <v>0.17288802973298145</v>
      </c>
      <c r="P26" s="50">
        <f t="shared" ref="P26:P30" si="12">E26/$E$30</f>
        <v>0.14294724846696535</v>
      </c>
      <c r="Q26" s="50">
        <f t="shared" ref="Q26:Q29" si="13">(F26+G26)/($F$30+$G$30)</f>
        <v>0.17945613665309429</v>
      </c>
      <c r="R26" s="50"/>
      <c r="S26" s="50">
        <f t="shared" ref="S26:S30" si="14">H26/$H$30</f>
        <v>4.2631018528557281E-2</v>
      </c>
      <c r="T26" s="50">
        <f t="shared" ref="T26:T30" si="15">I26/$I$30</f>
        <v>0.32272535217136533</v>
      </c>
    </row>
    <row r="27" spans="1:21">
      <c r="A27" s="12" t="s">
        <v>399</v>
      </c>
      <c r="B27" s="17">
        <f t="shared" si="9"/>
        <v>2.9242340000000002</v>
      </c>
      <c r="C27" s="16">
        <v>0</v>
      </c>
      <c r="D27" s="16">
        <v>0</v>
      </c>
      <c r="E27" s="16">
        <v>0</v>
      </c>
      <c r="F27" s="16">
        <v>11847.959138864726</v>
      </c>
      <c r="G27" s="16">
        <v>59943.693416502814</v>
      </c>
      <c r="H27" s="16">
        <v>2492907.0190597563</v>
      </c>
      <c r="I27" s="16">
        <v>359534.98570047191</v>
      </c>
      <c r="J27" s="15">
        <v>0.19972252743704139</v>
      </c>
      <c r="L27" t="s">
        <v>399</v>
      </c>
      <c r="N27" s="50">
        <f t="shared" si="10"/>
        <v>0</v>
      </c>
      <c r="O27" s="50">
        <f t="shared" si="11"/>
        <v>0</v>
      </c>
      <c r="P27" s="50">
        <f t="shared" si="12"/>
        <v>0</v>
      </c>
      <c r="Q27" s="50">
        <f t="shared" si="13"/>
        <v>2.7958860608498139E-2</v>
      </c>
      <c r="R27" s="50"/>
      <c r="S27" s="50">
        <f t="shared" si="14"/>
        <v>0.62364141165503473</v>
      </c>
      <c r="T27" s="50">
        <f t="shared" si="15"/>
        <v>4.5842128421871055E-2</v>
      </c>
    </row>
    <row r="28" spans="1:21">
      <c r="A28" s="12" t="s">
        <v>326</v>
      </c>
      <c r="B28" s="38">
        <f>B17/10^6</f>
        <v>2.1218520000000001</v>
      </c>
      <c r="C28" s="16">
        <v>4485.3654087577888</v>
      </c>
      <c r="D28" s="16">
        <v>7344.5199661542774</v>
      </c>
      <c r="E28" s="16">
        <v>1294.5912183467306</v>
      </c>
      <c r="F28" s="16">
        <v>45019.462762146242</v>
      </c>
      <c r="G28" s="16">
        <v>196095.49444799812</v>
      </c>
      <c r="H28" s="16">
        <v>150153.44943829448</v>
      </c>
      <c r="I28" s="16">
        <v>1717459.1298567853</v>
      </c>
      <c r="J28" s="15">
        <v>0.14492058315628195</v>
      </c>
      <c r="L28" t="s">
        <v>326</v>
      </c>
      <c r="N28" s="50">
        <f t="shared" si="10"/>
        <v>6.8777537540129788E-2</v>
      </c>
      <c r="O28" s="50">
        <f t="shared" si="11"/>
        <v>5.3442553197014582E-2</v>
      </c>
      <c r="P28" s="50">
        <f t="shared" si="12"/>
        <v>4.19748806175997E-2</v>
      </c>
      <c r="Q28" s="50">
        <f t="shared" si="13"/>
        <v>9.3900881778189449E-2</v>
      </c>
      <c r="R28" s="50"/>
      <c r="S28" s="50">
        <f t="shared" si="14"/>
        <v>3.7563338085465192E-2</v>
      </c>
      <c r="T28" s="50">
        <f t="shared" si="15"/>
        <v>0.21898281146914914</v>
      </c>
    </row>
    <row r="29" spans="1:21">
      <c r="A29" s="12" t="s">
        <v>327</v>
      </c>
      <c r="B29" s="17">
        <f t="shared" si="9"/>
        <v>3.273263</v>
      </c>
      <c r="C29" s="16">
        <v>19007.023312008962</v>
      </c>
      <c r="D29" s="16">
        <v>58520.930554311351</v>
      </c>
      <c r="E29" s="16">
        <v>5864.2897232084661</v>
      </c>
      <c r="F29" s="16">
        <v>215983.20795634732</v>
      </c>
      <c r="G29" s="16">
        <v>834614.6796060435</v>
      </c>
      <c r="H29" s="16">
        <v>566297.87769485777</v>
      </c>
      <c r="I29" s="16">
        <v>1572974.5756720719</v>
      </c>
      <c r="J29" s="15">
        <v>0.22356088909301958</v>
      </c>
      <c r="L29" t="s">
        <v>327</v>
      </c>
      <c r="N29" s="50">
        <f t="shared" si="10"/>
        <v>0.29144922213369012</v>
      </c>
      <c r="O29" s="50">
        <f t="shared" si="11"/>
        <v>0.42582877556328574</v>
      </c>
      <c r="P29" s="50">
        <f t="shared" si="12"/>
        <v>0.19013944907879407</v>
      </c>
      <c r="Q29" s="50">
        <f t="shared" si="13"/>
        <v>0.40914951597312632</v>
      </c>
      <c r="R29" s="50"/>
      <c r="S29" s="50">
        <f t="shared" si="14"/>
        <v>0.14166866439971529</v>
      </c>
      <c r="T29" s="50">
        <f t="shared" si="15"/>
        <v>0.20056046106837219</v>
      </c>
    </row>
    <row r="30" spans="1:21">
      <c r="A30" s="316" t="s">
        <v>400</v>
      </c>
      <c r="B30" s="318">
        <f t="shared" si="9"/>
        <v>14.641481000000001</v>
      </c>
      <c r="C30" s="16">
        <v>65215.556839915967</v>
      </c>
      <c r="D30" s="16">
        <v>137428.31370872</v>
      </c>
      <c r="E30" s="16">
        <v>30842.046464425675</v>
      </c>
      <c r="F30" s="16">
        <v>468697.35090002103</v>
      </c>
      <c r="G30" s="16">
        <v>2099062.9581000661</v>
      </c>
      <c r="H30" s="16">
        <v>3997340.4146527397</v>
      </c>
      <c r="I30" s="16">
        <v>7842894.6926674442</v>
      </c>
      <c r="N30" s="50">
        <f>SUM(N25:N29)</f>
        <v>1</v>
      </c>
      <c r="O30" s="50">
        <f t="shared" si="11"/>
        <v>1</v>
      </c>
      <c r="P30" s="50">
        <f t="shared" si="12"/>
        <v>1</v>
      </c>
      <c r="Q30" s="50">
        <f>SUM(Q25:Q29)</f>
        <v>1</v>
      </c>
      <c r="R30" s="50"/>
      <c r="S30" s="50">
        <f t="shared" si="14"/>
        <v>1</v>
      </c>
      <c r="T30" s="50">
        <f t="shared" si="15"/>
        <v>1</v>
      </c>
    </row>
    <row r="31" spans="1:21">
      <c r="A31" s="317"/>
      <c r="B31" s="319"/>
      <c r="C31" s="13">
        <v>4.454163848260616E-3</v>
      </c>
      <c r="D31" s="13">
        <v>9.386230162097442E-3</v>
      </c>
      <c r="E31" s="13">
        <v>2.1064840204528721E-3</v>
      </c>
      <c r="F31" s="13">
        <v>3.2011607311411006E-2</v>
      </c>
      <c r="G31" s="13">
        <v>0.14336411120651177</v>
      </c>
      <c r="H31" s="13">
        <v>0.27301475333320602</v>
      </c>
      <c r="I31" s="13">
        <v>0.53566265011806036</v>
      </c>
    </row>
    <row r="32" spans="1:21">
      <c r="A32" s="14" t="s">
        <v>401</v>
      </c>
      <c r="B32" s="17">
        <v>2.2999999999999998</v>
      </c>
      <c r="C32" s="16">
        <v>16494.344924503457</v>
      </c>
      <c r="D32" s="16">
        <v>30984.878378410307</v>
      </c>
      <c r="E32" s="16">
        <v>6976.4828541661745</v>
      </c>
      <c r="F32" s="16">
        <v>84118.485365320696</v>
      </c>
      <c r="G32" s="16">
        <v>294378.39314546197</v>
      </c>
      <c r="H32" s="16">
        <v>485346.41904398042</v>
      </c>
      <c r="I32" s="16">
        <v>1392154.026898196</v>
      </c>
    </row>
    <row r="36" spans="1:20">
      <c r="A36" s="59" t="s">
        <v>402</v>
      </c>
      <c r="C36" s="313" t="s">
        <v>332</v>
      </c>
      <c r="D36" s="314"/>
      <c r="E36" s="315"/>
      <c r="F36" s="313" t="s">
        <v>333</v>
      </c>
      <c r="G36" s="314"/>
      <c r="H36" s="314"/>
      <c r="I36" s="315"/>
      <c r="N36" t="s">
        <v>332</v>
      </c>
      <c r="Q36" t="s">
        <v>333</v>
      </c>
    </row>
    <row r="37" spans="1:20" ht="45">
      <c r="A37" s="14" t="s">
        <v>334</v>
      </c>
      <c r="B37" s="2" t="s">
        <v>398</v>
      </c>
      <c r="C37" s="2" t="s">
        <v>308</v>
      </c>
      <c r="D37" s="2" t="s">
        <v>310</v>
      </c>
      <c r="E37" s="2" t="s">
        <v>335</v>
      </c>
      <c r="F37" s="2" t="s">
        <v>322</v>
      </c>
      <c r="G37" s="2" t="s">
        <v>323</v>
      </c>
      <c r="H37" s="2" t="s">
        <v>314</v>
      </c>
      <c r="I37" s="2" t="s">
        <v>316</v>
      </c>
      <c r="J37" s="2" t="s">
        <v>397</v>
      </c>
      <c r="L37" s="20" t="s">
        <v>334</v>
      </c>
      <c r="M37" s="20"/>
      <c r="N37" s="20" t="s">
        <v>308</v>
      </c>
      <c r="O37" s="20" t="s">
        <v>310</v>
      </c>
      <c r="P37" s="20" t="s">
        <v>335</v>
      </c>
      <c r="Q37" s="64" t="s">
        <v>312</v>
      </c>
      <c r="R37" s="20"/>
      <c r="S37" s="20" t="s">
        <v>314</v>
      </c>
      <c r="T37" s="20" t="s">
        <v>316</v>
      </c>
    </row>
    <row r="38" spans="1:20">
      <c r="A38" s="12" t="s">
        <v>324</v>
      </c>
      <c r="B38" s="17">
        <f>B27/10^6</f>
        <v>2.9242340000000004E-6</v>
      </c>
      <c r="C38" s="16">
        <v>24700.804879007355</v>
      </c>
      <c r="D38" s="16">
        <v>47803.152801627701</v>
      </c>
      <c r="E38" s="16">
        <v>19274.379843690538</v>
      </c>
      <c r="F38" s="16">
        <v>136387.77972491476</v>
      </c>
      <c r="G38" s="16">
        <v>607067.68704295845</v>
      </c>
      <c r="H38" s="16">
        <v>617571.37517781986</v>
      </c>
      <c r="I38" s="16">
        <v>1661825.0497040821</v>
      </c>
      <c r="J38" s="15">
        <v>0.21272644196753643</v>
      </c>
      <c r="L38" t="s">
        <v>324</v>
      </c>
      <c r="N38" s="50">
        <f>C38/$C$42</f>
        <v>0.3787563286416491</v>
      </c>
      <c r="O38" s="50">
        <f>D38/$D$42</f>
        <v>0.34784064150671834</v>
      </c>
      <c r="P38" s="50">
        <f>E38/$E$42</f>
        <v>0.62493842183664106</v>
      </c>
      <c r="Q38" s="50">
        <f>(F38+G38)/($F$42+$G$42)</f>
        <v>0.29786250113687635</v>
      </c>
      <c r="R38" s="50"/>
      <c r="S38" s="50">
        <f>H38/$H$42</f>
        <v>0.41050097464394525</v>
      </c>
      <c r="T38" s="50">
        <f>I38/$I$42</f>
        <v>0.2220693799012402</v>
      </c>
    </row>
    <row r="39" spans="1:20">
      <c r="A39" s="12" t="s">
        <v>325</v>
      </c>
      <c r="B39" s="17">
        <f t="shared" ref="B39" si="16">B28/10^6</f>
        <v>2.1218519999999999E-6</v>
      </c>
      <c r="C39" s="16">
        <v>17022.363240141858</v>
      </c>
      <c r="D39" s="16">
        <v>23759.710386626684</v>
      </c>
      <c r="E39" s="16">
        <v>4408.7856791799477</v>
      </c>
      <c r="F39" s="16">
        <v>59458.941317748002</v>
      </c>
      <c r="G39" s="16">
        <v>401341.40358656325</v>
      </c>
      <c r="H39" s="16">
        <v>170410.69328201178</v>
      </c>
      <c r="I39" s="16">
        <v>2531100.9517340329</v>
      </c>
      <c r="J39" s="15">
        <v>0.21906955834612077</v>
      </c>
      <c r="L39" t="s">
        <v>325</v>
      </c>
      <c r="N39" s="50">
        <f t="shared" ref="N39:N41" si="17">C39/$C$42</f>
        <v>0.26101691168453106</v>
      </c>
      <c r="O39" s="50">
        <f t="shared" ref="O39:O41" si="18">D39/$D$42</f>
        <v>0.17288802973298145</v>
      </c>
      <c r="P39" s="50">
        <f t="shared" ref="P39:P41" si="19">E39/$E$42</f>
        <v>0.14294724846696535</v>
      </c>
      <c r="Q39" s="50">
        <f t="shared" ref="Q39:Q41" si="20">(F39+G39)/($F$42+$G$42)</f>
        <v>0.18461784113935123</v>
      </c>
      <c r="R39" s="50"/>
      <c r="S39" s="50">
        <f t="shared" ref="S39:S41" si="21">H39/$H$42</f>
        <v>0.11327234145506529</v>
      </c>
      <c r="T39" s="50">
        <f t="shared" ref="T39:T42" si="22">I39/$I$42</f>
        <v>0.33823056098420473</v>
      </c>
    </row>
    <row r="40" spans="1:20">
      <c r="A40" s="12" t="s">
        <v>326</v>
      </c>
      <c r="B40" s="38">
        <f>B30/10^6</f>
        <v>1.4641481E-5</v>
      </c>
      <c r="C40" s="16">
        <v>4485.3654087577888</v>
      </c>
      <c r="D40" s="16">
        <v>7344.5199661542774</v>
      </c>
      <c r="E40" s="16">
        <v>1294.5912183467306</v>
      </c>
      <c r="F40" s="16">
        <v>45019.462762146242</v>
      </c>
      <c r="G40" s="16">
        <v>196095.49444799812</v>
      </c>
      <c r="H40" s="16">
        <v>150153.44943829448</v>
      </c>
      <c r="I40" s="16">
        <v>1717459.1298567853</v>
      </c>
      <c r="J40" s="15">
        <v>0.14492058315628195</v>
      </c>
      <c r="L40" t="s">
        <v>326</v>
      </c>
      <c r="N40" s="50">
        <f t="shared" si="17"/>
        <v>6.8777537540129802E-2</v>
      </c>
      <c r="O40" s="50">
        <f t="shared" si="18"/>
        <v>5.3442553197014582E-2</v>
      </c>
      <c r="P40" s="50">
        <f t="shared" si="19"/>
        <v>4.1974880617599693E-2</v>
      </c>
      <c r="Q40" s="50">
        <f t="shared" si="20"/>
        <v>9.6601756831991098E-2</v>
      </c>
      <c r="R40" s="50"/>
      <c r="S40" s="50">
        <f t="shared" si="21"/>
        <v>9.980730943499852E-2</v>
      </c>
      <c r="T40" s="50">
        <f t="shared" si="22"/>
        <v>0.22950375193883024</v>
      </c>
    </row>
    <row r="41" spans="1:20">
      <c r="A41" s="12" t="s">
        <v>327</v>
      </c>
      <c r="B41" s="17">
        <f>B31/10^6</f>
        <v>0</v>
      </c>
      <c r="C41" s="16">
        <v>19007.023312008962</v>
      </c>
      <c r="D41" s="16">
        <v>58520.930554311351</v>
      </c>
      <c r="E41" s="16">
        <v>5864.2897232084661</v>
      </c>
      <c r="F41" s="16">
        <v>215983.20795634732</v>
      </c>
      <c r="G41" s="16">
        <v>834614.6796060435</v>
      </c>
      <c r="H41" s="16">
        <v>566297.87769485777</v>
      </c>
      <c r="I41" s="16">
        <v>1572974.5756720719</v>
      </c>
      <c r="J41" s="15">
        <v>0.22356088909301958</v>
      </c>
      <c r="L41" t="s">
        <v>327</v>
      </c>
      <c r="N41" s="50">
        <f t="shared" si="17"/>
        <v>0.29144922213369012</v>
      </c>
      <c r="O41" s="50">
        <f t="shared" si="18"/>
        <v>0.42582877556328574</v>
      </c>
      <c r="P41" s="50">
        <f t="shared" si="19"/>
        <v>0.19013944907879404</v>
      </c>
      <c r="Q41" s="50">
        <f t="shared" si="20"/>
        <v>0.42091790089178116</v>
      </c>
      <c r="R41" s="50"/>
      <c r="S41" s="50">
        <f t="shared" si="21"/>
        <v>0.376419374465991</v>
      </c>
      <c r="T41" s="50">
        <f t="shared" si="22"/>
        <v>0.21019630717572485</v>
      </c>
    </row>
    <row r="42" spans="1:20">
      <c r="A42" s="316" t="s">
        <v>400</v>
      </c>
      <c r="B42" s="318">
        <f>B32/10^6</f>
        <v>2.3E-6</v>
      </c>
      <c r="C42" s="16">
        <f>SUM(C38:C41)</f>
        <v>65215.55683991596</v>
      </c>
      <c r="D42" s="16">
        <f t="shared" ref="D42:I42" si="23">SUM(D38:D41)</f>
        <v>137428.31370872</v>
      </c>
      <c r="E42" s="16">
        <f t="shared" si="23"/>
        <v>30842.046464425679</v>
      </c>
      <c r="F42" s="16">
        <f t="shared" si="23"/>
        <v>456849.39176115632</v>
      </c>
      <c r="G42" s="16">
        <f t="shared" si="23"/>
        <v>2039119.2646835635</v>
      </c>
      <c r="H42" s="16">
        <f t="shared" si="23"/>
        <v>1504433.3955929838</v>
      </c>
      <c r="I42" s="16">
        <f t="shared" si="23"/>
        <v>7483359.706966972</v>
      </c>
      <c r="N42" s="50">
        <f>SUM(N38:N41)</f>
        <v>1.0000000000000002</v>
      </c>
      <c r="O42" s="50">
        <f t="shared" ref="O42" si="24">D42/$D$30</f>
        <v>1</v>
      </c>
      <c r="P42" s="50">
        <f t="shared" ref="P42" si="25">E42/$E$30</f>
        <v>1.0000000000000002</v>
      </c>
      <c r="Q42" s="50">
        <f>SUM(Q38:Q41)</f>
        <v>0.99999999999999989</v>
      </c>
      <c r="R42" s="50"/>
      <c r="S42" s="50">
        <f>H42/$H$42</f>
        <v>1</v>
      </c>
      <c r="T42" s="50">
        <f t="shared" si="22"/>
        <v>1</v>
      </c>
    </row>
    <row r="43" spans="1:20">
      <c r="A43" s="317"/>
      <c r="B43" s="319"/>
      <c r="C43" s="13"/>
      <c r="D43" s="13"/>
      <c r="E43" s="13"/>
      <c r="F43" s="13"/>
      <c r="G43" s="13"/>
      <c r="H43" s="13"/>
      <c r="I43" s="13"/>
    </row>
    <row r="44" spans="1:20">
      <c r="A44" s="14"/>
      <c r="B44" s="17"/>
      <c r="C44" s="16"/>
      <c r="D44" s="16"/>
      <c r="E44" s="16"/>
      <c r="F44" s="16"/>
      <c r="G44" s="16"/>
      <c r="H44" s="16"/>
      <c r="I44" s="16"/>
    </row>
  </sheetData>
  <mergeCells count="10">
    <mergeCell ref="C12:E12"/>
    <mergeCell ref="F12:I12"/>
    <mergeCell ref="C23:E23"/>
    <mergeCell ref="F23:I23"/>
    <mergeCell ref="B30:B31"/>
    <mergeCell ref="C36:E36"/>
    <mergeCell ref="F36:I36"/>
    <mergeCell ref="A42:A43"/>
    <mergeCell ref="B42:B43"/>
    <mergeCell ref="A30:A31"/>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92551-7BE2-4042-B4BC-DDE270C34C0E}">
  <dimension ref="A1:V82"/>
  <sheetViews>
    <sheetView zoomScale="85" zoomScaleNormal="85" workbookViewId="0">
      <selection activeCell="O8" sqref="O8"/>
    </sheetView>
  </sheetViews>
  <sheetFormatPr defaultColWidth="8.85546875" defaultRowHeight="15"/>
  <cols>
    <col min="1" max="1" width="27.140625" bestFit="1" customWidth="1"/>
    <col min="2" max="2" width="11.5703125" bestFit="1" customWidth="1"/>
    <col min="3" max="3" width="19.7109375" bestFit="1" customWidth="1"/>
    <col min="4" max="4" width="22.42578125" bestFit="1" customWidth="1"/>
    <col min="5" max="5" width="22.7109375" bestFit="1" customWidth="1"/>
    <col min="6" max="6" width="20.140625" bestFit="1" customWidth="1"/>
    <col min="7" max="7" width="22.85546875" bestFit="1" customWidth="1"/>
    <col min="8" max="8" width="10.85546875" bestFit="1" customWidth="1"/>
    <col min="9" max="9" width="16" bestFit="1" customWidth="1"/>
    <col min="10" max="10" width="13.7109375" bestFit="1" customWidth="1"/>
    <col min="11" max="12" width="10.5703125" bestFit="1" customWidth="1"/>
    <col min="13" max="14" width="12.5703125" bestFit="1" customWidth="1"/>
    <col min="15" max="15" width="10.28515625" bestFit="1" customWidth="1"/>
    <col min="16" max="17" width="13.7109375" customWidth="1"/>
    <col min="18" max="18" width="13.42578125" customWidth="1"/>
    <col min="19" max="19" width="11.28515625" bestFit="1" customWidth="1"/>
    <col min="20" max="20" width="11.85546875" customWidth="1"/>
    <col min="21" max="21" width="12.7109375" customWidth="1"/>
    <col min="22" max="22" width="11" style="40" bestFit="1" customWidth="1"/>
  </cols>
  <sheetData>
    <row r="1" spans="1:22" s="31" customFormat="1" ht="38.450000000000003" customHeight="1">
      <c r="A1" s="32" t="s">
        <v>403</v>
      </c>
      <c r="B1" s="320" t="s">
        <v>404</v>
      </c>
      <c r="C1" s="321"/>
      <c r="D1" s="321"/>
      <c r="E1" s="321"/>
      <c r="F1" s="321"/>
      <c r="G1" s="321"/>
      <c r="H1" s="321"/>
      <c r="I1" s="33" t="s">
        <v>330</v>
      </c>
      <c r="K1" s="322"/>
      <c r="L1" s="322"/>
      <c r="P1" s="68" t="s">
        <v>405</v>
      </c>
      <c r="Q1" s="189" t="s">
        <v>406</v>
      </c>
      <c r="R1" s="68" t="s">
        <v>407</v>
      </c>
      <c r="S1" s="189" t="s">
        <v>408</v>
      </c>
      <c r="T1" s="189" t="s">
        <v>409</v>
      </c>
      <c r="U1" s="189" t="s">
        <v>410</v>
      </c>
      <c r="V1" s="68" t="s">
        <v>411</v>
      </c>
    </row>
    <row r="2" spans="1:22">
      <c r="A2" s="4" t="s">
        <v>334</v>
      </c>
      <c r="B2" s="186" t="s">
        <v>412</v>
      </c>
      <c r="C2" s="187" t="s">
        <v>413</v>
      </c>
      <c r="D2" s="72" t="s">
        <v>414</v>
      </c>
      <c r="E2" s="4" t="s">
        <v>415</v>
      </c>
      <c r="F2" s="72" t="s">
        <v>416</v>
      </c>
      <c r="G2" s="4" t="s">
        <v>417</v>
      </c>
      <c r="H2" s="72" t="s">
        <v>418</v>
      </c>
      <c r="I2" s="4"/>
      <c r="K2" s="4" t="s">
        <v>419</v>
      </c>
      <c r="L2" s="4" t="s">
        <v>420</v>
      </c>
    </row>
    <row r="3" spans="1:22">
      <c r="A3" s="24" t="s">
        <v>338</v>
      </c>
      <c r="B3" s="30">
        <v>7492.5671715146955</v>
      </c>
      <c r="C3" s="30">
        <v>6839.0892777216095</v>
      </c>
      <c r="D3" s="30">
        <v>3405.1295862974448</v>
      </c>
      <c r="E3" s="30">
        <v>605.42758212288106</v>
      </c>
      <c r="F3" s="30">
        <v>1415.867656759372</v>
      </c>
      <c r="G3" s="30">
        <v>2940.6482958175916</v>
      </c>
      <c r="H3" s="30">
        <v>2002.075308773763</v>
      </c>
      <c r="I3" s="29">
        <f>SUM(B3:H3)</f>
        <v>24700.804879007359</v>
      </c>
      <c r="K3" s="24">
        <v>3712.6484648680002</v>
      </c>
      <c r="L3" s="24">
        <v>3555.685680510026</v>
      </c>
      <c r="M3" s="34"/>
      <c r="O3" s="35"/>
    </row>
    <row r="4" spans="1:22">
      <c r="A4" s="24" t="s">
        <v>340</v>
      </c>
      <c r="B4" s="30">
        <v>6382.5797911316731</v>
      </c>
      <c r="C4" s="30">
        <v>3496.0670285531182</v>
      </c>
      <c r="D4" s="30">
        <v>2344.6870633835351</v>
      </c>
      <c r="E4" s="30">
        <v>416.04485820737909</v>
      </c>
      <c r="F4" s="30">
        <v>973.99654475263526</v>
      </c>
      <c r="G4" s="30">
        <v>2028.6219933180596</v>
      </c>
      <c r="H4" s="30">
        <v>1380.3659607954571</v>
      </c>
      <c r="I4" s="29">
        <f>SUM(B4:H4)</f>
        <v>17022.363240141858</v>
      </c>
      <c r="K4" s="24">
        <v>2560.7723453071076</v>
      </c>
      <c r="L4" s="24">
        <v>2451.1172099592322</v>
      </c>
      <c r="M4" s="34"/>
      <c r="O4" s="35"/>
    </row>
    <row r="5" spans="1:22">
      <c r="A5" s="24" t="s">
        <v>342</v>
      </c>
      <c r="B5" s="30">
        <v>0</v>
      </c>
      <c r="C5" s="30">
        <v>0</v>
      </c>
      <c r="D5" s="30">
        <v>0</v>
      </c>
      <c r="E5" s="30">
        <v>0</v>
      </c>
      <c r="F5" s="30">
        <v>0</v>
      </c>
      <c r="G5" s="30">
        <v>0</v>
      </c>
      <c r="H5" s="30">
        <v>0</v>
      </c>
      <c r="I5" s="29">
        <f>SUM(B5:H5)</f>
        <v>0</v>
      </c>
      <c r="K5" s="24">
        <v>0</v>
      </c>
      <c r="L5" s="24">
        <v>0</v>
      </c>
      <c r="M5" s="34"/>
      <c r="O5" s="35"/>
    </row>
    <row r="6" spans="1:22">
      <c r="A6" s="24" t="s">
        <v>343</v>
      </c>
      <c r="B6" s="30">
        <v>2191.6643871924357</v>
      </c>
      <c r="C6" s="30">
        <v>410.27274991463634</v>
      </c>
      <c r="D6" s="30">
        <v>618.59778301668769</v>
      </c>
      <c r="E6" s="30">
        <v>110.53980751820218</v>
      </c>
      <c r="F6" s="30">
        <v>257.21762531961548</v>
      </c>
      <c r="G6" s="30">
        <v>533.56713198152386</v>
      </c>
      <c r="H6" s="30">
        <v>363.50592381468692</v>
      </c>
      <c r="I6" s="29">
        <f>SUM(B6:H6)</f>
        <v>4485.3654087577879</v>
      </c>
      <c r="K6" s="24">
        <v>673.86767464219167</v>
      </c>
      <c r="L6" s="24">
        <v>646.232698231673</v>
      </c>
      <c r="M6" s="34"/>
      <c r="O6" s="35"/>
    </row>
    <row r="7" spans="1:22">
      <c r="A7" s="24" t="s">
        <v>344</v>
      </c>
      <c r="B7" s="30">
        <v>5280.8274250675395</v>
      </c>
      <c r="C7" s="30">
        <v>5748.9158683140904</v>
      </c>
      <c r="D7" s="30">
        <v>2620.6353731850081</v>
      </c>
      <c r="E7" s="30">
        <v>464.7919232266587</v>
      </c>
      <c r="F7" s="30">
        <v>1087.8109421328484</v>
      </c>
      <c r="G7" s="30">
        <v>2264.6245052386139</v>
      </c>
      <c r="H7" s="30">
        <v>1539.4172748442011</v>
      </c>
      <c r="I7" s="29">
        <f>SUM(B7:H7)</f>
        <v>19007.023312008962</v>
      </c>
      <c r="K7" s="24">
        <v>2857.9760172318524</v>
      </c>
      <c r="L7" s="24">
        <v>2736.0091762436327</v>
      </c>
      <c r="M7" s="34"/>
      <c r="O7" s="35"/>
    </row>
    <row r="8" spans="1:22">
      <c r="A8" s="29" t="s">
        <v>330</v>
      </c>
      <c r="B8" s="10">
        <f t="shared" ref="B8:I8" si="0">SUM(B3:B7)</f>
        <v>21347.638774906343</v>
      </c>
      <c r="C8" s="10">
        <f t="shared" si="0"/>
        <v>16494.344924503457</v>
      </c>
      <c r="D8" s="10">
        <f t="shared" si="0"/>
        <v>8989.0498058826761</v>
      </c>
      <c r="E8" s="10">
        <f t="shared" si="0"/>
        <v>1596.8041710751208</v>
      </c>
      <c r="F8" s="10">
        <f t="shared" si="0"/>
        <v>3734.8927689644706</v>
      </c>
      <c r="G8" s="10">
        <f t="shared" si="0"/>
        <v>7767.4619263557888</v>
      </c>
      <c r="H8" s="10">
        <f t="shared" si="0"/>
        <v>5285.3644682281083</v>
      </c>
      <c r="I8" s="28">
        <f t="shared" si="0"/>
        <v>65215.556839915967</v>
      </c>
      <c r="K8" s="10">
        <v>9805.2645020491527</v>
      </c>
      <c r="L8" s="10">
        <v>9389.0447649445632</v>
      </c>
      <c r="M8" s="22">
        <f>SUM(K8:L8)</f>
        <v>19194.309266993718</v>
      </c>
      <c r="N8" s="25">
        <f>M8*$I$66</f>
        <v>0</v>
      </c>
      <c r="O8" s="37">
        <f t="shared" ref="O8:O26" si="1">I8-I5</f>
        <v>65215.556839915967</v>
      </c>
      <c r="P8">
        <f t="shared" ref="P8:P26" si="2">(SUM(B8:C8))/O8</f>
        <v>0.58026007187671758</v>
      </c>
      <c r="Q8" s="69">
        <f>(B8+C8)/V8</f>
        <v>0.44831232940804422</v>
      </c>
      <c r="R8">
        <f t="shared" ref="R8:R26" si="3">D8/O8</f>
        <v>0.13783597413647813</v>
      </c>
      <c r="S8" s="50">
        <f>(E8+G8)/V8</f>
        <v>0.11093805178615682</v>
      </c>
      <c r="T8" s="50">
        <f>K8/V8</f>
        <v>0.11616254063986137</v>
      </c>
      <c r="U8" s="50">
        <f>(D8+F8+H8+L8)/V8</f>
        <v>0.32458707816593757</v>
      </c>
      <c r="V8" s="34">
        <f>I8+M8-I5-K5-L5</f>
        <v>84409.866106909685</v>
      </c>
    </row>
    <row r="9" spans="1:22">
      <c r="O9" s="37"/>
      <c r="V9" s="34"/>
    </row>
    <row r="10" spans="1:22" s="31" customFormat="1" ht="21.75" customHeight="1">
      <c r="A10" s="32" t="s">
        <v>421</v>
      </c>
      <c r="B10" s="320" t="s">
        <v>404</v>
      </c>
      <c r="C10" s="321"/>
      <c r="D10" s="321"/>
      <c r="E10" s="321"/>
      <c r="F10" s="321"/>
      <c r="G10" s="321"/>
      <c r="H10" s="321"/>
      <c r="I10" s="33" t="s">
        <v>330</v>
      </c>
      <c r="K10" s="322"/>
      <c r="L10" s="322"/>
      <c r="O10" s="37"/>
      <c r="P10"/>
      <c r="Q10"/>
      <c r="R10"/>
      <c r="V10" s="34"/>
    </row>
    <row r="11" spans="1:22">
      <c r="A11" s="4" t="s">
        <v>334</v>
      </c>
      <c r="B11" s="4" t="s">
        <v>412</v>
      </c>
      <c r="C11" s="4" t="s">
        <v>413</v>
      </c>
      <c r="D11" s="4" t="s">
        <v>414</v>
      </c>
      <c r="E11" s="4" t="s">
        <v>415</v>
      </c>
      <c r="F11" s="4" t="s">
        <v>416</v>
      </c>
      <c r="G11" s="4" t="s">
        <v>417</v>
      </c>
      <c r="H11" s="4" t="s">
        <v>418</v>
      </c>
      <c r="I11" s="4"/>
      <c r="K11" s="4" t="s">
        <v>419</v>
      </c>
      <c r="L11" s="4" t="s">
        <v>420</v>
      </c>
      <c r="O11" s="37"/>
      <c r="V11" s="34"/>
    </row>
    <row r="12" spans="1:22">
      <c r="A12" s="24" t="s">
        <v>338</v>
      </c>
      <c r="B12" s="30">
        <v>12313.564254470069</v>
      </c>
      <c r="C12" s="30">
        <v>11240.451864967607</v>
      </c>
      <c r="D12" s="30">
        <v>3475.6028137617136</v>
      </c>
      <c r="E12" s="30">
        <v>3789.5282291982548</v>
      </c>
      <c r="F12" s="30">
        <v>1316.5647524940684</v>
      </c>
      <c r="G12" s="30">
        <v>6781.4296375424392</v>
      </c>
      <c r="H12" s="30">
        <v>8886.0112491935415</v>
      </c>
      <c r="I12" s="29">
        <f>SUM(B12:H12)</f>
        <v>47803.152801627701</v>
      </c>
      <c r="K12" s="24">
        <v>11301.314955715507</v>
      </c>
      <c r="L12" s="24">
        <v>10824.020191429336</v>
      </c>
      <c r="O12" s="37"/>
      <c r="V12" s="34"/>
    </row>
    <row r="13" spans="1:22">
      <c r="A13" s="24" t="s">
        <v>340</v>
      </c>
      <c r="B13" s="30">
        <v>7562.9864064937647</v>
      </c>
      <c r="C13" s="30">
        <v>4144.3230415115086</v>
      </c>
      <c r="D13" s="30">
        <v>1728.6826071985749</v>
      </c>
      <c r="E13" s="30">
        <v>1883.4900048581485</v>
      </c>
      <c r="F13" s="30">
        <v>654.70628593528113</v>
      </c>
      <c r="G13" s="30">
        <v>3370.2860532136388</v>
      </c>
      <c r="H13" s="30">
        <v>4415.2359874157628</v>
      </c>
      <c r="I13" s="29">
        <f>SUM(B13:H13)</f>
        <v>23759.710386626681</v>
      </c>
      <c r="K13" s="24">
        <v>5618.2184733953682</v>
      </c>
      <c r="L13" s="24">
        <v>5379.5570686701922</v>
      </c>
      <c r="O13" s="37"/>
      <c r="V13" s="34"/>
    </row>
    <row r="14" spans="1:22">
      <c r="A14" s="24" t="s">
        <v>342</v>
      </c>
      <c r="B14" s="30">
        <v>0</v>
      </c>
      <c r="C14" s="30">
        <v>0</v>
      </c>
      <c r="D14" s="30">
        <v>0</v>
      </c>
      <c r="E14" s="30">
        <v>0</v>
      </c>
      <c r="F14" s="30">
        <v>0</v>
      </c>
      <c r="G14" s="30">
        <v>0</v>
      </c>
      <c r="H14" s="30">
        <v>0</v>
      </c>
      <c r="I14" s="29">
        <f>SUM(B14:H14)</f>
        <v>0</v>
      </c>
      <c r="K14" s="24">
        <v>0</v>
      </c>
      <c r="L14" s="24">
        <v>0</v>
      </c>
      <c r="O14" s="37"/>
      <c r="V14" s="34"/>
    </row>
    <row r="15" spans="1:22">
      <c r="A15" s="24" t="s">
        <v>343</v>
      </c>
      <c r="B15" s="30">
        <v>3048.3477949248136</v>
      </c>
      <c r="C15" s="30">
        <v>571.83093224182346</v>
      </c>
      <c r="D15" s="30">
        <v>533.56715238921072</v>
      </c>
      <c r="E15" s="30">
        <v>582.45975997866026</v>
      </c>
      <c r="F15" s="30">
        <v>201.94772699990048</v>
      </c>
      <c r="G15" s="30">
        <v>1041.6251182100129</v>
      </c>
      <c r="H15" s="30">
        <v>1364.7414814098538</v>
      </c>
      <c r="I15" s="29">
        <f>SUM(B15:H15)</f>
        <v>7344.5199661542756</v>
      </c>
      <c r="K15" s="24">
        <v>1736.7504521991441</v>
      </c>
      <c r="L15" s="24">
        <v>1662.3486580412862</v>
      </c>
      <c r="O15" s="37"/>
      <c r="V15" s="34"/>
    </row>
    <row r="16" spans="1:22">
      <c r="A16" s="24" t="s">
        <v>344</v>
      </c>
      <c r="B16" s="30">
        <v>13805.309365259725</v>
      </c>
      <c r="C16" s="30">
        <v>15028.272539689371</v>
      </c>
      <c r="D16" s="30">
        <v>4255.6481352794426</v>
      </c>
      <c r="E16" s="30">
        <v>4638.0301520822441</v>
      </c>
      <c r="F16" s="30">
        <v>1611.9379846255981</v>
      </c>
      <c r="G16" s="30">
        <v>8303.6232786746059</v>
      </c>
      <c r="H16" s="30">
        <v>10878.109098700357</v>
      </c>
      <c r="I16" s="29">
        <f>SUM(B16:H16)</f>
        <v>58520.930554311344</v>
      </c>
      <c r="K16" s="24">
        <v>13834.97693552891</v>
      </c>
      <c r="L16" s="24">
        <v>13248.218323538404</v>
      </c>
      <c r="O16" s="37"/>
      <c r="V16" s="34"/>
    </row>
    <row r="17" spans="1:22">
      <c r="A17" s="29" t="s">
        <v>330</v>
      </c>
      <c r="B17" s="27">
        <f t="shared" ref="B17:I17" si="4">SUM(B12:B16)</f>
        <v>36730.207821148368</v>
      </c>
      <c r="C17" s="27">
        <f t="shared" si="4"/>
        <v>30984.878378410307</v>
      </c>
      <c r="D17" s="27">
        <f t="shared" si="4"/>
        <v>9993.5007086289406</v>
      </c>
      <c r="E17" s="27">
        <f t="shared" si="4"/>
        <v>10893.508146117307</v>
      </c>
      <c r="F17" s="27">
        <f t="shared" si="4"/>
        <v>3785.1567500548481</v>
      </c>
      <c r="G17" s="27">
        <f t="shared" si="4"/>
        <v>19496.964087640699</v>
      </c>
      <c r="H17" s="27">
        <f t="shared" si="4"/>
        <v>25544.097816719514</v>
      </c>
      <c r="I17" s="28">
        <f t="shared" si="4"/>
        <v>137428.31370872</v>
      </c>
      <c r="K17" s="27">
        <v>32491.260816838927</v>
      </c>
      <c r="L17" s="27">
        <v>31114.144241679216</v>
      </c>
      <c r="M17" s="22">
        <f>SUM(K17:L17)</f>
        <v>63605.405058518139</v>
      </c>
      <c r="N17" s="25">
        <f>M17*$I$66</f>
        <v>0</v>
      </c>
      <c r="O17" s="37">
        <f t="shared" si="1"/>
        <v>137428.31370872</v>
      </c>
      <c r="P17">
        <f>(SUM(B17:C17))/O17</f>
        <v>0.49273024147761241</v>
      </c>
      <c r="R17">
        <f t="shared" si="3"/>
        <v>7.2717916992056056E-2</v>
      </c>
      <c r="V17" s="34">
        <f>I17+M17-I14-K14-L14</f>
        <v>201033.71876723814</v>
      </c>
    </row>
    <row r="18" spans="1:22">
      <c r="O18" s="37"/>
    </row>
    <row r="19" spans="1:22" s="31" customFormat="1" ht="21.75" customHeight="1">
      <c r="A19" s="32" t="s">
        <v>422</v>
      </c>
      <c r="B19" s="320" t="s">
        <v>404</v>
      </c>
      <c r="C19" s="321"/>
      <c r="D19" s="321"/>
      <c r="E19" s="321"/>
      <c r="F19" s="321"/>
      <c r="G19" s="321"/>
      <c r="H19" s="321"/>
      <c r="I19" s="33" t="s">
        <v>330</v>
      </c>
      <c r="K19" s="322"/>
      <c r="L19" s="322"/>
      <c r="O19" s="37"/>
      <c r="P19"/>
      <c r="Q19"/>
      <c r="R19"/>
    </row>
    <row r="20" spans="1:22">
      <c r="A20" s="4" t="s">
        <v>334</v>
      </c>
      <c r="B20" s="4" t="s">
        <v>412</v>
      </c>
      <c r="C20" s="4" t="s">
        <v>413</v>
      </c>
      <c r="D20" s="4" t="s">
        <v>414</v>
      </c>
      <c r="E20" s="4" t="s">
        <v>415</v>
      </c>
      <c r="F20" s="4" t="s">
        <v>416</v>
      </c>
      <c r="G20" s="4" t="s">
        <v>417</v>
      </c>
      <c r="H20" s="4" t="s">
        <v>418</v>
      </c>
      <c r="I20" s="4"/>
      <c r="K20" s="4" t="s">
        <v>419</v>
      </c>
      <c r="L20" s="4" t="s">
        <v>420</v>
      </c>
      <c r="O20" s="37"/>
    </row>
    <row r="21" spans="1:22">
      <c r="A21" s="24" t="s">
        <v>338</v>
      </c>
      <c r="B21" s="30">
        <v>5013.1966852876321</v>
      </c>
      <c r="C21" s="30">
        <v>4577.5450883552885</v>
      </c>
      <c r="D21" s="30">
        <v>377.99182675012185</v>
      </c>
      <c r="E21" s="30">
        <v>2018.0919563777691</v>
      </c>
      <c r="F21" s="30">
        <v>169.77598998098694</v>
      </c>
      <c r="G21" s="30">
        <v>2687.58595460468</v>
      </c>
      <c r="H21" s="30">
        <v>4430.192342334055</v>
      </c>
      <c r="I21" s="29">
        <f>SUM(B21:H21)</f>
        <v>19274.379843690531</v>
      </c>
      <c r="K21" s="24">
        <v>4923.5037094486206</v>
      </c>
      <c r="L21" s="24">
        <v>4766.5410017303502</v>
      </c>
      <c r="O21" s="37"/>
    </row>
    <row r="22" spans="1:22">
      <c r="A22" s="24" t="s">
        <v>340</v>
      </c>
      <c r="B22" s="30">
        <v>1415.8426577615194</v>
      </c>
      <c r="C22" s="30">
        <v>777.26214241577713</v>
      </c>
      <c r="D22" s="30">
        <v>87.079161183510294</v>
      </c>
      <c r="E22" s="30">
        <v>461.19703886081379</v>
      </c>
      <c r="F22" s="30">
        <v>38.701849414893459</v>
      </c>
      <c r="G22" s="30">
        <v>616.00443652038769</v>
      </c>
      <c r="H22" s="30">
        <v>1012.6983930230456</v>
      </c>
      <c r="I22" s="29">
        <f>SUM(B22:H22)</f>
        <v>4408.7856791799468</v>
      </c>
      <c r="K22" s="24">
        <v>1125.5787871498185</v>
      </c>
      <c r="L22" s="24">
        <v>1090.1020918528325</v>
      </c>
      <c r="O22" s="37"/>
    </row>
    <row r="23" spans="1:22">
      <c r="A23" s="24" t="s">
        <v>342</v>
      </c>
      <c r="B23" s="30">
        <v>0</v>
      </c>
      <c r="C23" s="30">
        <v>0</v>
      </c>
      <c r="D23" s="30">
        <v>0</v>
      </c>
      <c r="E23" s="30">
        <v>0</v>
      </c>
      <c r="F23" s="30">
        <v>0</v>
      </c>
      <c r="G23" s="30">
        <v>0</v>
      </c>
      <c r="H23" s="30">
        <v>0</v>
      </c>
      <c r="I23" s="29">
        <f>SUM(B23:H23)</f>
        <v>0</v>
      </c>
      <c r="K23" s="24">
        <v>0</v>
      </c>
      <c r="L23" s="24">
        <v>0</v>
      </c>
      <c r="O23" s="37"/>
    </row>
    <row r="24" spans="1:22">
      <c r="A24" s="24" t="s">
        <v>343</v>
      </c>
      <c r="B24" s="30">
        <v>542.07021457868018</v>
      </c>
      <c r="C24" s="30">
        <v>102.03674627363392</v>
      </c>
      <c r="D24" s="30">
        <v>25.509186568408481</v>
      </c>
      <c r="E24" s="30">
        <v>136.04899503151188</v>
      </c>
      <c r="F24" s="30">
        <v>10.628827736836868</v>
      </c>
      <c r="G24" s="30">
        <v>180.69007152622677</v>
      </c>
      <c r="H24" s="30">
        <v>297.60717663143225</v>
      </c>
      <c r="I24" s="29">
        <f>SUM(B24:H24)</f>
        <v>1294.5912183467303</v>
      </c>
      <c r="K24" s="24">
        <v>331.61942538931027</v>
      </c>
      <c r="L24" s="24">
        <v>320.99059765247341</v>
      </c>
      <c r="O24" s="37"/>
    </row>
    <row r="25" spans="1:22">
      <c r="A25" s="24" t="s">
        <v>344</v>
      </c>
      <c r="B25" s="30">
        <v>1397.6721993481672</v>
      </c>
      <c r="C25" s="30">
        <v>1519.638877121474</v>
      </c>
      <c r="D25" s="30">
        <v>115.3738843801553</v>
      </c>
      <c r="E25" s="30">
        <v>613.129785563111</v>
      </c>
      <c r="F25" s="30">
        <v>52.742347145213856</v>
      </c>
      <c r="G25" s="30">
        <v>817.50638075081474</v>
      </c>
      <c r="H25" s="30">
        <v>1348.2262488995293</v>
      </c>
      <c r="I25" s="29">
        <f>SUM(B25:H25)</f>
        <v>5864.2897232084651</v>
      </c>
      <c r="K25" s="24">
        <v>1499.8604969420189</v>
      </c>
      <c r="L25" s="24">
        <v>1450.4145464933808</v>
      </c>
      <c r="O25" s="37"/>
    </row>
    <row r="26" spans="1:22">
      <c r="A26" s="29" t="s">
        <v>330</v>
      </c>
      <c r="B26" s="27">
        <f t="shared" ref="B26:H26" si="5">SUM(B21:B25)</f>
        <v>8368.7817569759991</v>
      </c>
      <c r="C26" s="27">
        <f t="shared" si="5"/>
        <v>6976.4828541661736</v>
      </c>
      <c r="D26" s="27">
        <f t="shared" si="5"/>
        <v>605.95405888219591</v>
      </c>
      <c r="E26" s="27">
        <f t="shared" si="5"/>
        <v>3228.4677758332059</v>
      </c>
      <c r="F26" s="27">
        <f t="shared" si="5"/>
        <v>271.84901427793108</v>
      </c>
      <c r="G26" s="27">
        <f t="shared" si="5"/>
        <v>4301.7868434021093</v>
      </c>
      <c r="H26" s="27">
        <f t="shared" si="5"/>
        <v>7088.7241608880622</v>
      </c>
      <c r="I26" s="28">
        <f>SUM(I21:I25)</f>
        <v>30842.046464425672</v>
      </c>
      <c r="K26" s="27">
        <v>7880.5624189297687</v>
      </c>
      <c r="L26" s="27">
        <v>7628.0482377290373</v>
      </c>
      <c r="M26" s="22">
        <f>SUM(K26:L26)</f>
        <v>15508.610656658806</v>
      </c>
      <c r="N26" s="25">
        <f>M26*$I$66</f>
        <v>0</v>
      </c>
      <c r="O26" s="37">
        <f t="shared" si="1"/>
        <v>30842.046464425672</v>
      </c>
      <c r="P26">
        <f t="shared" si="2"/>
        <v>0.49754365777387549</v>
      </c>
      <c r="R26">
        <f t="shared" si="3"/>
        <v>1.964701206131458E-2</v>
      </c>
      <c r="V26" s="34">
        <f>I26+M26-I23-K23-L23</f>
        <v>46350.657121084478</v>
      </c>
    </row>
    <row r="27" spans="1:22">
      <c r="O27" s="37"/>
    </row>
    <row r="28" spans="1:22" s="31" customFormat="1" ht="21.75" customHeight="1">
      <c r="A28" s="99" t="s">
        <v>423</v>
      </c>
      <c r="B28" s="320" t="s">
        <v>404</v>
      </c>
      <c r="C28" s="321"/>
      <c r="D28" s="321"/>
      <c r="E28" s="321"/>
      <c r="F28" s="321"/>
      <c r="G28" s="321"/>
      <c r="H28" s="321"/>
      <c r="I28" s="33" t="s">
        <v>330</v>
      </c>
      <c r="K28" s="322"/>
      <c r="L28" s="322"/>
      <c r="O28" s="37"/>
      <c r="P28"/>
      <c r="Q28"/>
      <c r="R28"/>
    </row>
    <row r="29" spans="1:22">
      <c r="A29" s="4" t="s">
        <v>334</v>
      </c>
      <c r="B29" s="4" t="s">
        <v>412</v>
      </c>
      <c r="C29" s="4" t="s">
        <v>413</v>
      </c>
      <c r="D29" s="4" t="s">
        <v>414</v>
      </c>
      <c r="E29" s="4" t="s">
        <v>415</v>
      </c>
      <c r="F29" s="4" t="s">
        <v>416</v>
      </c>
      <c r="G29" s="4" t="s">
        <v>417</v>
      </c>
      <c r="H29" s="4" t="s">
        <v>418</v>
      </c>
      <c r="I29" s="4"/>
      <c r="K29" s="4" t="s">
        <v>419</v>
      </c>
      <c r="L29" s="4" t="s">
        <v>420</v>
      </c>
      <c r="O29" s="37"/>
    </row>
    <row r="30" spans="1:22">
      <c r="A30" s="24" t="s">
        <v>338</v>
      </c>
      <c r="B30" s="30">
        <v>28583.229407553707</v>
      </c>
      <c r="C30" s="30">
        <v>26087.842686889766</v>
      </c>
      <c r="D30" s="30">
        <v>26821.403096430255</v>
      </c>
      <c r="E30" s="30">
        <v>12486.543565016736</v>
      </c>
      <c r="F30" s="30">
        <v>9478.6255538441565</v>
      </c>
      <c r="G30" s="30">
        <v>14844.187501356479</v>
      </c>
      <c r="H30" s="30">
        <v>18085.947913823627</v>
      </c>
      <c r="I30" s="29">
        <f>SUM(B30:H30)</f>
        <v>136387.77972491473</v>
      </c>
      <c r="K30" s="24">
        <v>31062.599525389251</v>
      </c>
      <c r="L30" s="24">
        <v>31062.599525389251</v>
      </c>
      <c r="O30" s="37"/>
    </row>
    <row r="31" spans="1:22">
      <c r="A31" s="24" t="s">
        <v>340</v>
      </c>
      <c r="B31" s="30">
        <v>15396.885758891784</v>
      </c>
      <c r="C31" s="30">
        <v>8437.0031724467754</v>
      </c>
      <c r="D31" s="30">
        <v>11694.408831533641</v>
      </c>
      <c r="E31" s="30">
        <v>5444.0601510283477</v>
      </c>
      <c r="F31" s="30">
        <v>4131.4224250398775</v>
      </c>
      <c r="G31" s="30">
        <v>6469.6591605230242</v>
      </c>
      <c r="H31" s="30">
        <v>7885.5018182845442</v>
      </c>
      <c r="I31" s="29">
        <f>SUM(B31:H31)</f>
        <v>59458.941317747995</v>
      </c>
      <c r="K31" s="24">
        <v>13542.422141094803</v>
      </c>
      <c r="L31" s="24">
        <v>13542.422141094803</v>
      </c>
      <c r="O31" s="37"/>
    </row>
    <row r="32" spans="1:22">
      <c r="A32" s="24" t="s">
        <v>342</v>
      </c>
      <c r="B32" s="30">
        <v>3129.091554897373</v>
      </c>
      <c r="C32" s="30">
        <v>1620.7392930848398</v>
      </c>
      <c r="D32" s="30">
        <v>2330.552122173091</v>
      </c>
      <c r="E32" s="30">
        <v>1085.4221178141172</v>
      </c>
      <c r="F32" s="30">
        <v>822.19986036055752</v>
      </c>
      <c r="G32" s="30">
        <v>1289.4933061769896</v>
      </c>
      <c r="H32" s="30">
        <v>1570.4608843577555</v>
      </c>
      <c r="I32" s="29">
        <f>SUM(B32:H32)</f>
        <v>11847.959138864724</v>
      </c>
      <c r="K32" s="24">
        <v>2700.2463039898885</v>
      </c>
      <c r="L32" s="24">
        <v>2700.2463039898885</v>
      </c>
      <c r="O32" s="37"/>
    </row>
    <row r="33" spans="1:22">
      <c r="A33" s="24" t="s">
        <v>343</v>
      </c>
      <c r="B33" s="30">
        <v>15197.097898129352</v>
      </c>
      <c r="C33" s="30">
        <v>2848.5258334722807</v>
      </c>
      <c r="D33" s="30">
        <v>8853.8135047851101</v>
      </c>
      <c r="E33" s="30">
        <v>4121.8593963453368</v>
      </c>
      <c r="F33" s="30">
        <v>3129.1268857247737</v>
      </c>
      <c r="G33" s="30">
        <v>4899.8895866817957</v>
      </c>
      <c r="H33" s="30">
        <v>5969.1496570075851</v>
      </c>
      <c r="I33" s="29">
        <f>SUM(B33:H33)</f>
        <v>45019.462762146235</v>
      </c>
      <c r="K33" s="24">
        <v>10252.567234952843</v>
      </c>
      <c r="L33" s="24">
        <v>10252.567234952843</v>
      </c>
      <c r="O33" s="37"/>
    </row>
    <row r="34" spans="1:22">
      <c r="A34" s="24" t="s">
        <v>344</v>
      </c>
      <c r="B34" s="30">
        <v>41448.892062744941</v>
      </c>
      <c r="C34" s="30">
        <v>45124.374379427027</v>
      </c>
      <c r="D34" s="30">
        <v>42477.367832076605</v>
      </c>
      <c r="E34" s="30">
        <v>19775.083782758618</v>
      </c>
      <c r="F34" s="30">
        <v>15008.494159509915</v>
      </c>
      <c r="G34" s="30">
        <v>23506.604843282501</v>
      </c>
      <c r="H34" s="30">
        <v>28642.390896547702</v>
      </c>
      <c r="I34" s="29">
        <f>SUM(B34:H34)</f>
        <v>215983.20795634729</v>
      </c>
      <c r="K34" s="24">
        <v>49192.127903001645</v>
      </c>
      <c r="L34" s="24">
        <v>49192.127903001645</v>
      </c>
      <c r="O34" s="37"/>
    </row>
    <row r="35" spans="1:22">
      <c r="A35" s="29" t="s">
        <v>330</v>
      </c>
      <c r="B35" s="27">
        <f t="shared" ref="B35:I35" si="6">SUM(B30:B34)</f>
        <v>103755.19668221715</v>
      </c>
      <c r="C35" s="27">
        <f t="shared" si="6"/>
        <v>84118.485365320696</v>
      </c>
      <c r="D35" s="27">
        <f t="shared" si="6"/>
        <v>92177.545386998696</v>
      </c>
      <c r="E35" s="27">
        <f t="shared" si="6"/>
        <v>42912.969012963149</v>
      </c>
      <c r="F35" s="27">
        <f t="shared" si="6"/>
        <v>32569.868884479281</v>
      </c>
      <c r="G35" s="27">
        <f t="shared" si="6"/>
        <v>51009.834398020786</v>
      </c>
      <c r="H35" s="27">
        <f t="shared" si="6"/>
        <v>62153.451170021217</v>
      </c>
      <c r="I35" s="28">
        <f t="shared" si="6"/>
        <v>468697.35090002097</v>
      </c>
      <c r="K35" s="27">
        <v>106749.96310842843</v>
      </c>
      <c r="L35" s="27">
        <v>106749.96310842843</v>
      </c>
      <c r="M35" s="22">
        <f>SUM(K35:L35)</f>
        <v>213499.92621685687</v>
      </c>
      <c r="N35" s="25">
        <f>M35*$I$66</f>
        <v>0</v>
      </c>
      <c r="O35" s="37">
        <f>I35-I32</f>
        <v>456849.39176115626</v>
      </c>
      <c r="P35" s="59">
        <f>(SUM(B35:C35))/O35</f>
        <v>0.41123767577600145</v>
      </c>
      <c r="Q35" s="59"/>
      <c r="R35" s="59">
        <f>D35/O35</f>
        <v>0.20176790655593058</v>
      </c>
      <c r="V35" s="34">
        <f>I35+M35-I32-K32-L32</f>
        <v>664948.82537003327</v>
      </c>
    </row>
    <row r="37" spans="1:22" s="31" customFormat="1" ht="21.75" customHeight="1">
      <c r="A37" s="99" t="s">
        <v>424</v>
      </c>
      <c r="B37" s="320" t="s">
        <v>404</v>
      </c>
      <c r="C37" s="321"/>
      <c r="D37" s="321"/>
      <c r="E37" s="321"/>
      <c r="F37" s="321"/>
      <c r="G37" s="321"/>
      <c r="H37" s="321"/>
      <c r="I37" s="33" t="s">
        <v>330</v>
      </c>
      <c r="K37" s="322"/>
      <c r="L37" s="322"/>
      <c r="O37" s="37"/>
      <c r="P37"/>
      <c r="Q37"/>
      <c r="R37"/>
    </row>
    <row r="38" spans="1:22">
      <c r="A38" s="4" t="s">
        <v>334</v>
      </c>
      <c r="B38" s="4" t="s">
        <v>412</v>
      </c>
      <c r="C38" s="4" t="s">
        <v>413</v>
      </c>
      <c r="D38" s="4" t="s">
        <v>414</v>
      </c>
      <c r="E38" s="4" t="s">
        <v>415</v>
      </c>
      <c r="F38" s="4" t="s">
        <v>416</v>
      </c>
      <c r="G38" s="4" t="s">
        <v>417</v>
      </c>
      <c r="H38" s="4" t="s">
        <v>418</v>
      </c>
      <c r="I38" s="4"/>
      <c r="K38" s="4" t="s">
        <v>419</v>
      </c>
      <c r="L38" s="4" t="s">
        <v>420</v>
      </c>
      <c r="O38" s="37"/>
    </row>
    <row r="39" spans="1:22">
      <c r="A39" s="24" t="s">
        <v>338</v>
      </c>
      <c r="B39" s="30">
        <v>101759.88440992474</v>
      </c>
      <c r="C39" s="30">
        <v>92873.873160731207</v>
      </c>
      <c r="D39" s="30">
        <v>15218.976007540921</v>
      </c>
      <c r="E39" s="30">
        <v>88571.813641024317</v>
      </c>
      <c r="F39" s="30">
        <v>5378.3752297750389</v>
      </c>
      <c r="G39" s="30">
        <v>109691.30613054596</v>
      </c>
      <c r="H39" s="30">
        <v>193573.45846341617</v>
      </c>
      <c r="I39" s="29">
        <f>SUM(B39:H39)</f>
        <v>607067.68704295834</v>
      </c>
      <c r="K39" s="24">
        <v>225334.38187212349</v>
      </c>
      <c r="L39" s="24">
        <v>225334.38187212349</v>
      </c>
      <c r="O39" s="37"/>
    </row>
    <row r="40" spans="1:22">
      <c r="A40" s="24" t="s">
        <v>340</v>
      </c>
      <c r="B40" s="30">
        <v>83131.572543191156</v>
      </c>
      <c r="C40" s="30">
        <v>45545.626453093784</v>
      </c>
      <c r="D40" s="30">
        <v>10062.480847872299</v>
      </c>
      <c r="E40" s="30">
        <v>58555.898164733808</v>
      </c>
      <c r="F40" s="30">
        <v>3554.1198379343832</v>
      </c>
      <c r="G40" s="30">
        <v>72517.59034115664</v>
      </c>
      <c r="H40" s="30">
        <v>127974.11539858105</v>
      </c>
      <c r="I40" s="29">
        <f>SUM(B40:H40)</f>
        <v>401341.40358656307</v>
      </c>
      <c r="K40" s="24">
        <v>148973.09386027869</v>
      </c>
      <c r="L40" s="24">
        <v>148973.09386027869</v>
      </c>
      <c r="O40" s="37"/>
    </row>
    <row r="41" spans="1:22">
      <c r="A41" s="24" t="s">
        <v>342</v>
      </c>
      <c r="B41" s="30">
        <v>12658.328785407144</v>
      </c>
      <c r="C41" s="30">
        <v>6559.8535621572537</v>
      </c>
      <c r="D41" s="30">
        <v>1502.4371549034647</v>
      </c>
      <c r="E41" s="30">
        <v>8745.4855650581594</v>
      </c>
      <c r="F41" s="30">
        <v>532.35962181618834</v>
      </c>
      <c r="G41" s="30">
        <v>10830.560750504897</v>
      </c>
      <c r="H41" s="30">
        <v>19114.667976655695</v>
      </c>
      <c r="I41" s="29">
        <f>SUM(B41:H41)</f>
        <v>59943.693416502807</v>
      </c>
      <c r="K41" s="24">
        <v>22249.674638462136</v>
      </c>
      <c r="L41" s="24">
        <v>22249.674638462136</v>
      </c>
      <c r="O41" s="37"/>
    </row>
    <row r="42" spans="1:22">
      <c r="A42" s="24" t="s">
        <v>343</v>
      </c>
      <c r="B42" s="30">
        <v>52946.442488279165</v>
      </c>
      <c r="C42" s="30">
        <v>9925.1993406582678</v>
      </c>
      <c r="D42" s="30">
        <v>4916.8957110607344</v>
      </c>
      <c r="E42" s="30">
        <v>28610.678502017483</v>
      </c>
      <c r="F42" s="30">
        <v>1736.7504521991441</v>
      </c>
      <c r="G42" s="30">
        <v>35432.260143519379</v>
      </c>
      <c r="H42" s="30">
        <v>62527.267810263918</v>
      </c>
      <c r="I42" s="29">
        <f>SUM(B42:H42)</f>
        <v>196095.49444799812</v>
      </c>
      <c r="K42" s="24">
        <v>72786.21234185886</v>
      </c>
      <c r="L42" s="24">
        <v>72786.21234185886</v>
      </c>
      <c r="O42" s="37"/>
    </row>
    <row r="43" spans="1:22">
      <c r="A43" s="24" t="s">
        <v>344</v>
      </c>
      <c r="B43" s="30">
        <v>128111.16121572447</v>
      </c>
      <c r="C43" s="30">
        <v>139473.84062882146</v>
      </c>
      <c r="D43" s="30">
        <v>20925.526229863597</v>
      </c>
      <c r="E43" s="30">
        <v>121772.19036820906</v>
      </c>
      <c r="F43" s="30">
        <v>7393.8177904196673</v>
      </c>
      <c r="G43" s="30">
        <v>150806.8524716493</v>
      </c>
      <c r="H43" s="30">
        <v>266131.29090135597</v>
      </c>
      <c r="I43" s="29">
        <f>SUM(B43:H43)</f>
        <v>834614.6796060435</v>
      </c>
      <c r="K43" s="24">
        <v>309795.36154419987</v>
      </c>
      <c r="L43" s="24">
        <v>309795.36154419987</v>
      </c>
      <c r="O43" s="37"/>
    </row>
    <row r="44" spans="1:22">
      <c r="A44" s="29" t="s">
        <v>330</v>
      </c>
      <c r="B44" s="10">
        <f t="shared" ref="B44:I44" si="7">SUM(B39:B43)</f>
        <v>378607.38944252668</v>
      </c>
      <c r="C44" s="10">
        <f t="shared" si="7"/>
        <v>294378.39314546197</v>
      </c>
      <c r="D44" s="10">
        <f t="shared" si="7"/>
        <v>52626.31595124102</v>
      </c>
      <c r="E44" s="10">
        <f t="shared" si="7"/>
        <v>306256.0662410428</v>
      </c>
      <c r="F44" s="10">
        <f t="shared" si="7"/>
        <v>18595.422932144422</v>
      </c>
      <c r="G44" s="10">
        <f t="shared" si="7"/>
        <v>379278.56983737618</v>
      </c>
      <c r="H44" s="10">
        <f t="shared" si="7"/>
        <v>669320.8005502728</v>
      </c>
      <c r="I44" s="28">
        <f t="shared" si="7"/>
        <v>2099062.9581000656</v>
      </c>
      <c r="K44" s="10">
        <v>779138.72425692307</v>
      </c>
      <c r="L44" s="10">
        <v>779138.72425692307</v>
      </c>
      <c r="M44" s="22">
        <f>SUM(K44:L44)</f>
        <v>1558277.4485138461</v>
      </c>
      <c r="N44" s="25">
        <f>M44*$I$66</f>
        <v>0</v>
      </c>
      <c r="O44" s="37">
        <f>I44-I41</f>
        <v>2039119.2646835628</v>
      </c>
      <c r="P44" s="59">
        <f t="shared" ref="P44:P62" si="8">(SUM(B44:C44))/O44</f>
        <v>0.33003747953527612</v>
      </c>
      <c r="Q44" s="59"/>
      <c r="R44" s="59">
        <f t="shared" ref="R44:R62" si="9">D44/O44</f>
        <v>2.5808356020513467E-2</v>
      </c>
      <c r="V44" s="34">
        <f>I44+M44-I41-K41-L41</f>
        <v>3552897.3639204842</v>
      </c>
    </row>
    <row r="45" spans="1:22" s="104" customFormat="1">
      <c r="A45" s="100" t="s">
        <v>425</v>
      </c>
      <c r="B45" s="103">
        <f>B35+B44</f>
        <v>482362.5861247438</v>
      </c>
      <c r="C45" s="103">
        <f>C35+C44</f>
        <v>378496.87851078267</v>
      </c>
      <c r="D45" s="103">
        <f>D35+D44</f>
        <v>144803.86133823972</v>
      </c>
      <c r="E45" s="103">
        <f t="shared" ref="E45:H45" si="10">E35+E44</f>
        <v>349169.03525400592</v>
      </c>
      <c r="F45" s="103">
        <f t="shared" si="10"/>
        <v>51165.291816623707</v>
      </c>
      <c r="G45" s="103">
        <f t="shared" si="10"/>
        <v>430288.404235397</v>
      </c>
      <c r="H45" s="103">
        <f t="shared" si="10"/>
        <v>731474.25172029401</v>
      </c>
      <c r="I45" s="103">
        <f>I35+I44</f>
        <v>2567760.3090000865</v>
      </c>
      <c r="J45" s="103">
        <f t="shared" ref="J45:L45" si="11">J35+J44</f>
        <v>0</v>
      </c>
      <c r="K45" s="103">
        <f t="shared" si="11"/>
        <v>885888.68736535148</v>
      </c>
      <c r="L45" s="103">
        <f t="shared" si="11"/>
        <v>885888.68736535148</v>
      </c>
      <c r="O45" s="105">
        <f>I45-(I41+I32)</f>
        <v>2495968.6564447191</v>
      </c>
      <c r="P45" s="102">
        <f t="shared" si="8"/>
        <v>0.344899949930358</v>
      </c>
      <c r="Q45" s="102"/>
      <c r="R45" s="102">
        <f>D45/O45</f>
        <v>5.8015096048721897E-2</v>
      </c>
      <c r="V45" s="188">
        <f t="shared" ref="V45" si="12">V35+V44</f>
        <v>4217846.1892905179</v>
      </c>
    </row>
    <row r="46" spans="1:22" s="31" customFormat="1" ht="21.75" customHeight="1">
      <c r="A46" s="32" t="s">
        <v>426</v>
      </c>
      <c r="B46" s="320" t="s">
        <v>404</v>
      </c>
      <c r="C46" s="321"/>
      <c r="D46" s="321"/>
      <c r="E46" s="321"/>
      <c r="F46" s="321"/>
      <c r="G46" s="321"/>
      <c r="H46" s="321"/>
      <c r="I46" s="33" t="s">
        <v>330</v>
      </c>
      <c r="K46" s="322"/>
      <c r="L46" s="322"/>
      <c r="O46" s="37"/>
      <c r="P46"/>
      <c r="Q46"/>
      <c r="R46"/>
    </row>
    <row r="47" spans="1:22">
      <c r="A47" s="4" t="s">
        <v>334</v>
      </c>
      <c r="B47" s="4" t="s">
        <v>412</v>
      </c>
      <c r="C47" s="4" t="s">
        <v>413</v>
      </c>
      <c r="D47" s="4" t="s">
        <v>414</v>
      </c>
      <c r="E47" s="4" t="s">
        <v>415</v>
      </c>
      <c r="F47" s="4" t="s">
        <v>416</v>
      </c>
      <c r="G47" s="4" t="s">
        <v>417</v>
      </c>
      <c r="H47" s="4" t="s">
        <v>418</v>
      </c>
      <c r="I47" s="4"/>
      <c r="K47" s="4" t="s">
        <v>419</v>
      </c>
      <c r="L47" s="4" t="s">
        <v>420</v>
      </c>
      <c r="O47" s="37"/>
    </row>
    <row r="48" spans="1:22">
      <c r="A48" s="24" t="s">
        <v>338</v>
      </c>
      <c r="B48" s="30">
        <v>102768.93038811363</v>
      </c>
      <c r="C48" s="30">
        <v>93796.42948364676</v>
      </c>
      <c r="D48" s="30">
        <v>8834.7581201426783</v>
      </c>
      <c r="E48" s="30">
        <v>109470.2770115141</v>
      </c>
      <c r="F48" s="30">
        <v>2950.2582409903575</v>
      </c>
      <c r="G48" s="30">
        <v>96881.227188395627</v>
      </c>
      <c r="H48" s="30">
        <v>202869.49474501662</v>
      </c>
      <c r="I48" s="29">
        <f>SUM(B48:H48)</f>
        <v>617571.37517781975</v>
      </c>
      <c r="K48" s="24">
        <v>246819.05290613248</v>
      </c>
      <c r="L48" s="24">
        <v>246819.05290613248</v>
      </c>
      <c r="O48" s="37"/>
    </row>
    <row r="49" spans="1:22">
      <c r="A49" s="24" t="s">
        <v>340</v>
      </c>
      <c r="B49" s="30">
        <v>35041.299491068123</v>
      </c>
      <c r="C49" s="30">
        <v>19199.342463905068</v>
      </c>
      <c r="D49" s="30">
        <v>2438.2165131382881</v>
      </c>
      <c r="E49" s="30">
        <v>30206.793468324344</v>
      </c>
      <c r="F49" s="30">
        <v>812.7388377127628</v>
      </c>
      <c r="G49" s="30">
        <v>26733.302483337662</v>
      </c>
      <c r="H49" s="30">
        <v>55979.000024525485</v>
      </c>
      <c r="I49" s="29">
        <f>SUM(B49:H49)</f>
        <v>170410.69328201172</v>
      </c>
      <c r="K49" s="24">
        <v>68105.579507858783</v>
      </c>
      <c r="L49" s="24">
        <v>68105.579507858783</v>
      </c>
      <c r="O49" s="37"/>
    </row>
    <row r="50" spans="1:22">
      <c r="A50" s="24" t="s">
        <v>342</v>
      </c>
      <c r="B50" s="30">
        <v>522608.5680765885</v>
      </c>
      <c r="C50" s="30">
        <v>270855.70291971299</v>
      </c>
      <c r="D50" s="30">
        <v>35662.179554775546</v>
      </c>
      <c r="E50" s="30">
        <v>441891.01919543615</v>
      </c>
      <c r="F50" s="30">
        <v>11910.067761409948</v>
      </c>
      <c r="G50" s="30">
        <v>391074.33573962649</v>
      </c>
      <c r="H50" s="30">
        <v>818905.14581220632</v>
      </c>
      <c r="I50" s="29">
        <f>SUM(B50:H50)</f>
        <v>2492907.0190597563</v>
      </c>
      <c r="K50" s="24">
        <v>996305.11712208739</v>
      </c>
      <c r="L50" s="24">
        <v>996305.11712208739</v>
      </c>
      <c r="O50" s="37"/>
    </row>
    <row r="51" spans="1:22">
      <c r="A51" s="24" t="s">
        <v>343</v>
      </c>
      <c r="B51" s="30">
        <v>40249.244873853851</v>
      </c>
      <c r="C51" s="30">
        <v>7544.3419276068089</v>
      </c>
      <c r="D51" s="30">
        <v>2147.0232028410474</v>
      </c>
      <c r="E51" s="30">
        <v>26616.710418586881</v>
      </c>
      <c r="F51" s="30">
        <v>716.38298946280486</v>
      </c>
      <c r="G51" s="30">
        <v>23555.608030377869</v>
      </c>
      <c r="H51" s="30">
        <v>49324.137995565172</v>
      </c>
      <c r="I51" s="29">
        <f>SUM(B51:H51)</f>
        <v>150153.44943829442</v>
      </c>
      <c r="K51" s="24">
        <v>60010.361402180963</v>
      </c>
      <c r="L51" s="24">
        <v>60010.361402180963</v>
      </c>
      <c r="O51" s="37"/>
    </row>
    <row r="52" spans="1:22">
      <c r="A52" s="24" t="s">
        <v>344</v>
      </c>
      <c r="B52" s="30">
        <v>86296.36911965959</v>
      </c>
      <c r="C52" s="30">
        <v>93950.60224910875</v>
      </c>
      <c r="D52" s="30">
        <v>8102.5430801834782</v>
      </c>
      <c r="E52" s="30">
        <v>100381.87220412826</v>
      </c>
      <c r="F52" s="30">
        <v>2706.3416878887856</v>
      </c>
      <c r="G52" s="30">
        <v>88837.890972719586</v>
      </c>
      <c r="H52" s="30">
        <v>186022.25838116926</v>
      </c>
      <c r="I52" s="29">
        <f>SUM(B52:H52)</f>
        <v>566297.87769485766</v>
      </c>
      <c r="K52" s="24">
        <v>226324.00439350578</v>
      </c>
      <c r="L52" s="24">
        <v>226324.00439350578</v>
      </c>
      <c r="O52" s="37"/>
    </row>
    <row r="53" spans="1:22">
      <c r="A53" s="29" t="s">
        <v>330</v>
      </c>
      <c r="B53" s="10">
        <f t="shared" ref="B53:I53" si="13">SUM(B48:B52)</f>
        <v>786964.41194928368</v>
      </c>
      <c r="C53" s="10">
        <f t="shared" si="13"/>
        <v>485346.41904398031</v>
      </c>
      <c r="D53" s="10">
        <f t="shared" si="13"/>
        <v>57184.72047108104</v>
      </c>
      <c r="E53" s="10">
        <f t="shared" si="13"/>
        <v>708566.67229798972</v>
      </c>
      <c r="F53" s="10">
        <f t="shared" si="13"/>
        <v>19095.789517464655</v>
      </c>
      <c r="G53" s="10">
        <f t="shared" si="13"/>
        <v>627082.36441445723</v>
      </c>
      <c r="H53" s="10">
        <f t="shared" si="13"/>
        <v>1313100.0369584828</v>
      </c>
      <c r="I53" s="28">
        <f t="shared" si="13"/>
        <v>3997340.4146527401</v>
      </c>
      <c r="K53" s="10">
        <v>1597564.1153317655</v>
      </c>
      <c r="L53" s="10">
        <v>1597564.1153317655</v>
      </c>
      <c r="M53" s="22">
        <f>SUM(K53:L53)</f>
        <v>3195128.230663531</v>
      </c>
      <c r="N53" s="25">
        <f>M53*$I$66</f>
        <v>0</v>
      </c>
      <c r="O53" s="37">
        <f>I53-I50</f>
        <v>1504433.3955929838</v>
      </c>
      <c r="P53">
        <f t="shared" si="8"/>
        <v>0.8457076496176642</v>
      </c>
      <c r="R53">
        <f t="shared" si="9"/>
        <v>3.8010802364927064E-2</v>
      </c>
      <c r="V53" s="34">
        <f>I53+M53-I50-K50-L50</f>
        <v>2706951.3920123391</v>
      </c>
    </row>
    <row r="54" spans="1:22">
      <c r="O54" s="37"/>
    </row>
    <row r="55" spans="1:22" s="31" customFormat="1" ht="21.75" customHeight="1">
      <c r="A55" s="32" t="s">
        <v>427</v>
      </c>
      <c r="B55" s="320" t="s">
        <v>404</v>
      </c>
      <c r="C55" s="321"/>
      <c r="D55" s="321"/>
      <c r="E55" s="321"/>
      <c r="F55" s="321"/>
      <c r="G55" s="321"/>
      <c r="H55" s="321"/>
      <c r="I55" s="33" t="s">
        <v>330</v>
      </c>
      <c r="K55" s="322"/>
      <c r="L55" s="322"/>
      <c r="O55" s="37"/>
      <c r="P55"/>
      <c r="Q55"/>
      <c r="R55"/>
    </row>
    <row r="56" spans="1:22">
      <c r="A56" s="4" t="s">
        <v>334</v>
      </c>
      <c r="B56" s="4" t="s">
        <v>412</v>
      </c>
      <c r="C56" s="4" t="s">
        <v>413</v>
      </c>
      <c r="D56" s="4" t="s">
        <v>414</v>
      </c>
      <c r="E56" s="4" t="s">
        <v>415</v>
      </c>
      <c r="F56" s="4" t="s">
        <v>416</v>
      </c>
      <c r="G56" s="4" t="s">
        <v>417</v>
      </c>
      <c r="H56" s="4" t="s">
        <v>418</v>
      </c>
      <c r="I56" s="4"/>
      <c r="K56" s="4" t="s">
        <v>419</v>
      </c>
      <c r="L56" s="4" t="s">
        <v>420</v>
      </c>
      <c r="O56" s="37"/>
    </row>
    <row r="57" spans="1:22">
      <c r="A57" s="24" t="s">
        <v>338</v>
      </c>
      <c r="B57" s="30">
        <v>416716.76906861493</v>
      </c>
      <c r="C57" s="30">
        <v>380333.4540836332</v>
      </c>
      <c r="D57" s="30">
        <v>49824.448078571142</v>
      </c>
      <c r="E57" s="30">
        <v>201050.00866371096</v>
      </c>
      <c r="F57" s="30">
        <v>16263.258511952276</v>
      </c>
      <c r="G57" s="30">
        <v>204214.88938260183</v>
      </c>
      <c r="H57" s="30">
        <v>393422.2219149975</v>
      </c>
      <c r="I57" s="29">
        <f>SUM(B57:H57)</f>
        <v>1661825.0497040821</v>
      </c>
      <c r="K57" s="24">
        <v>476449.08765683154</v>
      </c>
      <c r="L57" s="24">
        <v>481862.69941282901</v>
      </c>
      <c r="O57" s="37"/>
    </row>
    <row r="58" spans="1:22">
      <c r="A58" s="24" t="s">
        <v>340</v>
      </c>
      <c r="B58" s="30">
        <v>784286.5280845802</v>
      </c>
      <c r="C58" s="30">
        <v>429690.50828297256</v>
      </c>
      <c r="D58" s="30">
        <v>75884.651240252366</v>
      </c>
      <c r="E58" s="30">
        <v>306218.70803299081</v>
      </c>
      <c r="F58" s="30">
        <v>24769.183625531819</v>
      </c>
      <c r="G58" s="30">
        <v>311037.08828514506</v>
      </c>
      <c r="H58" s="30">
        <v>599214.28418255958</v>
      </c>
      <c r="I58" s="29">
        <f>SUM(B58:H58)</f>
        <v>2531100.9517340325</v>
      </c>
      <c r="K58" s="24">
        <v>725672.57714572421</v>
      </c>
      <c r="L58" s="24">
        <v>733919.29622521438</v>
      </c>
      <c r="O58" s="37"/>
    </row>
    <row r="59" spans="1:22">
      <c r="A59" s="24" t="s">
        <v>342</v>
      </c>
      <c r="B59" s="30">
        <v>113575.96776102924</v>
      </c>
      <c r="C59" s="30">
        <v>58864.186405597757</v>
      </c>
      <c r="D59" s="30">
        <v>10780.282341777813</v>
      </c>
      <c r="E59" s="30">
        <v>43496.738655837122</v>
      </c>
      <c r="F59" s="30">
        <v>3519.4886108959117</v>
      </c>
      <c r="G59" s="30">
        <v>44182.891057289089</v>
      </c>
      <c r="H59" s="30">
        <v>85115.430868044918</v>
      </c>
      <c r="I59" s="29">
        <f>SUM(B59:H59)</f>
        <v>359534.98570047185</v>
      </c>
      <c r="K59" s="24">
        <v>103076.6529974322</v>
      </c>
      <c r="L59" s="24">
        <v>104250.80171888236</v>
      </c>
      <c r="O59" s="37"/>
    </row>
    <row r="60" spans="1:22">
      <c r="A60" s="24" t="s">
        <v>343</v>
      </c>
      <c r="B60" s="30">
        <v>693705.32260348974</v>
      </c>
      <c r="C60" s="30">
        <v>130028.82700136751</v>
      </c>
      <c r="D60" s="30">
        <v>51492.418853879892</v>
      </c>
      <c r="E60" s="30">
        <v>207782.95342742393</v>
      </c>
      <c r="F60" s="30">
        <v>16806.302417486455</v>
      </c>
      <c r="G60" s="30">
        <v>211052.38083927493</v>
      </c>
      <c r="H60" s="30">
        <v>406590.92471386277</v>
      </c>
      <c r="I60" s="29">
        <f>SUM(B60:H60)</f>
        <v>1717459.1298567853</v>
      </c>
      <c r="K60" s="24">
        <v>492397.45103334682</v>
      </c>
      <c r="L60" s="24">
        <v>497992.46595401777</v>
      </c>
      <c r="O60" s="37"/>
    </row>
    <row r="61" spans="1:22">
      <c r="A61" s="24" t="s">
        <v>344</v>
      </c>
      <c r="B61" s="30">
        <v>361199.37163060391</v>
      </c>
      <c r="C61" s="30">
        <v>393237.05112462473</v>
      </c>
      <c r="D61" s="30">
        <v>47158.251141214336</v>
      </c>
      <c r="E61" s="30">
        <v>190300.9812933247</v>
      </c>
      <c r="F61" s="30">
        <v>15394.172573009293</v>
      </c>
      <c r="G61" s="30">
        <v>193297.40589051219</v>
      </c>
      <c r="H61" s="30">
        <v>372387.34201878239</v>
      </c>
      <c r="I61" s="29">
        <f>SUM(B61:H61)</f>
        <v>1572974.5756720714</v>
      </c>
      <c r="K61" s="24">
        <v>450973.43926515104</v>
      </c>
      <c r="L61" s="24">
        <v>456099.3361283266</v>
      </c>
      <c r="O61" s="37"/>
    </row>
    <row r="62" spans="1:22">
      <c r="A62" s="29" t="s">
        <v>330</v>
      </c>
      <c r="B62" s="27">
        <f t="shared" ref="B62:I62" si="14">SUM(B57:B61)</f>
        <v>2369483.959148318</v>
      </c>
      <c r="C62" s="27">
        <f t="shared" si="14"/>
        <v>1392154.0268981957</v>
      </c>
      <c r="D62" s="27">
        <f t="shared" si="14"/>
        <v>235140.05165569554</v>
      </c>
      <c r="E62" s="27">
        <f t="shared" si="14"/>
        <v>948849.39007328753</v>
      </c>
      <c r="F62" s="27">
        <f t="shared" si="14"/>
        <v>76752.40573887575</v>
      </c>
      <c r="G62" s="27">
        <f t="shared" si="14"/>
        <v>963784.65545482317</v>
      </c>
      <c r="H62" s="27">
        <f t="shared" si="14"/>
        <v>1856730.2036982472</v>
      </c>
      <c r="I62" s="28">
        <f t="shared" si="14"/>
        <v>7842894.6926674433</v>
      </c>
      <c r="K62" s="27">
        <v>2248569.2080984861</v>
      </c>
      <c r="L62" s="27">
        <v>2274124.5994392699</v>
      </c>
      <c r="M62" s="22">
        <f>SUM(K62:L62)</f>
        <v>4522693.8075377559</v>
      </c>
      <c r="N62" s="25">
        <f>M62*$I$66</f>
        <v>0</v>
      </c>
      <c r="O62" s="37">
        <f>I62-I59</f>
        <v>7483359.706966971</v>
      </c>
      <c r="P62">
        <f t="shared" si="8"/>
        <v>0.50266700163356404</v>
      </c>
      <c r="R62">
        <f t="shared" si="9"/>
        <v>3.1421722443300611E-2</v>
      </c>
      <c r="V62" s="34">
        <f>I62+M62-I59-K59-L59</f>
        <v>11798726.059788413</v>
      </c>
    </row>
    <row r="63" spans="1:22">
      <c r="M63" s="26">
        <f>SUM(M2:M62)</f>
        <v>9587907.7379141599</v>
      </c>
      <c r="N63" s="26">
        <f>SUM(N2:N62)</f>
        <v>0</v>
      </c>
      <c r="O63" s="37"/>
    </row>
    <row r="64" spans="1:22">
      <c r="I64" s="22">
        <f>SUM(I62,I53,I44,I35,I26,I17,I8)</f>
        <v>14641481.333333334</v>
      </c>
    </row>
    <row r="65" spans="1:10">
      <c r="I65" s="22"/>
    </row>
    <row r="66" spans="1:10">
      <c r="J66" s="22">
        <f>I64*I66</f>
        <v>0</v>
      </c>
    </row>
    <row r="67" spans="1:10">
      <c r="A67" s="4" t="s">
        <v>334</v>
      </c>
      <c r="B67" t="s">
        <v>401</v>
      </c>
      <c r="J67" s="25"/>
    </row>
    <row r="68" spans="1:10">
      <c r="A68" s="24" t="s">
        <v>338</v>
      </c>
      <c r="B68" s="22">
        <f>C3+C12+C21+C30+C39+C48+C57</f>
        <v>615748.68564594537</v>
      </c>
      <c r="C68" s="23"/>
    </row>
    <row r="69" spans="1:10">
      <c r="A69" s="24" t="s">
        <v>340</v>
      </c>
      <c r="B69" s="22">
        <f>C4+C13+C22+C31+C40+C49+C58</f>
        <v>511290.13258489862</v>
      </c>
      <c r="C69" s="23"/>
      <c r="J69" s="22"/>
    </row>
    <row r="70" spans="1:10">
      <c r="A70" s="24" t="s">
        <v>342</v>
      </c>
      <c r="B70" s="22">
        <f>C5+C14+C23+C32+C41+C50+C59</f>
        <v>337900.48218055285</v>
      </c>
      <c r="C70" s="23"/>
    </row>
    <row r="71" spans="1:10">
      <c r="A71" s="24" t="s">
        <v>343</v>
      </c>
      <c r="B71" s="22">
        <f>C6+C15+C24+C33+C42+C51+C60</f>
        <v>151431.03453153497</v>
      </c>
      <c r="C71" s="23"/>
      <c r="J71" s="25"/>
    </row>
    <row r="72" spans="1:10">
      <c r="A72" s="24" t="s">
        <v>344</v>
      </c>
      <c r="B72" s="22">
        <f>C7+C16+C25+C34+C43+C52+C61</f>
        <v>694082.69566710689</v>
      </c>
      <c r="C72" s="23"/>
    </row>
    <row r="73" spans="1:10">
      <c r="A73" s="7" t="s">
        <v>395</v>
      </c>
      <c r="B73" s="22">
        <f>SUM(B68:B72)</f>
        <v>2310453.0306100389</v>
      </c>
    </row>
    <row r="75" spans="1:10" ht="45">
      <c r="A75" s="4" t="s">
        <v>334</v>
      </c>
      <c r="B75" s="7" t="s">
        <v>330</v>
      </c>
      <c r="C75" s="21" t="s">
        <v>308</v>
      </c>
      <c r="D75" s="21" t="s">
        <v>310</v>
      </c>
      <c r="E75" s="21" t="s">
        <v>335</v>
      </c>
      <c r="F75" s="21" t="s">
        <v>322</v>
      </c>
      <c r="G75" s="21" t="s">
        <v>323</v>
      </c>
      <c r="H75" s="21" t="s">
        <v>314</v>
      </c>
      <c r="I75" s="21" t="s">
        <v>316</v>
      </c>
      <c r="J75" s="20" t="s">
        <v>428</v>
      </c>
    </row>
    <row r="76" spans="1:10">
      <c r="A76" s="8" t="s">
        <v>338</v>
      </c>
      <c r="B76" s="9">
        <f>SUM(I3+I12+I21+I30+I39+I48+I57)</f>
        <v>3114630.2291741008</v>
      </c>
      <c r="C76" s="8">
        <v>23410.968227999994</v>
      </c>
      <c r="D76" s="8">
        <v>45306.948373502099</v>
      </c>
      <c r="E76" s="8">
        <v>18267.902456835902</v>
      </c>
      <c r="F76" s="8">
        <v>129265.82730674792</v>
      </c>
      <c r="G76" s="8">
        <v>575367.5802559224</v>
      </c>
      <c r="H76" s="8">
        <v>585322.78254210576</v>
      </c>
      <c r="I76" s="8">
        <v>1575047.1950078511</v>
      </c>
      <c r="J76" s="19">
        <f>B76/$B$81</f>
        <v>0.21272644196753643</v>
      </c>
    </row>
    <row r="77" spans="1:10">
      <c r="A77" s="8" t="s">
        <v>340</v>
      </c>
      <c r="B77" s="9">
        <f>SUM(I4+I13+I22+I31+I40+I49+I58)</f>
        <v>3207502.8492263039</v>
      </c>
      <c r="C77" s="8">
        <v>16133.48257</v>
      </c>
      <c r="D77" s="8">
        <v>22519.01618965188</v>
      </c>
      <c r="E77" s="8">
        <v>4178.5659198118801</v>
      </c>
      <c r="F77" s="8">
        <v>56354.090195795041</v>
      </c>
      <c r="G77" s="8">
        <v>380383.99533819326</v>
      </c>
      <c r="H77" s="8">
        <v>161512.11855963431</v>
      </c>
      <c r="I77" s="8">
        <v>2398930.8952950719</v>
      </c>
      <c r="J77" s="19">
        <f>B77/$B$81</f>
        <v>0.21906955834612071</v>
      </c>
    </row>
    <row r="78" spans="1:10">
      <c r="A78" s="8" t="s">
        <v>342</v>
      </c>
      <c r="B78" s="9">
        <f>SUM(I5+I14+I23+I32+I41+I50+I59)</f>
        <v>2924233.6573155955</v>
      </c>
      <c r="C78" s="8">
        <v>0</v>
      </c>
      <c r="D78" s="8">
        <v>0</v>
      </c>
      <c r="E78" s="8">
        <v>0</v>
      </c>
      <c r="F78" s="8">
        <v>11229.277601489679</v>
      </c>
      <c r="G78" s="8">
        <v>56813.529312779036</v>
      </c>
      <c r="H78" s="8">
        <v>2362731.3888935703</v>
      </c>
      <c r="I78" s="8">
        <v>340760.64194335818</v>
      </c>
      <c r="J78" s="19">
        <f>B78/$B$81</f>
        <v>0.19972252743704139</v>
      </c>
    </row>
    <row r="79" spans="1:10">
      <c r="A79" s="8" t="s">
        <v>343</v>
      </c>
      <c r="B79" s="9">
        <f>SUM(I6+I15+I24+I33+I42+I51+I60)</f>
        <v>2121852.013098483</v>
      </c>
      <c r="C79" s="8">
        <v>4251.1467780000003</v>
      </c>
      <c r="D79" s="8">
        <v>6961.0008426761506</v>
      </c>
      <c r="E79" s="8">
        <v>1226.98972885377</v>
      </c>
      <c r="F79" s="8">
        <v>42668.618189926339</v>
      </c>
      <c r="G79" s="8">
        <v>185855.70035726391</v>
      </c>
      <c r="H79" s="8">
        <v>142312.67569390158</v>
      </c>
      <c r="I79" s="8">
        <v>1627776.1521907751</v>
      </c>
      <c r="J79" s="19">
        <f>B79/$B$81</f>
        <v>0.14492058315628195</v>
      </c>
    </row>
    <row r="80" spans="1:10">
      <c r="A80" s="8" t="s">
        <v>344</v>
      </c>
      <c r="B80" s="9">
        <f>SUM(I7+I16+I25+I34+I43+I52+I61)</f>
        <v>3273262.5845188489</v>
      </c>
      <c r="C80" s="8">
        <v>18014.506857</v>
      </c>
      <c r="D80" s="8">
        <v>55465.060858981786</v>
      </c>
      <c r="E80" s="8">
        <v>5558.0658631289698</v>
      </c>
      <c r="F80" s="8">
        <v>204704.90917261003</v>
      </c>
      <c r="G80" s="8">
        <v>791032.43163891172</v>
      </c>
      <c r="H80" s="8">
        <v>536726.705353859</v>
      </c>
      <c r="I80" s="8">
        <v>1490836.3510780674</v>
      </c>
      <c r="J80" s="19">
        <f>B80/$B$81</f>
        <v>0.22356088909301955</v>
      </c>
    </row>
    <row r="81" spans="1:9">
      <c r="A81" s="7" t="s">
        <v>395</v>
      </c>
      <c r="B81" s="10">
        <f t="shared" ref="B81:I81" si="15">SUM(B76:B80)</f>
        <v>14641481.333333332</v>
      </c>
      <c r="C81" s="8">
        <f t="shared" si="15"/>
        <v>61810.104432999993</v>
      </c>
      <c r="D81" s="8">
        <f t="shared" si="15"/>
        <v>130252.02626481191</v>
      </c>
      <c r="E81" s="8">
        <f t="shared" si="15"/>
        <v>29231.523968630521</v>
      </c>
      <c r="F81" s="8">
        <f t="shared" si="15"/>
        <v>444222.72246656904</v>
      </c>
      <c r="G81" s="8">
        <f t="shared" si="15"/>
        <v>1989453.2369030705</v>
      </c>
      <c r="H81" s="8">
        <f t="shared" si="15"/>
        <v>3788605.671043071</v>
      </c>
      <c r="I81" s="8">
        <f t="shared" si="15"/>
        <v>7433351.2355151232</v>
      </c>
    </row>
    <row r="82" spans="1:9">
      <c r="A82" s="7" t="s">
        <v>336</v>
      </c>
      <c r="B82" s="4"/>
      <c r="C82" s="11">
        <f t="shared" ref="C82:I82" si="16">C81/$B$81</f>
        <v>4.22157451324825E-3</v>
      </c>
      <c r="D82" s="11">
        <f t="shared" si="16"/>
        <v>8.8960961872263152E-3</v>
      </c>
      <c r="E82" s="11">
        <f t="shared" si="16"/>
        <v>1.9964867832109969E-3</v>
      </c>
      <c r="F82" s="11">
        <f t="shared" si="16"/>
        <v>3.0340012212783096E-2</v>
      </c>
      <c r="G82" s="11">
        <f t="shared" si="16"/>
        <v>0.13587786588053821</v>
      </c>
      <c r="H82" s="11">
        <f t="shared" si="16"/>
        <v>0.25875835817362225</v>
      </c>
      <c r="I82" s="11">
        <f t="shared" si="16"/>
        <v>0.50769120052027006</v>
      </c>
    </row>
  </sheetData>
  <mergeCells count="14">
    <mergeCell ref="B55:H55"/>
    <mergeCell ref="K55:L55"/>
    <mergeCell ref="B28:H28"/>
    <mergeCell ref="K28:L28"/>
    <mergeCell ref="B37:H37"/>
    <mergeCell ref="K37:L37"/>
    <mergeCell ref="B46:H46"/>
    <mergeCell ref="K46:L46"/>
    <mergeCell ref="B1:H1"/>
    <mergeCell ref="K1:L1"/>
    <mergeCell ref="B10:H10"/>
    <mergeCell ref="K10:L10"/>
    <mergeCell ref="B19:H19"/>
    <mergeCell ref="K19:L19"/>
  </mergeCell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B964-905C-4CB8-BB05-AE9E6F5044C0}">
  <dimension ref="A1:AD87"/>
  <sheetViews>
    <sheetView zoomScale="120" zoomScaleNormal="120" workbookViewId="0">
      <pane xSplit="1" ySplit="2" topLeftCell="B3" activePane="bottomRight" state="frozen"/>
      <selection pane="bottomRight" activeCell="AC42" sqref="AC42"/>
      <selection pane="bottomLeft" activeCell="A3" sqref="A3"/>
      <selection pane="topRight" activeCell="B1" sqref="B1"/>
    </sheetView>
  </sheetViews>
  <sheetFormatPr defaultColWidth="8.85546875" defaultRowHeight="15"/>
  <cols>
    <col min="1" max="1" width="42.140625" bestFit="1" customWidth="1"/>
    <col min="3" max="5" width="9.28515625" customWidth="1"/>
    <col min="6" max="6" width="10.7109375" bestFit="1" customWidth="1"/>
    <col min="7" max="7" width="10.28515625" customWidth="1"/>
    <col min="8" max="8" width="11.28515625" customWidth="1"/>
    <col min="9" max="9" width="12.85546875" customWidth="1"/>
    <col min="10" max="10" width="8.85546875" customWidth="1"/>
    <col min="11" max="12" width="9.28515625" customWidth="1"/>
    <col min="13" max="13" width="9.140625" customWidth="1"/>
    <col min="14" max="14" width="9.28515625" customWidth="1"/>
    <col min="15" max="15" width="9.140625" customWidth="1"/>
    <col min="16" max="16" width="10.140625" customWidth="1"/>
    <col min="17" max="17" width="11.140625" customWidth="1"/>
    <col min="18" max="18" width="13" customWidth="1"/>
    <col min="19" max="19" width="10.28515625" customWidth="1"/>
    <col min="20" max="22" width="8.85546875" customWidth="1"/>
  </cols>
  <sheetData>
    <row r="1" spans="1:30">
      <c r="W1" s="323" t="s">
        <v>429</v>
      </c>
      <c r="X1" s="323"/>
      <c r="Y1" s="323"/>
      <c r="Z1" s="323"/>
      <c r="AA1" s="323"/>
      <c r="AB1" s="323"/>
      <c r="AC1" s="323"/>
      <c r="AD1" s="323"/>
    </row>
    <row r="2" spans="1:30" ht="75">
      <c r="A2" t="s">
        <v>158</v>
      </c>
      <c r="B2" t="s">
        <v>159</v>
      </c>
      <c r="C2" s="36" t="s">
        <v>308</v>
      </c>
      <c r="D2" s="36" t="s">
        <v>310</v>
      </c>
      <c r="E2" s="36" t="s">
        <v>321</v>
      </c>
      <c r="F2" s="36" t="s">
        <v>322</v>
      </c>
      <c r="G2" s="36" t="s">
        <v>323</v>
      </c>
      <c r="H2" s="36" t="s">
        <v>314</v>
      </c>
      <c r="I2" s="36" t="s">
        <v>316</v>
      </c>
      <c r="L2" s="36" t="s">
        <v>308</v>
      </c>
      <c r="M2" s="36" t="s">
        <v>430</v>
      </c>
      <c r="N2" s="36" t="s">
        <v>431</v>
      </c>
      <c r="O2" s="36" t="s">
        <v>430</v>
      </c>
      <c r="P2" s="36" t="s">
        <v>432</v>
      </c>
      <c r="Q2" s="36" t="s">
        <v>430</v>
      </c>
      <c r="R2" s="36" t="s">
        <v>433</v>
      </c>
      <c r="S2" s="36" t="s">
        <v>430</v>
      </c>
      <c r="W2" s="36" t="s">
        <v>308</v>
      </c>
      <c r="X2" s="36" t="s">
        <v>430</v>
      </c>
      <c r="Y2" s="36" t="s">
        <v>431</v>
      </c>
      <c r="Z2" s="36" t="s">
        <v>430</v>
      </c>
      <c r="AA2" s="36" t="s">
        <v>432</v>
      </c>
      <c r="AB2" s="36" t="s">
        <v>430</v>
      </c>
      <c r="AC2" s="36" t="s">
        <v>433</v>
      </c>
      <c r="AD2" s="36" t="s">
        <v>430</v>
      </c>
    </row>
    <row r="3" spans="1:30">
      <c r="A3" t="s">
        <v>162</v>
      </c>
      <c r="B3" t="s">
        <v>163</v>
      </c>
      <c r="C3">
        <f>2.5*12</f>
        <v>30</v>
      </c>
      <c r="D3" s="23">
        <f>2.8*12</f>
        <v>33.599999999999994</v>
      </c>
      <c r="E3">
        <f>2.3*12</f>
        <v>27.599999999999998</v>
      </c>
      <c r="F3">
        <f>3.2*12</f>
        <v>38.400000000000006</v>
      </c>
      <c r="G3">
        <f>3.2*12</f>
        <v>38.400000000000006</v>
      </c>
      <c r="H3">
        <f>3.6*12</f>
        <v>43.2</v>
      </c>
      <c r="I3">
        <f>3.6*12</f>
        <v>43.2</v>
      </c>
      <c r="L3">
        <f>C3</f>
        <v>30</v>
      </c>
      <c r="M3">
        <f>L3</f>
        <v>30</v>
      </c>
      <c r="N3" s="23">
        <f t="shared" ref="N3:N13" si="0">AVERAGE(D3,E3)</f>
        <v>30.599999999999994</v>
      </c>
      <c r="O3" s="23">
        <f>N3*0.9</f>
        <v>27.539999999999996</v>
      </c>
      <c r="P3">
        <f t="shared" ref="P3:P13" si="1">AVERAGE(F3,G3)</f>
        <v>38.400000000000006</v>
      </c>
      <c r="Q3" s="48">
        <f>P3*0.8</f>
        <v>30.720000000000006</v>
      </c>
      <c r="R3">
        <f>AVERAGE(H3,I3)</f>
        <v>43.2</v>
      </c>
      <c r="S3">
        <f>R3*0.8</f>
        <v>34.56</v>
      </c>
      <c r="W3">
        <f>L3</f>
        <v>30</v>
      </c>
      <c r="X3">
        <f t="shared" ref="X3:AA3" si="2">M3</f>
        <v>30</v>
      </c>
      <c r="Y3">
        <f t="shared" si="2"/>
        <v>30.599999999999994</v>
      </c>
      <c r="Z3">
        <f t="shared" si="2"/>
        <v>27.539999999999996</v>
      </c>
      <c r="AA3">
        <f t="shared" si="2"/>
        <v>38.400000000000006</v>
      </c>
      <c r="AB3">
        <f t="shared" ref="AB3" si="3">Q3</f>
        <v>30.720000000000006</v>
      </c>
      <c r="AC3">
        <f t="shared" ref="AC3" si="4">R3</f>
        <v>43.2</v>
      </c>
      <c r="AD3">
        <f t="shared" ref="AD3" si="5">S3</f>
        <v>34.56</v>
      </c>
    </row>
    <row r="4" spans="1:30">
      <c r="A4" t="s">
        <v>164</v>
      </c>
      <c r="B4" t="s">
        <v>165</v>
      </c>
      <c r="C4">
        <v>5</v>
      </c>
      <c r="D4">
        <v>5</v>
      </c>
      <c r="E4">
        <v>5</v>
      </c>
      <c r="F4">
        <v>5</v>
      </c>
      <c r="G4">
        <v>5</v>
      </c>
      <c r="H4">
        <v>5</v>
      </c>
      <c r="I4">
        <v>5</v>
      </c>
      <c r="L4">
        <f t="shared" ref="L4:L87" si="6">C4</f>
        <v>5</v>
      </c>
      <c r="M4">
        <f t="shared" ref="M4:M6" si="7">L4</f>
        <v>5</v>
      </c>
      <c r="N4" s="23">
        <f t="shared" si="0"/>
        <v>5</v>
      </c>
      <c r="O4" s="48">
        <f>N4*0.9</f>
        <v>4.5</v>
      </c>
      <c r="P4" s="59">
        <f t="shared" si="1"/>
        <v>5</v>
      </c>
      <c r="Q4">
        <f>P4*0.9</f>
        <v>4.5</v>
      </c>
      <c r="R4">
        <v>28</v>
      </c>
      <c r="S4">
        <f>R4*0.7</f>
        <v>19.599999999999998</v>
      </c>
      <c r="U4">
        <f>11*25</f>
        <v>275</v>
      </c>
      <c r="W4">
        <f t="shared" ref="W4:W67" si="8">L4</f>
        <v>5</v>
      </c>
      <c r="X4">
        <f t="shared" ref="X4:X67" si="9">M4</f>
        <v>5</v>
      </c>
      <c r="Y4">
        <f t="shared" ref="Y4:Y67" si="10">N4</f>
        <v>5</v>
      </c>
      <c r="Z4">
        <f>Y4*0.95</f>
        <v>4.75</v>
      </c>
      <c r="AA4" s="59">
        <f t="shared" ref="AA4:AA67" si="11">P4</f>
        <v>5</v>
      </c>
      <c r="AB4">
        <f>AA4*0.95</f>
        <v>4.75</v>
      </c>
      <c r="AC4" s="63">
        <f t="shared" ref="AC4:AC67" si="12">R4</f>
        <v>28</v>
      </c>
      <c r="AD4">
        <f>AC4*0.9</f>
        <v>25.2</v>
      </c>
    </row>
    <row r="5" spans="1:30">
      <c r="A5" t="s">
        <v>166</v>
      </c>
      <c r="B5" t="s">
        <v>165</v>
      </c>
      <c r="C5">
        <v>7</v>
      </c>
      <c r="D5">
        <v>7</v>
      </c>
      <c r="E5">
        <v>7</v>
      </c>
      <c r="F5">
        <v>7</v>
      </c>
      <c r="G5">
        <v>7</v>
      </c>
      <c r="H5">
        <v>7</v>
      </c>
      <c r="I5">
        <v>7</v>
      </c>
      <c r="K5" s="39"/>
      <c r="L5">
        <f t="shared" si="6"/>
        <v>7</v>
      </c>
      <c r="M5">
        <f t="shared" si="7"/>
        <v>7</v>
      </c>
      <c r="N5" s="23">
        <f t="shared" si="0"/>
        <v>7</v>
      </c>
      <c r="O5" s="48">
        <f t="shared" ref="O5:O6" si="13">N5*0.9</f>
        <v>6.3</v>
      </c>
      <c r="P5">
        <f t="shared" si="1"/>
        <v>7</v>
      </c>
      <c r="Q5">
        <f t="shared" ref="Q5:Q6" si="14">P5*0.9</f>
        <v>6.3</v>
      </c>
      <c r="R5">
        <v>11</v>
      </c>
      <c r="S5">
        <f t="shared" ref="S5:S6" si="15">R5*0.7</f>
        <v>7.6999999999999993</v>
      </c>
      <c r="W5">
        <f t="shared" si="8"/>
        <v>7</v>
      </c>
      <c r="X5">
        <f t="shared" si="9"/>
        <v>7</v>
      </c>
      <c r="Y5">
        <f t="shared" si="10"/>
        <v>7</v>
      </c>
      <c r="Z5">
        <f t="shared" ref="Z5:Z6" si="16">Y5*0.95</f>
        <v>6.6499999999999995</v>
      </c>
      <c r="AA5">
        <f t="shared" si="11"/>
        <v>7</v>
      </c>
      <c r="AB5">
        <f t="shared" ref="AB5:AB6" si="17">AA5*0.95</f>
        <v>6.6499999999999995</v>
      </c>
      <c r="AC5">
        <f t="shared" si="12"/>
        <v>11</v>
      </c>
      <c r="AD5">
        <f>AC5*0.95</f>
        <v>10.45</v>
      </c>
    </row>
    <row r="6" spans="1:30">
      <c r="A6" t="s">
        <v>167</v>
      </c>
      <c r="B6" t="s">
        <v>165</v>
      </c>
      <c r="C6">
        <v>7</v>
      </c>
      <c r="D6">
        <v>7</v>
      </c>
      <c r="E6">
        <v>7</v>
      </c>
      <c r="F6">
        <v>7</v>
      </c>
      <c r="G6">
        <v>7</v>
      </c>
      <c r="H6">
        <v>7</v>
      </c>
      <c r="I6">
        <v>7</v>
      </c>
      <c r="K6" s="39"/>
      <c r="L6">
        <f t="shared" si="6"/>
        <v>7</v>
      </c>
      <c r="M6">
        <f t="shared" si="7"/>
        <v>7</v>
      </c>
      <c r="N6" s="23">
        <f t="shared" si="0"/>
        <v>7</v>
      </c>
      <c r="O6" s="48">
        <f t="shared" si="13"/>
        <v>6.3</v>
      </c>
      <c r="P6">
        <f t="shared" si="1"/>
        <v>7</v>
      </c>
      <c r="Q6">
        <f t="shared" si="14"/>
        <v>6.3</v>
      </c>
      <c r="R6">
        <v>11</v>
      </c>
      <c r="S6">
        <f t="shared" si="15"/>
        <v>7.6999999999999993</v>
      </c>
      <c r="W6">
        <f t="shared" si="8"/>
        <v>7</v>
      </c>
      <c r="X6">
        <f t="shared" si="9"/>
        <v>7</v>
      </c>
      <c r="Y6">
        <f t="shared" si="10"/>
        <v>7</v>
      </c>
      <c r="Z6">
        <f t="shared" si="16"/>
        <v>6.6499999999999995</v>
      </c>
      <c r="AA6">
        <f t="shared" si="11"/>
        <v>7</v>
      </c>
      <c r="AB6">
        <f t="shared" si="17"/>
        <v>6.6499999999999995</v>
      </c>
      <c r="AC6">
        <f t="shared" si="12"/>
        <v>11</v>
      </c>
      <c r="AD6">
        <f>AC6*0.95</f>
        <v>10.45</v>
      </c>
    </row>
    <row r="7" spans="1:30">
      <c r="A7" t="s">
        <v>168</v>
      </c>
      <c r="B7" t="s">
        <v>165</v>
      </c>
      <c r="C7">
        <v>70</v>
      </c>
      <c r="D7">
        <v>65</v>
      </c>
      <c r="E7">
        <v>70</v>
      </c>
      <c r="F7">
        <v>60</v>
      </c>
      <c r="G7">
        <v>60</v>
      </c>
      <c r="H7">
        <v>58</v>
      </c>
      <c r="I7">
        <v>60</v>
      </c>
      <c r="K7" s="61"/>
      <c r="L7">
        <f t="shared" si="6"/>
        <v>70</v>
      </c>
      <c r="M7">
        <f>L7*1.1</f>
        <v>77</v>
      </c>
      <c r="N7" s="23">
        <f t="shared" si="0"/>
        <v>67.5</v>
      </c>
      <c r="O7" s="23">
        <f>N7*1.1</f>
        <v>74.25</v>
      </c>
      <c r="P7" s="59">
        <f t="shared" si="1"/>
        <v>60</v>
      </c>
      <c r="Q7">
        <f>P7*1.1</f>
        <v>66</v>
      </c>
      <c r="R7">
        <f t="shared" ref="R7:R13" si="18">AVERAGE(H7,I7)</f>
        <v>59</v>
      </c>
      <c r="S7">
        <f>R7*1.2</f>
        <v>70.8</v>
      </c>
      <c r="W7">
        <f t="shared" si="8"/>
        <v>70</v>
      </c>
      <c r="X7">
        <f t="shared" si="9"/>
        <v>77</v>
      </c>
      <c r="Y7" s="59">
        <f t="shared" si="10"/>
        <v>67.5</v>
      </c>
      <c r="Z7">
        <f t="shared" ref="Z7:Z67" si="19">O7</f>
        <v>74.25</v>
      </c>
      <c r="AA7" s="59">
        <f t="shared" si="11"/>
        <v>60</v>
      </c>
      <c r="AB7">
        <f t="shared" ref="AB7:AB67" si="20">Q7</f>
        <v>66</v>
      </c>
      <c r="AC7" s="59">
        <f t="shared" si="12"/>
        <v>59</v>
      </c>
      <c r="AD7">
        <f t="shared" ref="AD7:AD67" si="21">S7</f>
        <v>70.8</v>
      </c>
    </row>
    <row r="8" spans="1:30">
      <c r="A8" t="s">
        <v>169</v>
      </c>
      <c r="B8" t="s">
        <v>170</v>
      </c>
      <c r="C8">
        <v>400</v>
      </c>
      <c r="D8">
        <v>420</v>
      </c>
      <c r="E8">
        <v>450</v>
      </c>
      <c r="F8">
        <v>350</v>
      </c>
      <c r="G8">
        <v>350</v>
      </c>
      <c r="H8">
        <v>322</v>
      </c>
      <c r="I8">
        <v>322</v>
      </c>
      <c r="L8">
        <f t="shared" si="6"/>
        <v>400</v>
      </c>
      <c r="M8">
        <f>L8</f>
        <v>400</v>
      </c>
      <c r="N8" s="23">
        <f t="shared" si="0"/>
        <v>435</v>
      </c>
      <c r="O8" s="23">
        <f>N8</f>
        <v>435</v>
      </c>
      <c r="P8" s="59">
        <f t="shared" si="1"/>
        <v>350</v>
      </c>
      <c r="Q8">
        <f>P8</f>
        <v>350</v>
      </c>
      <c r="R8">
        <f t="shared" si="18"/>
        <v>322</v>
      </c>
      <c r="S8">
        <f>R8</f>
        <v>322</v>
      </c>
      <c r="W8" s="59">
        <f t="shared" si="8"/>
        <v>400</v>
      </c>
      <c r="X8">
        <f t="shared" si="9"/>
        <v>400</v>
      </c>
      <c r="Y8" s="59">
        <f t="shared" si="10"/>
        <v>435</v>
      </c>
      <c r="Z8">
        <f t="shared" si="19"/>
        <v>435</v>
      </c>
      <c r="AA8" s="59">
        <f t="shared" si="11"/>
        <v>350</v>
      </c>
      <c r="AB8">
        <f t="shared" si="20"/>
        <v>350</v>
      </c>
      <c r="AC8" s="59">
        <f t="shared" si="12"/>
        <v>322</v>
      </c>
      <c r="AD8">
        <f t="shared" si="21"/>
        <v>322</v>
      </c>
    </row>
    <row r="9" spans="1:30">
      <c r="A9" t="s">
        <v>171</v>
      </c>
      <c r="B9" t="s">
        <v>170</v>
      </c>
      <c r="C9">
        <v>400</v>
      </c>
      <c r="D9">
        <v>420</v>
      </c>
      <c r="E9">
        <v>450</v>
      </c>
      <c r="F9">
        <v>350</v>
      </c>
      <c r="G9">
        <v>350</v>
      </c>
      <c r="H9">
        <v>322</v>
      </c>
      <c r="I9">
        <v>322</v>
      </c>
      <c r="L9">
        <f t="shared" si="6"/>
        <v>400</v>
      </c>
      <c r="M9">
        <f t="shared" ref="M9:M11" si="22">L9</f>
        <v>400</v>
      </c>
      <c r="N9" s="23">
        <f t="shared" si="0"/>
        <v>435</v>
      </c>
      <c r="O9" s="23">
        <f t="shared" ref="O9:O18" si="23">N9</f>
        <v>435</v>
      </c>
      <c r="P9" s="59">
        <f t="shared" si="1"/>
        <v>350</v>
      </c>
      <c r="Q9">
        <f t="shared" ref="Q9:Q15" si="24">P9</f>
        <v>350</v>
      </c>
      <c r="R9">
        <f t="shared" si="18"/>
        <v>322</v>
      </c>
      <c r="S9">
        <f t="shared" ref="S9:S13" si="25">R9</f>
        <v>322</v>
      </c>
      <c r="W9" s="59">
        <f t="shared" si="8"/>
        <v>400</v>
      </c>
      <c r="X9">
        <f t="shared" si="9"/>
        <v>400</v>
      </c>
      <c r="Y9" s="59">
        <f t="shared" si="10"/>
        <v>435</v>
      </c>
      <c r="Z9">
        <f t="shared" si="19"/>
        <v>435</v>
      </c>
      <c r="AA9" s="59">
        <f t="shared" si="11"/>
        <v>350</v>
      </c>
      <c r="AB9">
        <f t="shared" si="20"/>
        <v>350</v>
      </c>
      <c r="AC9" s="59">
        <f t="shared" si="12"/>
        <v>322</v>
      </c>
      <c r="AD9">
        <f t="shared" si="21"/>
        <v>322</v>
      </c>
    </row>
    <row r="10" spans="1:30">
      <c r="A10" t="s">
        <v>172</v>
      </c>
      <c r="B10" t="s">
        <v>170</v>
      </c>
      <c r="C10">
        <v>239</v>
      </c>
      <c r="D10">
        <v>240</v>
      </c>
      <c r="E10">
        <v>247.5</v>
      </c>
      <c r="F10">
        <v>210</v>
      </c>
      <c r="G10">
        <v>211.5</v>
      </c>
      <c r="H10">
        <v>200</v>
      </c>
      <c r="I10">
        <v>201.5</v>
      </c>
      <c r="L10">
        <f t="shared" si="6"/>
        <v>239</v>
      </c>
      <c r="M10">
        <f t="shared" si="22"/>
        <v>239</v>
      </c>
      <c r="N10" s="23">
        <f t="shared" si="0"/>
        <v>243.75</v>
      </c>
      <c r="O10" s="23">
        <f t="shared" si="23"/>
        <v>243.75</v>
      </c>
      <c r="P10">
        <f t="shared" si="1"/>
        <v>210.75</v>
      </c>
      <c r="Q10">
        <f t="shared" si="24"/>
        <v>210.75</v>
      </c>
      <c r="R10">
        <f t="shared" si="18"/>
        <v>200.75</v>
      </c>
      <c r="S10">
        <f t="shared" si="25"/>
        <v>200.75</v>
      </c>
      <c r="W10">
        <f t="shared" si="8"/>
        <v>239</v>
      </c>
      <c r="X10">
        <v>200</v>
      </c>
      <c r="Y10">
        <f t="shared" si="10"/>
        <v>243.75</v>
      </c>
      <c r="Z10">
        <v>200</v>
      </c>
      <c r="AA10">
        <f t="shared" si="11"/>
        <v>210.75</v>
      </c>
      <c r="AB10">
        <f t="shared" si="20"/>
        <v>210.75</v>
      </c>
      <c r="AC10">
        <f t="shared" si="12"/>
        <v>200.75</v>
      </c>
      <c r="AD10">
        <f t="shared" si="21"/>
        <v>200.75</v>
      </c>
    </row>
    <row r="11" spans="1:30">
      <c r="A11" t="s">
        <v>173</v>
      </c>
      <c r="B11" t="s">
        <v>170</v>
      </c>
      <c r="C11">
        <v>239</v>
      </c>
      <c r="D11">
        <v>240</v>
      </c>
      <c r="E11">
        <v>247.5</v>
      </c>
      <c r="F11">
        <v>210</v>
      </c>
      <c r="G11">
        <v>211.5</v>
      </c>
      <c r="H11">
        <v>200</v>
      </c>
      <c r="I11">
        <v>201.5</v>
      </c>
      <c r="L11">
        <f t="shared" si="6"/>
        <v>239</v>
      </c>
      <c r="M11">
        <f t="shared" si="22"/>
        <v>239</v>
      </c>
      <c r="N11" s="23">
        <f t="shared" si="0"/>
        <v>243.75</v>
      </c>
      <c r="O11" s="23">
        <f t="shared" si="23"/>
        <v>243.75</v>
      </c>
      <c r="P11">
        <f t="shared" si="1"/>
        <v>210.75</v>
      </c>
      <c r="Q11">
        <f t="shared" si="24"/>
        <v>210.75</v>
      </c>
      <c r="R11">
        <f t="shared" si="18"/>
        <v>200.75</v>
      </c>
      <c r="S11">
        <f t="shared" si="25"/>
        <v>200.75</v>
      </c>
      <c r="W11">
        <f t="shared" si="8"/>
        <v>239</v>
      </c>
      <c r="X11">
        <v>200</v>
      </c>
      <c r="Y11">
        <f t="shared" si="10"/>
        <v>243.75</v>
      </c>
      <c r="Z11">
        <v>200</v>
      </c>
      <c r="AA11">
        <f t="shared" si="11"/>
        <v>210.75</v>
      </c>
      <c r="AB11">
        <f t="shared" si="20"/>
        <v>210.75</v>
      </c>
      <c r="AC11">
        <f t="shared" si="12"/>
        <v>200.75</v>
      </c>
      <c r="AD11">
        <f t="shared" si="21"/>
        <v>200.75</v>
      </c>
    </row>
    <row r="12" spans="1:30">
      <c r="A12" t="s">
        <v>174</v>
      </c>
      <c r="B12" t="s">
        <v>165</v>
      </c>
      <c r="C12">
        <v>4</v>
      </c>
      <c r="D12">
        <v>4</v>
      </c>
      <c r="E12">
        <v>4</v>
      </c>
      <c r="F12">
        <v>4</v>
      </c>
      <c r="G12">
        <v>4</v>
      </c>
      <c r="H12">
        <v>4</v>
      </c>
      <c r="I12">
        <v>4</v>
      </c>
      <c r="L12">
        <f t="shared" si="6"/>
        <v>4</v>
      </c>
      <c r="M12">
        <f>L12</f>
        <v>4</v>
      </c>
      <c r="N12" s="23">
        <f t="shared" si="0"/>
        <v>4</v>
      </c>
      <c r="O12" s="23">
        <f t="shared" si="23"/>
        <v>4</v>
      </c>
      <c r="P12">
        <f t="shared" si="1"/>
        <v>4</v>
      </c>
      <c r="Q12">
        <f t="shared" si="24"/>
        <v>4</v>
      </c>
      <c r="R12">
        <f t="shared" si="18"/>
        <v>4</v>
      </c>
      <c r="S12">
        <f t="shared" si="25"/>
        <v>4</v>
      </c>
      <c r="W12">
        <f t="shared" si="8"/>
        <v>4</v>
      </c>
      <c r="X12">
        <f t="shared" si="9"/>
        <v>4</v>
      </c>
      <c r="Y12">
        <f t="shared" si="10"/>
        <v>4</v>
      </c>
      <c r="Z12">
        <f t="shared" si="19"/>
        <v>4</v>
      </c>
      <c r="AA12">
        <f t="shared" si="11"/>
        <v>4</v>
      </c>
      <c r="AB12">
        <f t="shared" si="20"/>
        <v>4</v>
      </c>
      <c r="AC12">
        <f t="shared" si="12"/>
        <v>4</v>
      </c>
      <c r="AD12">
        <f t="shared" si="21"/>
        <v>4</v>
      </c>
    </row>
    <row r="13" spans="1:30">
      <c r="A13" t="s">
        <v>175</v>
      </c>
      <c r="B13" t="s">
        <v>165</v>
      </c>
      <c r="C13">
        <v>3.5</v>
      </c>
      <c r="D13">
        <v>3.5</v>
      </c>
      <c r="E13">
        <v>3.5</v>
      </c>
      <c r="F13">
        <v>3.5</v>
      </c>
      <c r="G13">
        <v>3.5</v>
      </c>
      <c r="H13">
        <v>3.5</v>
      </c>
      <c r="I13">
        <v>3.5</v>
      </c>
      <c r="L13">
        <f t="shared" si="6"/>
        <v>3.5</v>
      </c>
      <c r="M13">
        <f>L13</f>
        <v>3.5</v>
      </c>
      <c r="N13" s="48">
        <f t="shared" si="0"/>
        <v>3.5</v>
      </c>
      <c r="O13" s="23">
        <f t="shared" si="23"/>
        <v>3.5</v>
      </c>
      <c r="P13">
        <f t="shared" si="1"/>
        <v>3.5</v>
      </c>
      <c r="Q13">
        <f t="shared" si="24"/>
        <v>3.5</v>
      </c>
      <c r="R13">
        <f t="shared" si="18"/>
        <v>3.5</v>
      </c>
      <c r="S13">
        <f t="shared" si="25"/>
        <v>3.5</v>
      </c>
      <c r="W13">
        <f t="shared" si="8"/>
        <v>3.5</v>
      </c>
      <c r="X13">
        <f t="shared" si="9"/>
        <v>3.5</v>
      </c>
      <c r="Y13">
        <f t="shared" si="10"/>
        <v>3.5</v>
      </c>
      <c r="Z13">
        <f t="shared" si="19"/>
        <v>3.5</v>
      </c>
      <c r="AA13">
        <f t="shared" si="11"/>
        <v>3.5</v>
      </c>
      <c r="AB13">
        <f t="shared" si="20"/>
        <v>3.5</v>
      </c>
      <c r="AC13">
        <f t="shared" si="12"/>
        <v>3.5</v>
      </c>
      <c r="AD13">
        <f t="shared" si="21"/>
        <v>3.5</v>
      </c>
    </row>
    <row r="14" spans="1:30">
      <c r="A14" t="s">
        <v>176</v>
      </c>
      <c r="B14" t="s">
        <v>170</v>
      </c>
      <c r="C14" s="47">
        <f>6.8*305</f>
        <v>2074</v>
      </c>
      <c r="D14" s="47">
        <f>15*305</f>
        <v>4575</v>
      </c>
      <c r="E14" s="47">
        <f>25*305</f>
        <v>7625</v>
      </c>
      <c r="F14" s="47">
        <f>2.5*305</f>
        <v>762.5</v>
      </c>
      <c r="G14" s="47">
        <f>3.5*305</f>
        <v>1067.5</v>
      </c>
      <c r="H14" s="47">
        <f>1*305</f>
        <v>305</v>
      </c>
      <c r="I14" s="47">
        <f>2*305</f>
        <v>610</v>
      </c>
      <c r="L14" s="47">
        <f>C14*(1+2.75)</f>
        <v>7777.5</v>
      </c>
      <c r="M14" s="47">
        <f>((6.8*1.35)*305)*(1+2.75)</f>
        <v>10499.625</v>
      </c>
      <c r="N14" s="47">
        <f>(AVERAGE(15,25)*305)*(1+2.75)</f>
        <v>22875</v>
      </c>
      <c r="O14" s="47">
        <f>((AVERAGE(15,25)*1.35)*305)*(1+2.75)</f>
        <v>30881.25</v>
      </c>
      <c r="P14" s="62">
        <f>(AVERAGE(2.5,3.5)*305)*(1+2.75)</f>
        <v>3431.25</v>
      </c>
      <c r="Q14" s="18">
        <f>((AVERAGE(2.5,3.5)*1.25)*305)*(1+2.75)</f>
        <v>4289.0625</v>
      </c>
      <c r="R14" s="47">
        <f>(AVERAGE(1,2)*305)*(1+2.75)</f>
        <v>1715.625</v>
      </c>
      <c r="S14" s="48">
        <f>((AVERAGE(1,2)*1.25)*305)*(1+2.75)</f>
        <v>2144.53125</v>
      </c>
      <c r="W14">
        <f t="shared" si="8"/>
        <v>7777.5</v>
      </c>
      <c r="X14">
        <f>((6.8*1.15)*305)*(1+2.75)</f>
        <v>8944.125</v>
      </c>
      <c r="Y14">
        <f t="shared" si="10"/>
        <v>22875</v>
      </c>
      <c r="Z14">
        <f>((AVERAGE(15,25)*1.15)*305)*(1+2.75)</f>
        <v>26306.25</v>
      </c>
      <c r="AA14" s="63">
        <f t="shared" si="11"/>
        <v>3431.25</v>
      </c>
      <c r="AB14">
        <f>((AVERAGE(2.5,3.5)*1.1)*305)*(1+2.75)</f>
        <v>3774.3750000000005</v>
      </c>
      <c r="AC14">
        <f t="shared" si="12"/>
        <v>1715.625</v>
      </c>
      <c r="AD14">
        <f>((AVERAGE(1,2)*1.1)*305)*(1+2.75)</f>
        <v>1887.1875000000002</v>
      </c>
    </row>
    <row r="15" spans="1:30">
      <c r="A15" t="s">
        <v>177</v>
      </c>
      <c r="B15" t="s">
        <v>116</v>
      </c>
      <c r="C15" s="112">
        <f>'Animal &amp; HH Numbers 2008'!O21</f>
        <v>422.92559634530693</v>
      </c>
      <c r="D15" s="112">
        <f>'Animal &amp; HH Numbers 2008'!P21</f>
        <v>223.64860267713237</v>
      </c>
      <c r="E15" s="112">
        <f>'Animal &amp; HH Numbers 2008'!Q21</f>
        <v>0</v>
      </c>
      <c r="F15" s="112">
        <f>'Animal &amp; HH Numbers 2008'!R21</f>
        <v>10506.30707573966</v>
      </c>
      <c r="G15" s="112">
        <f>'Animal &amp; HH Numbers 2008'!S21</f>
        <v>0</v>
      </c>
      <c r="H15" s="112">
        <f>'Animal &amp; HH Numbers 2008'!T21</f>
        <v>13218.83221930923</v>
      </c>
      <c r="I15" s="112">
        <f>'Animal &amp; HH Numbers 2008'!U21</f>
        <v>173500.0710881683</v>
      </c>
      <c r="L15" s="26">
        <f>C15*(1+1.67)</f>
        <v>1129.2113422419695</v>
      </c>
      <c r="M15" s="26">
        <f>L15</f>
        <v>1129.2113422419695</v>
      </c>
      <c r="N15" s="26">
        <f>(D15+E15)*(1+1.67)</f>
        <v>597.14176914794348</v>
      </c>
      <c r="O15" s="23">
        <f t="shared" si="23"/>
        <v>597.14176914794348</v>
      </c>
      <c r="P15" s="26">
        <f>(SUM(F15+G15))*(1+1.67)</f>
        <v>28051.839892224893</v>
      </c>
      <c r="Q15" s="18">
        <f t="shared" si="24"/>
        <v>28051.839892224893</v>
      </c>
      <c r="R15" s="43">
        <f>(H15+I15)*(1+1.67)</f>
        <v>498539.47183096502</v>
      </c>
      <c r="S15" s="43">
        <f>R15</f>
        <v>498539.47183096502</v>
      </c>
      <c r="W15">
        <f t="shared" si="8"/>
        <v>1129.2113422419695</v>
      </c>
      <c r="X15">
        <f t="shared" si="9"/>
        <v>1129.2113422419695</v>
      </c>
      <c r="Y15">
        <f t="shared" si="10"/>
        <v>597.14176914794348</v>
      </c>
      <c r="Z15">
        <f t="shared" si="19"/>
        <v>597.14176914794348</v>
      </c>
      <c r="AA15">
        <f t="shared" si="11"/>
        <v>28051.839892224893</v>
      </c>
      <c r="AB15">
        <f t="shared" si="20"/>
        <v>28051.839892224893</v>
      </c>
      <c r="AC15">
        <f t="shared" si="12"/>
        <v>498539.47183096502</v>
      </c>
      <c r="AD15">
        <f t="shared" si="21"/>
        <v>498539.47183096502</v>
      </c>
    </row>
    <row r="16" spans="1:30">
      <c r="A16" t="s">
        <v>178</v>
      </c>
      <c r="B16" t="s">
        <v>116</v>
      </c>
      <c r="C16" s="112">
        <f>'Animal &amp; HH Numbers 2008'!O22</f>
        <v>100.46247257883284</v>
      </c>
      <c r="D16" s="112">
        <f>'Animal &amp; HH Numbers 2008'!P22</f>
        <v>33.006418433125482</v>
      </c>
      <c r="E16" s="112">
        <f>'Animal &amp; HH Numbers 2008'!Q22</f>
        <v>0</v>
      </c>
      <c r="F16" s="112">
        <f>'Animal &amp; HH Numbers 2008'!R22</f>
        <v>1767.2499350593635</v>
      </c>
      <c r="G16" s="112">
        <f>'Animal &amp; HH Numbers 2008'!S22</f>
        <v>0</v>
      </c>
      <c r="H16" s="112">
        <f>'Animal &amp; HH Numbers 2008'!T22</f>
        <v>594.12779251843074</v>
      </c>
      <c r="I16" s="112">
        <f>'Animal &amp; HH Numbers 2008'!U22</f>
        <v>10845.492264080482</v>
      </c>
      <c r="L16" s="26">
        <f>C16*(1+1.67)</f>
        <v>268.23480178548368</v>
      </c>
      <c r="M16" s="26">
        <f>L16*0.9</f>
        <v>241.41132160693533</v>
      </c>
      <c r="N16" s="26">
        <f>(D16+E16)*(1+1.67)</f>
        <v>88.127137216445036</v>
      </c>
      <c r="O16" s="23">
        <f>N16*0.9</f>
        <v>79.314423494800536</v>
      </c>
      <c r="P16" s="26">
        <f>(SUM(F16+G16))*(1+1.67)</f>
        <v>4718.5573266085003</v>
      </c>
      <c r="Q16" s="18">
        <f>P16*0.9</f>
        <v>4246.7015939476505</v>
      </c>
      <c r="R16" s="43">
        <f>(H16+I16)*(1+1.67)</f>
        <v>30543.785551119097</v>
      </c>
      <c r="S16" s="43">
        <f>R16*0.9</f>
        <v>27489.406996007187</v>
      </c>
      <c r="W16">
        <f t="shared" si="8"/>
        <v>268.23480178548368</v>
      </c>
      <c r="X16">
        <f t="shared" si="9"/>
        <v>241.41132160693533</v>
      </c>
      <c r="Y16">
        <f t="shared" si="10"/>
        <v>88.127137216445036</v>
      </c>
      <c r="Z16">
        <f t="shared" si="19"/>
        <v>79.314423494800536</v>
      </c>
      <c r="AA16">
        <f t="shared" si="11"/>
        <v>4718.5573266085003</v>
      </c>
      <c r="AB16">
        <f t="shared" si="20"/>
        <v>4246.7015939476505</v>
      </c>
      <c r="AC16">
        <f t="shared" si="12"/>
        <v>30543.785551119097</v>
      </c>
      <c r="AD16">
        <f t="shared" si="21"/>
        <v>27489.406996007187</v>
      </c>
    </row>
    <row r="17" spans="1:30">
      <c r="A17" t="s">
        <v>179</v>
      </c>
      <c r="B17" t="s">
        <v>165</v>
      </c>
      <c r="C17">
        <v>10</v>
      </c>
      <c r="D17">
        <v>10</v>
      </c>
      <c r="E17">
        <v>10</v>
      </c>
      <c r="F17">
        <v>5</v>
      </c>
      <c r="G17">
        <v>5</v>
      </c>
      <c r="H17">
        <v>5</v>
      </c>
      <c r="I17">
        <v>5</v>
      </c>
      <c r="L17">
        <f t="shared" si="6"/>
        <v>10</v>
      </c>
      <c r="M17" s="26">
        <v>14</v>
      </c>
      <c r="N17" s="23">
        <f>AVERAGE(D17,E17)</f>
        <v>10</v>
      </c>
      <c r="O17" s="48">
        <v>12.5</v>
      </c>
      <c r="P17">
        <f>AVERAGE(F17,G17)</f>
        <v>5</v>
      </c>
      <c r="Q17">
        <v>10</v>
      </c>
      <c r="R17">
        <f>AVERAGE(H17,I17)</f>
        <v>5</v>
      </c>
      <c r="S17" s="43">
        <v>10</v>
      </c>
      <c r="W17">
        <f t="shared" si="8"/>
        <v>10</v>
      </c>
      <c r="X17">
        <f t="shared" si="9"/>
        <v>14</v>
      </c>
      <c r="Y17">
        <f t="shared" si="10"/>
        <v>10</v>
      </c>
      <c r="Z17">
        <f t="shared" si="19"/>
        <v>12.5</v>
      </c>
      <c r="AA17">
        <f t="shared" si="11"/>
        <v>5</v>
      </c>
      <c r="AB17">
        <f t="shared" si="20"/>
        <v>10</v>
      </c>
      <c r="AC17">
        <f t="shared" si="12"/>
        <v>5</v>
      </c>
      <c r="AD17">
        <f t="shared" si="21"/>
        <v>10</v>
      </c>
    </row>
    <row r="18" spans="1:30">
      <c r="A18" t="s">
        <v>180</v>
      </c>
      <c r="B18" t="s">
        <v>170</v>
      </c>
      <c r="C18">
        <v>28</v>
      </c>
      <c r="D18">
        <v>30</v>
      </c>
      <c r="E18">
        <v>35</v>
      </c>
      <c r="F18">
        <v>20</v>
      </c>
      <c r="G18">
        <v>23</v>
      </c>
      <c r="H18">
        <v>20</v>
      </c>
      <c r="I18">
        <v>23</v>
      </c>
      <c r="L18">
        <f t="shared" si="6"/>
        <v>28</v>
      </c>
      <c r="M18">
        <f>L18</f>
        <v>28</v>
      </c>
      <c r="N18" s="23">
        <f>AVERAGE(D18,E18)</f>
        <v>32.5</v>
      </c>
      <c r="O18" s="23">
        <f t="shared" si="23"/>
        <v>32.5</v>
      </c>
      <c r="P18">
        <f>AVERAGE(F18,G18)</f>
        <v>21.5</v>
      </c>
      <c r="Q18">
        <f>P18*1.2</f>
        <v>25.8</v>
      </c>
      <c r="R18">
        <f>AVERAGE(H18,I18)</f>
        <v>21.5</v>
      </c>
      <c r="S18" s="42">
        <f>R18*1.2</f>
        <v>25.8</v>
      </c>
      <c r="W18">
        <f t="shared" si="8"/>
        <v>28</v>
      </c>
      <c r="X18">
        <f t="shared" si="9"/>
        <v>28</v>
      </c>
      <c r="Y18">
        <f t="shared" si="10"/>
        <v>32.5</v>
      </c>
      <c r="Z18">
        <f t="shared" si="19"/>
        <v>32.5</v>
      </c>
      <c r="AA18">
        <f t="shared" si="11"/>
        <v>21.5</v>
      </c>
      <c r="AB18">
        <f t="shared" si="20"/>
        <v>25.8</v>
      </c>
      <c r="AC18">
        <f t="shared" si="12"/>
        <v>21.5</v>
      </c>
      <c r="AD18">
        <f t="shared" si="21"/>
        <v>25.8</v>
      </c>
    </row>
    <row r="19" spans="1:30">
      <c r="N19" s="23"/>
      <c r="O19" s="23"/>
    </row>
    <row r="20" spans="1:30" s="109" customFormat="1">
      <c r="A20" s="109" t="s">
        <v>182</v>
      </c>
      <c r="B20" s="109" t="s">
        <v>165</v>
      </c>
      <c r="C20" s="109">
        <v>3.5</v>
      </c>
      <c r="D20" s="109">
        <v>0</v>
      </c>
      <c r="E20" s="109">
        <v>0</v>
      </c>
      <c r="F20" s="109">
        <v>0</v>
      </c>
      <c r="G20" s="109">
        <v>0</v>
      </c>
      <c r="H20" s="109">
        <v>0.33</v>
      </c>
      <c r="I20" s="109">
        <v>0.33</v>
      </c>
      <c r="L20" s="109">
        <f t="shared" si="6"/>
        <v>3.5</v>
      </c>
      <c r="M20" s="109">
        <f>L20</f>
        <v>3.5</v>
      </c>
      <c r="N20" s="110">
        <f t="shared" ref="N20:N48" si="26">AVERAGE(D20,E20)</f>
        <v>0</v>
      </c>
      <c r="O20" s="110">
        <f>N20</f>
        <v>0</v>
      </c>
      <c r="P20" s="109">
        <f t="shared" ref="P20:P48" si="27">AVERAGE(F20,G20)</f>
        <v>0</v>
      </c>
      <c r="Q20" s="109">
        <f>P20</f>
        <v>0</v>
      </c>
      <c r="R20" s="109">
        <f t="shared" ref="R20:R48" si="28">AVERAGE(H20,I20)</f>
        <v>0.33</v>
      </c>
      <c r="S20" s="109">
        <f>R20</f>
        <v>0.33</v>
      </c>
      <c r="W20" s="109">
        <f t="shared" si="8"/>
        <v>3.5</v>
      </c>
      <c r="X20" s="109">
        <f t="shared" si="9"/>
        <v>3.5</v>
      </c>
      <c r="Y20" s="109">
        <f t="shared" si="10"/>
        <v>0</v>
      </c>
      <c r="Z20" s="109">
        <f t="shared" si="19"/>
        <v>0</v>
      </c>
      <c r="AA20" s="109">
        <f t="shared" si="11"/>
        <v>0</v>
      </c>
      <c r="AB20" s="109">
        <f t="shared" si="20"/>
        <v>0</v>
      </c>
      <c r="AC20" s="109">
        <f t="shared" si="12"/>
        <v>0.33</v>
      </c>
      <c r="AD20" s="109">
        <f t="shared" si="21"/>
        <v>0.33</v>
      </c>
    </row>
    <row r="21" spans="1:30" s="109" customFormat="1">
      <c r="A21" s="109" t="s">
        <v>183</v>
      </c>
      <c r="B21" s="109" t="s">
        <v>165</v>
      </c>
      <c r="C21" s="109">
        <v>0</v>
      </c>
      <c r="D21" s="109">
        <v>0</v>
      </c>
      <c r="E21" s="109">
        <v>0</v>
      </c>
      <c r="F21" s="109">
        <v>0</v>
      </c>
      <c r="G21" s="109">
        <v>0</v>
      </c>
      <c r="H21" s="109">
        <v>0</v>
      </c>
      <c r="I21" s="109">
        <v>0</v>
      </c>
      <c r="L21" s="109">
        <f t="shared" si="6"/>
        <v>0</v>
      </c>
      <c r="M21" s="109">
        <f t="shared" ref="M21:M85" si="29">L21</f>
        <v>0</v>
      </c>
      <c r="N21" s="110">
        <f t="shared" si="26"/>
        <v>0</v>
      </c>
      <c r="O21" s="110">
        <f t="shared" ref="O21:O48" si="30">N21</f>
        <v>0</v>
      </c>
      <c r="P21" s="109">
        <f t="shared" si="27"/>
        <v>0</v>
      </c>
      <c r="Q21" s="109">
        <f t="shared" ref="Q21:Q86" si="31">P21</f>
        <v>0</v>
      </c>
      <c r="R21" s="109">
        <f t="shared" si="28"/>
        <v>0</v>
      </c>
      <c r="S21" s="109">
        <f t="shared" ref="S21:S86" si="32">R21</f>
        <v>0</v>
      </c>
      <c r="W21" s="109">
        <f t="shared" si="8"/>
        <v>0</v>
      </c>
      <c r="X21" s="109">
        <f t="shared" si="9"/>
        <v>0</v>
      </c>
      <c r="Y21" s="109">
        <f t="shared" si="10"/>
        <v>0</v>
      </c>
      <c r="Z21" s="109">
        <f t="shared" si="19"/>
        <v>0</v>
      </c>
      <c r="AA21" s="109">
        <f t="shared" si="11"/>
        <v>0</v>
      </c>
      <c r="AB21" s="109">
        <f t="shared" si="20"/>
        <v>0</v>
      </c>
      <c r="AC21" s="109">
        <f t="shared" si="12"/>
        <v>0</v>
      </c>
      <c r="AD21" s="109">
        <f t="shared" si="21"/>
        <v>0</v>
      </c>
    </row>
    <row r="22" spans="1:30" s="109" customFormat="1">
      <c r="A22" s="109" t="s">
        <v>184</v>
      </c>
      <c r="B22" s="109" t="s">
        <v>165</v>
      </c>
      <c r="C22" s="109">
        <v>0</v>
      </c>
      <c r="D22" s="109">
        <v>0</v>
      </c>
      <c r="E22" s="109">
        <v>0</v>
      </c>
      <c r="F22" s="109">
        <v>0</v>
      </c>
      <c r="G22" s="109">
        <v>0</v>
      </c>
      <c r="H22" s="109">
        <v>0</v>
      </c>
      <c r="I22" s="109">
        <v>0</v>
      </c>
      <c r="L22" s="109">
        <f t="shared" si="6"/>
        <v>0</v>
      </c>
      <c r="M22" s="109">
        <f t="shared" si="29"/>
        <v>0</v>
      </c>
      <c r="N22" s="110">
        <f t="shared" si="26"/>
        <v>0</v>
      </c>
      <c r="O22" s="110">
        <f t="shared" si="30"/>
        <v>0</v>
      </c>
      <c r="P22" s="109">
        <f t="shared" si="27"/>
        <v>0</v>
      </c>
      <c r="Q22" s="109">
        <f t="shared" si="31"/>
        <v>0</v>
      </c>
      <c r="R22" s="109">
        <f t="shared" si="28"/>
        <v>0</v>
      </c>
      <c r="S22" s="109">
        <f t="shared" si="32"/>
        <v>0</v>
      </c>
      <c r="W22" s="109">
        <f t="shared" si="8"/>
        <v>0</v>
      </c>
      <c r="X22" s="109">
        <f t="shared" si="9"/>
        <v>0</v>
      </c>
      <c r="Y22" s="109">
        <f t="shared" si="10"/>
        <v>0</v>
      </c>
      <c r="Z22" s="109">
        <f t="shared" si="19"/>
        <v>0</v>
      </c>
      <c r="AA22" s="109">
        <f t="shared" si="11"/>
        <v>0</v>
      </c>
      <c r="AB22" s="109">
        <f t="shared" si="20"/>
        <v>0</v>
      </c>
      <c r="AC22" s="109">
        <f t="shared" si="12"/>
        <v>0</v>
      </c>
      <c r="AD22" s="109">
        <f t="shared" si="21"/>
        <v>0</v>
      </c>
    </row>
    <row r="23" spans="1:30" s="109" customFormat="1">
      <c r="A23" s="109" t="s">
        <v>185</v>
      </c>
      <c r="B23" s="109" t="s">
        <v>165</v>
      </c>
      <c r="C23" s="109">
        <v>0</v>
      </c>
      <c r="D23" s="109">
        <v>0</v>
      </c>
      <c r="E23" s="109">
        <v>0</v>
      </c>
      <c r="F23" s="109">
        <v>0</v>
      </c>
      <c r="G23" s="109">
        <v>0</v>
      </c>
      <c r="H23" s="109">
        <v>0</v>
      </c>
      <c r="I23" s="109">
        <v>0</v>
      </c>
      <c r="L23" s="109">
        <f t="shared" si="6"/>
        <v>0</v>
      </c>
      <c r="M23" s="109">
        <f t="shared" si="29"/>
        <v>0</v>
      </c>
      <c r="N23" s="110">
        <f t="shared" si="26"/>
        <v>0</v>
      </c>
      <c r="O23" s="110">
        <f t="shared" si="30"/>
        <v>0</v>
      </c>
      <c r="P23" s="109">
        <f t="shared" si="27"/>
        <v>0</v>
      </c>
      <c r="Q23" s="109">
        <f t="shared" si="31"/>
        <v>0</v>
      </c>
      <c r="R23" s="109">
        <f t="shared" si="28"/>
        <v>0</v>
      </c>
      <c r="S23" s="109">
        <f t="shared" si="32"/>
        <v>0</v>
      </c>
      <c r="W23" s="109">
        <f t="shared" si="8"/>
        <v>0</v>
      </c>
      <c r="X23" s="109">
        <f t="shared" si="9"/>
        <v>0</v>
      </c>
      <c r="Y23" s="109">
        <f t="shared" si="10"/>
        <v>0</v>
      </c>
      <c r="Z23" s="109">
        <f t="shared" si="19"/>
        <v>0</v>
      </c>
      <c r="AA23" s="109">
        <f t="shared" si="11"/>
        <v>0</v>
      </c>
      <c r="AB23" s="109">
        <f t="shared" si="20"/>
        <v>0</v>
      </c>
      <c r="AC23" s="109">
        <f t="shared" si="12"/>
        <v>0</v>
      </c>
      <c r="AD23" s="109">
        <f t="shared" si="21"/>
        <v>0</v>
      </c>
    </row>
    <row r="24" spans="1:30" s="109" customFormat="1">
      <c r="A24" s="109" t="s">
        <v>186</v>
      </c>
      <c r="B24" s="109" t="s">
        <v>165</v>
      </c>
      <c r="C24" s="109">
        <v>4.9000000000000004</v>
      </c>
      <c r="D24" s="109">
        <v>0</v>
      </c>
      <c r="E24" s="109">
        <v>0</v>
      </c>
      <c r="F24" s="109">
        <v>0</v>
      </c>
      <c r="G24" s="109">
        <v>0</v>
      </c>
      <c r="H24" s="109">
        <v>0.25</v>
      </c>
      <c r="I24" s="109">
        <v>0.25</v>
      </c>
      <c r="L24" s="109">
        <f t="shared" si="6"/>
        <v>4.9000000000000004</v>
      </c>
      <c r="M24" s="109">
        <f t="shared" si="29"/>
        <v>4.9000000000000004</v>
      </c>
      <c r="N24" s="110">
        <f t="shared" si="26"/>
        <v>0</v>
      </c>
      <c r="O24" s="110">
        <f t="shared" si="30"/>
        <v>0</v>
      </c>
      <c r="P24" s="109">
        <f t="shared" si="27"/>
        <v>0</v>
      </c>
      <c r="Q24" s="109">
        <f t="shared" si="31"/>
        <v>0</v>
      </c>
      <c r="R24" s="109">
        <f t="shared" si="28"/>
        <v>0.25</v>
      </c>
      <c r="S24" s="109">
        <f t="shared" si="32"/>
        <v>0.25</v>
      </c>
      <c r="W24" s="109">
        <f t="shared" si="8"/>
        <v>4.9000000000000004</v>
      </c>
      <c r="X24" s="109">
        <f t="shared" si="9"/>
        <v>4.9000000000000004</v>
      </c>
      <c r="Y24" s="109">
        <f t="shared" si="10"/>
        <v>0</v>
      </c>
      <c r="Z24" s="109">
        <f t="shared" si="19"/>
        <v>0</v>
      </c>
      <c r="AA24" s="109">
        <f t="shared" si="11"/>
        <v>0</v>
      </c>
      <c r="AB24" s="109">
        <f t="shared" si="20"/>
        <v>0</v>
      </c>
      <c r="AC24" s="109">
        <f t="shared" si="12"/>
        <v>0.25</v>
      </c>
      <c r="AD24" s="109">
        <f t="shared" si="21"/>
        <v>0.25</v>
      </c>
    </row>
    <row r="25" spans="1:30" s="109" customFormat="1">
      <c r="A25" s="109" t="s">
        <v>187</v>
      </c>
      <c r="B25" s="109" t="s">
        <v>165</v>
      </c>
      <c r="C25" s="109">
        <v>0</v>
      </c>
      <c r="D25" s="109">
        <v>0</v>
      </c>
      <c r="E25" s="109">
        <v>0</v>
      </c>
      <c r="F25" s="109">
        <v>0</v>
      </c>
      <c r="G25" s="109">
        <v>0</v>
      </c>
      <c r="H25" s="109">
        <v>0</v>
      </c>
      <c r="I25" s="109">
        <v>0</v>
      </c>
      <c r="L25" s="109">
        <f t="shared" si="6"/>
        <v>0</v>
      </c>
      <c r="M25" s="109">
        <f t="shared" si="29"/>
        <v>0</v>
      </c>
      <c r="N25" s="110">
        <f t="shared" si="26"/>
        <v>0</v>
      </c>
      <c r="O25" s="110">
        <f t="shared" si="30"/>
        <v>0</v>
      </c>
      <c r="P25" s="109">
        <f t="shared" si="27"/>
        <v>0</v>
      </c>
      <c r="Q25" s="109">
        <f t="shared" si="31"/>
        <v>0</v>
      </c>
      <c r="R25" s="109">
        <f t="shared" si="28"/>
        <v>0</v>
      </c>
      <c r="S25" s="109">
        <f t="shared" si="32"/>
        <v>0</v>
      </c>
      <c r="W25" s="109">
        <f t="shared" si="8"/>
        <v>0</v>
      </c>
      <c r="X25" s="109">
        <f t="shared" si="9"/>
        <v>0</v>
      </c>
      <c r="Y25" s="109">
        <f t="shared" si="10"/>
        <v>0</v>
      </c>
      <c r="Z25" s="109">
        <f t="shared" si="19"/>
        <v>0</v>
      </c>
      <c r="AA25" s="109">
        <f t="shared" si="11"/>
        <v>0</v>
      </c>
      <c r="AB25" s="109">
        <f t="shared" si="20"/>
        <v>0</v>
      </c>
      <c r="AC25" s="109">
        <f t="shared" si="12"/>
        <v>0</v>
      </c>
      <c r="AD25" s="109">
        <f t="shared" si="21"/>
        <v>0</v>
      </c>
    </row>
    <row r="26" spans="1:30" s="109" customFormat="1">
      <c r="A26" s="109" t="s">
        <v>188</v>
      </c>
      <c r="B26" s="109" t="s">
        <v>165</v>
      </c>
      <c r="C26" s="109">
        <v>0</v>
      </c>
      <c r="D26" s="109">
        <v>0</v>
      </c>
      <c r="E26" s="109">
        <v>0</v>
      </c>
      <c r="F26" s="109">
        <v>0</v>
      </c>
      <c r="G26" s="109">
        <v>0</v>
      </c>
      <c r="H26" s="109">
        <v>0</v>
      </c>
      <c r="I26" s="109">
        <v>0</v>
      </c>
      <c r="L26" s="109">
        <f t="shared" si="6"/>
        <v>0</v>
      </c>
      <c r="M26" s="109">
        <f t="shared" si="29"/>
        <v>0</v>
      </c>
      <c r="N26" s="110">
        <f t="shared" si="26"/>
        <v>0</v>
      </c>
      <c r="O26" s="110">
        <f t="shared" si="30"/>
        <v>0</v>
      </c>
      <c r="P26" s="109">
        <f t="shared" si="27"/>
        <v>0</v>
      </c>
      <c r="Q26" s="109">
        <f t="shared" si="31"/>
        <v>0</v>
      </c>
      <c r="R26" s="109">
        <f t="shared" si="28"/>
        <v>0</v>
      </c>
      <c r="S26" s="109">
        <f t="shared" si="32"/>
        <v>0</v>
      </c>
      <c r="W26" s="109">
        <f t="shared" si="8"/>
        <v>0</v>
      </c>
      <c r="X26" s="109">
        <f t="shared" si="9"/>
        <v>0</v>
      </c>
      <c r="Y26" s="109">
        <f t="shared" si="10"/>
        <v>0</v>
      </c>
      <c r="Z26" s="109">
        <f t="shared" si="19"/>
        <v>0</v>
      </c>
      <c r="AA26" s="109">
        <f t="shared" si="11"/>
        <v>0</v>
      </c>
      <c r="AB26" s="109">
        <f t="shared" si="20"/>
        <v>0</v>
      </c>
      <c r="AC26" s="109">
        <f t="shared" si="12"/>
        <v>0</v>
      </c>
      <c r="AD26" s="109">
        <f t="shared" si="21"/>
        <v>0</v>
      </c>
    </row>
    <row r="27" spans="1:30" s="109" customFormat="1">
      <c r="A27" s="109" t="s">
        <v>189</v>
      </c>
      <c r="B27" s="109" t="s">
        <v>165</v>
      </c>
      <c r="C27" s="109">
        <v>0</v>
      </c>
      <c r="D27" s="109">
        <v>0</v>
      </c>
      <c r="E27" s="109">
        <v>0</v>
      </c>
      <c r="F27" s="109">
        <v>0</v>
      </c>
      <c r="G27" s="109">
        <v>0</v>
      </c>
      <c r="H27" s="109">
        <v>0</v>
      </c>
      <c r="I27" s="109">
        <v>0</v>
      </c>
      <c r="L27" s="109">
        <f t="shared" si="6"/>
        <v>0</v>
      </c>
      <c r="M27" s="109">
        <f t="shared" si="29"/>
        <v>0</v>
      </c>
      <c r="N27" s="110">
        <f t="shared" si="26"/>
        <v>0</v>
      </c>
      <c r="O27" s="110">
        <f t="shared" si="30"/>
        <v>0</v>
      </c>
      <c r="P27" s="109">
        <f t="shared" si="27"/>
        <v>0</v>
      </c>
      <c r="Q27" s="109">
        <f t="shared" si="31"/>
        <v>0</v>
      </c>
      <c r="R27" s="109">
        <f t="shared" si="28"/>
        <v>0</v>
      </c>
      <c r="S27" s="109">
        <f t="shared" si="32"/>
        <v>0</v>
      </c>
      <c r="W27" s="109">
        <f t="shared" si="8"/>
        <v>0</v>
      </c>
      <c r="X27" s="109">
        <f t="shared" si="9"/>
        <v>0</v>
      </c>
      <c r="Y27" s="109">
        <f t="shared" si="10"/>
        <v>0</v>
      </c>
      <c r="Z27" s="109">
        <f t="shared" si="19"/>
        <v>0</v>
      </c>
      <c r="AA27" s="109">
        <f t="shared" si="11"/>
        <v>0</v>
      </c>
      <c r="AB27" s="109">
        <f t="shared" si="20"/>
        <v>0</v>
      </c>
      <c r="AC27" s="109">
        <f t="shared" si="12"/>
        <v>0</v>
      </c>
      <c r="AD27" s="109">
        <f t="shared" si="21"/>
        <v>0</v>
      </c>
    </row>
    <row r="28" spans="1:30" s="109" customFormat="1">
      <c r="A28" s="109" t="s">
        <v>190</v>
      </c>
      <c r="B28" s="109" t="s">
        <v>165</v>
      </c>
      <c r="C28" s="109">
        <v>0</v>
      </c>
      <c r="D28" s="109">
        <v>0</v>
      </c>
      <c r="E28" s="109">
        <v>0</v>
      </c>
      <c r="F28" s="109">
        <v>0</v>
      </c>
      <c r="G28" s="109">
        <v>0</v>
      </c>
      <c r="H28" s="109">
        <v>0</v>
      </c>
      <c r="I28" s="109">
        <v>0</v>
      </c>
      <c r="L28" s="109">
        <f t="shared" si="6"/>
        <v>0</v>
      </c>
      <c r="M28" s="109">
        <f t="shared" si="29"/>
        <v>0</v>
      </c>
      <c r="N28" s="110">
        <f t="shared" si="26"/>
        <v>0</v>
      </c>
      <c r="O28" s="110">
        <f t="shared" si="30"/>
        <v>0</v>
      </c>
      <c r="P28" s="109">
        <f t="shared" si="27"/>
        <v>0</v>
      </c>
      <c r="Q28" s="109">
        <f t="shared" si="31"/>
        <v>0</v>
      </c>
      <c r="R28" s="109">
        <f t="shared" si="28"/>
        <v>0</v>
      </c>
      <c r="S28" s="109">
        <f t="shared" si="32"/>
        <v>0</v>
      </c>
      <c r="W28" s="109">
        <f t="shared" si="8"/>
        <v>0</v>
      </c>
      <c r="X28" s="109">
        <f t="shared" si="9"/>
        <v>0</v>
      </c>
      <c r="Y28" s="109">
        <f t="shared" si="10"/>
        <v>0</v>
      </c>
      <c r="Z28" s="109">
        <f t="shared" si="19"/>
        <v>0</v>
      </c>
      <c r="AA28" s="109">
        <f t="shared" si="11"/>
        <v>0</v>
      </c>
      <c r="AB28" s="109">
        <f t="shared" si="20"/>
        <v>0</v>
      </c>
      <c r="AC28" s="109">
        <f t="shared" si="12"/>
        <v>0</v>
      </c>
      <c r="AD28" s="109">
        <f t="shared" si="21"/>
        <v>0</v>
      </c>
    </row>
    <row r="29" spans="1:30" s="109" customFormat="1">
      <c r="A29" s="109" t="s">
        <v>191</v>
      </c>
      <c r="B29" s="109" t="s">
        <v>165</v>
      </c>
      <c r="C29" s="109">
        <v>0</v>
      </c>
      <c r="D29" s="109">
        <v>0</v>
      </c>
      <c r="E29" s="109">
        <v>0</v>
      </c>
      <c r="F29" s="109">
        <v>0</v>
      </c>
      <c r="G29" s="109">
        <v>0</v>
      </c>
      <c r="H29" s="109">
        <v>0</v>
      </c>
      <c r="I29" s="109">
        <v>0</v>
      </c>
      <c r="L29" s="109">
        <f t="shared" si="6"/>
        <v>0</v>
      </c>
      <c r="M29" s="109">
        <f t="shared" si="29"/>
        <v>0</v>
      </c>
      <c r="N29" s="110">
        <f t="shared" si="26"/>
        <v>0</v>
      </c>
      <c r="O29" s="110">
        <f t="shared" si="30"/>
        <v>0</v>
      </c>
      <c r="P29" s="109">
        <f t="shared" si="27"/>
        <v>0</v>
      </c>
      <c r="Q29" s="109">
        <f t="shared" si="31"/>
        <v>0</v>
      </c>
      <c r="R29" s="109">
        <f t="shared" si="28"/>
        <v>0</v>
      </c>
      <c r="S29" s="109">
        <f t="shared" si="32"/>
        <v>0</v>
      </c>
      <c r="W29" s="109">
        <f t="shared" si="8"/>
        <v>0</v>
      </c>
      <c r="X29" s="109">
        <f t="shared" si="9"/>
        <v>0</v>
      </c>
      <c r="Y29" s="109">
        <f t="shared" si="10"/>
        <v>0</v>
      </c>
      <c r="Z29" s="109">
        <f t="shared" si="19"/>
        <v>0</v>
      </c>
      <c r="AA29" s="109">
        <f t="shared" si="11"/>
        <v>0</v>
      </c>
      <c r="AB29" s="109">
        <f t="shared" si="20"/>
        <v>0</v>
      </c>
      <c r="AC29" s="109">
        <f t="shared" si="12"/>
        <v>0</v>
      </c>
      <c r="AD29" s="109">
        <f t="shared" si="21"/>
        <v>0</v>
      </c>
    </row>
    <row r="30" spans="1:30" s="109" customFormat="1">
      <c r="A30" s="109" t="s">
        <v>192</v>
      </c>
      <c r="B30" s="109" t="s">
        <v>165</v>
      </c>
      <c r="C30" s="109">
        <v>0</v>
      </c>
      <c r="D30" s="109">
        <v>0</v>
      </c>
      <c r="E30" s="109">
        <v>0</v>
      </c>
      <c r="F30" s="109">
        <v>0</v>
      </c>
      <c r="G30" s="109">
        <v>0</v>
      </c>
      <c r="H30" s="109">
        <v>0</v>
      </c>
      <c r="I30" s="109">
        <v>0</v>
      </c>
      <c r="L30" s="109">
        <f t="shared" si="6"/>
        <v>0</v>
      </c>
      <c r="M30" s="109">
        <f t="shared" si="29"/>
        <v>0</v>
      </c>
      <c r="N30" s="110">
        <f t="shared" si="26"/>
        <v>0</v>
      </c>
      <c r="O30" s="110">
        <f t="shared" si="30"/>
        <v>0</v>
      </c>
      <c r="P30" s="109">
        <f t="shared" si="27"/>
        <v>0</v>
      </c>
      <c r="Q30" s="109">
        <f t="shared" si="31"/>
        <v>0</v>
      </c>
      <c r="R30" s="109">
        <f t="shared" si="28"/>
        <v>0</v>
      </c>
      <c r="S30" s="109">
        <f t="shared" si="32"/>
        <v>0</v>
      </c>
      <c r="W30" s="109">
        <f t="shared" si="8"/>
        <v>0</v>
      </c>
      <c r="X30" s="109">
        <f t="shared" si="9"/>
        <v>0</v>
      </c>
      <c r="Y30" s="109">
        <f t="shared" si="10"/>
        <v>0</v>
      </c>
      <c r="Z30" s="109">
        <f t="shared" si="19"/>
        <v>0</v>
      </c>
      <c r="AA30" s="109">
        <f t="shared" si="11"/>
        <v>0</v>
      </c>
      <c r="AB30" s="109">
        <f t="shared" si="20"/>
        <v>0</v>
      </c>
      <c r="AC30" s="109">
        <f t="shared" si="12"/>
        <v>0</v>
      </c>
      <c r="AD30" s="109">
        <f t="shared" si="21"/>
        <v>0</v>
      </c>
    </row>
    <row r="31" spans="1:30" s="109" customFormat="1">
      <c r="A31" s="109" t="s">
        <v>193</v>
      </c>
      <c r="B31" s="109" t="s">
        <v>165</v>
      </c>
      <c r="C31" s="109">
        <v>0</v>
      </c>
      <c r="D31" s="109">
        <v>0</v>
      </c>
      <c r="E31" s="109">
        <v>0</v>
      </c>
      <c r="F31" s="109">
        <v>0</v>
      </c>
      <c r="G31" s="109">
        <v>0</v>
      </c>
      <c r="H31" s="109">
        <v>0</v>
      </c>
      <c r="I31" s="109">
        <v>0</v>
      </c>
      <c r="L31" s="109">
        <f t="shared" si="6"/>
        <v>0</v>
      </c>
      <c r="M31" s="109">
        <f t="shared" si="29"/>
        <v>0</v>
      </c>
      <c r="N31" s="110">
        <f t="shared" si="26"/>
        <v>0</v>
      </c>
      <c r="O31" s="110">
        <f t="shared" si="30"/>
        <v>0</v>
      </c>
      <c r="P31" s="109">
        <f t="shared" si="27"/>
        <v>0</v>
      </c>
      <c r="Q31" s="109">
        <f t="shared" si="31"/>
        <v>0</v>
      </c>
      <c r="R31" s="109">
        <f t="shared" si="28"/>
        <v>0</v>
      </c>
      <c r="S31" s="109">
        <f t="shared" si="32"/>
        <v>0</v>
      </c>
      <c r="W31" s="109">
        <f t="shared" si="8"/>
        <v>0</v>
      </c>
      <c r="X31" s="109">
        <f t="shared" si="9"/>
        <v>0</v>
      </c>
      <c r="Y31" s="109">
        <f t="shared" si="10"/>
        <v>0</v>
      </c>
      <c r="Z31" s="109">
        <f t="shared" si="19"/>
        <v>0</v>
      </c>
      <c r="AA31" s="109">
        <f t="shared" si="11"/>
        <v>0</v>
      </c>
      <c r="AB31" s="109">
        <f t="shared" si="20"/>
        <v>0</v>
      </c>
      <c r="AC31" s="109">
        <f t="shared" si="12"/>
        <v>0</v>
      </c>
      <c r="AD31" s="109">
        <f t="shared" si="21"/>
        <v>0</v>
      </c>
    </row>
    <row r="32" spans="1:30" s="109" customFormat="1">
      <c r="A32" s="109" t="s">
        <v>194</v>
      </c>
      <c r="B32" s="109" t="s">
        <v>165</v>
      </c>
      <c r="C32" s="109">
        <v>0</v>
      </c>
      <c r="D32" s="109">
        <v>0</v>
      </c>
      <c r="E32" s="109">
        <v>0</v>
      </c>
      <c r="F32" s="109">
        <v>0</v>
      </c>
      <c r="G32" s="109">
        <v>0</v>
      </c>
      <c r="H32" s="109">
        <v>0</v>
      </c>
      <c r="I32" s="109">
        <v>0</v>
      </c>
      <c r="L32" s="109">
        <f t="shared" si="6"/>
        <v>0</v>
      </c>
      <c r="M32" s="109">
        <f t="shared" si="29"/>
        <v>0</v>
      </c>
      <c r="N32" s="110">
        <f t="shared" si="26"/>
        <v>0</v>
      </c>
      <c r="O32" s="110">
        <f t="shared" si="30"/>
        <v>0</v>
      </c>
      <c r="P32" s="109">
        <f t="shared" si="27"/>
        <v>0</v>
      </c>
      <c r="Q32" s="109">
        <f t="shared" si="31"/>
        <v>0</v>
      </c>
      <c r="R32" s="109">
        <f t="shared" si="28"/>
        <v>0</v>
      </c>
      <c r="S32" s="109">
        <f t="shared" si="32"/>
        <v>0</v>
      </c>
      <c r="W32" s="109">
        <f t="shared" si="8"/>
        <v>0</v>
      </c>
      <c r="X32" s="109">
        <f t="shared" si="9"/>
        <v>0</v>
      </c>
      <c r="Y32" s="109">
        <f t="shared" si="10"/>
        <v>0</v>
      </c>
      <c r="Z32" s="109">
        <f t="shared" si="19"/>
        <v>0</v>
      </c>
      <c r="AA32" s="109">
        <f t="shared" si="11"/>
        <v>0</v>
      </c>
      <c r="AB32" s="109">
        <f t="shared" si="20"/>
        <v>0</v>
      </c>
      <c r="AC32" s="109">
        <f t="shared" si="12"/>
        <v>0</v>
      </c>
      <c r="AD32" s="109">
        <f t="shared" si="21"/>
        <v>0</v>
      </c>
    </row>
    <row r="33" spans="1:30" s="109" customFormat="1">
      <c r="A33" s="109" t="s">
        <v>195</v>
      </c>
      <c r="B33" s="109" t="s">
        <v>165</v>
      </c>
      <c r="C33" s="109">
        <f>24.7+32</f>
        <v>56.7</v>
      </c>
      <c r="D33" s="109">
        <f>68.5+8.9</f>
        <v>77.400000000000006</v>
      </c>
      <c r="E33" s="109">
        <f>68.5+8.9</f>
        <v>77.400000000000006</v>
      </c>
      <c r="F33" s="109">
        <v>100</v>
      </c>
      <c r="G33" s="109">
        <v>100</v>
      </c>
      <c r="H33" s="109">
        <f>83+7.75</f>
        <v>90.75</v>
      </c>
      <c r="I33" s="109">
        <f>83+7.75</f>
        <v>90.75</v>
      </c>
      <c r="L33" s="109">
        <f t="shared" si="6"/>
        <v>56.7</v>
      </c>
      <c r="M33" s="109">
        <f>L33-10</f>
        <v>46.7</v>
      </c>
      <c r="N33" s="111">
        <f t="shared" si="26"/>
        <v>77.400000000000006</v>
      </c>
      <c r="O33" s="111">
        <f>N33-10</f>
        <v>67.400000000000006</v>
      </c>
      <c r="P33" s="109">
        <f t="shared" si="27"/>
        <v>100</v>
      </c>
      <c r="Q33" s="109">
        <f>P33-20</f>
        <v>80</v>
      </c>
      <c r="R33" s="109">
        <f>AVERAGE(H33,I33)</f>
        <v>90.75</v>
      </c>
      <c r="S33" s="109">
        <f>R33-20</f>
        <v>70.75</v>
      </c>
      <c r="W33" s="109">
        <f t="shared" si="8"/>
        <v>56.7</v>
      </c>
      <c r="X33" s="109">
        <f t="shared" si="9"/>
        <v>46.7</v>
      </c>
      <c r="Y33" s="109">
        <f t="shared" si="10"/>
        <v>77.400000000000006</v>
      </c>
      <c r="Z33" s="109">
        <f t="shared" si="19"/>
        <v>67.400000000000006</v>
      </c>
      <c r="AA33" s="109">
        <f t="shared" si="11"/>
        <v>100</v>
      </c>
      <c r="AB33" s="109">
        <f t="shared" si="20"/>
        <v>80</v>
      </c>
      <c r="AC33" s="109">
        <f t="shared" si="12"/>
        <v>90.75</v>
      </c>
      <c r="AD33" s="109">
        <f t="shared" si="21"/>
        <v>70.75</v>
      </c>
    </row>
    <row r="34" spans="1:30" s="109" customFormat="1">
      <c r="A34" s="109" t="s">
        <v>196</v>
      </c>
      <c r="B34" s="109" t="s">
        <v>165</v>
      </c>
      <c r="C34" s="109">
        <v>0</v>
      </c>
      <c r="D34" s="109">
        <v>0</v>
      </c>
      <c r="E34" s="109">
        <v>0</v>
      </c>
      <c r="F34" s="109">
        <v>0</v>
      </c>
      <c r="G34" s="109">
        <v>0</v>
      </c>
      <c r="H34" s="109">
        <v>0</v>
      </c>
      <c r="I34" s="109">
        <v>0</v>
      </c>
      <c r="L34" s="109">
        <f t="shared" si="6"/>
        <v>0</v>
      </c>
      <c r="M34" s="109">
        <f t="shared" si="29"/>
        <v>0</v>
      </c>
      <c r="N34" s="110">
        <f t="shared" si="26"/>
        <v>0</v>
      </c>
      <c r="O34" s="110">
        <f t="shared" si="30"/>
        <v>0</v>
      </c>
      <c r="P34" s="109">
        <f t="shared" si="27"/>
        <v>0</v>
      </c>
      <c r="Q34" s="109">
        <f>P34+20</f>
        <v>20</v>
      </c>
      <c r="R34" s="109">
        <f t="shared" si="28"/>
        <v>0</v>
      </c>
      <c r="S34" s="109">
        <f>R34+20</f>
        <v>20</v>
      </c>
      <c r="W34" s="109">
        <f t="shared" si="8"/>
        <v>0</v>
      </c>
      <c r="X34" s="109">
        <f t="shared" si="9"/>
        <v>0</v>
      </c>
      <c r="Y34" s="109">
        <f t="shared" si="10"/>
        <v>0</v>
      </c>
      <c r="Z34" s="109">
        <f t="shared" si="19"/>
        <v>0</v>
      </c>
      <c r="AA34" s="109">
        <f t="shared" si="11"/>
        <v>0</v>
      </c>
      <c r="AB34" s="109">
        <f t="shared" si="20"/>
        <v>20</v>
      </c>
      <c r="AC34" s="109">
        <f t="shared" si="12"/>
        <v>0</v>
      </c>
      <c r="AD34" s="109">
        <f t="shared" si="21"/>
        <v>20</v>
      </c>
    </row>
    <row r="35" spans="1:30" s="109" customFormat="1">
      <c r="A35" s="109" t="s">
        <v>197</v>
      </c>
      <c r="B35" s="109" t="s">
        <v>165</v>
      </c>
      <c r="C35" s="109">
        <v>0</v>
      </c>
      <c r="D35" s="109">
        <v>0</v>
      </c>
      <c r="E35" s="109">
        <v>0</v>
      </c>
      <c r="F35" s="109">
        <v>0</v>
      </c>
      <c r="G35" s="109">
        <v>0</v>
      </c>
      <c r="H35" s="109">
        <v>0</v>
      </c>
      <c r="I35" s="109">
        <v>0</v>
      </c>
      <c r="L35" s="109">
        <f t="shared" si="6"/>
        <v>0</v>
      </c>
      <c r="M35" s="109">
        <f t="shared" si="29"/>
        <v>0</v>
      </c>
      <c r="N35" s="110">
        <f t="shared" si="26"/>
        <v>0</v>
      </c>
      <c r="O35" s="110">
        <f t="shared" si="30"/>
        <v>0</v>
      </c>
      <c r="P35" s="109">
        <f t="shared" si="27"/>
        <v>0</v>
      </c>
      <c r="Q35" s="109">
        <f t="shared" si="31"/>
        <v>0</v>
      </c>
      <c r="R35" s="109">
        <f t="shared" si="28"/>
        <v>0</v>
      </c>
      <c r="S35" s="109">
        <f t="shared" si="32"/>
        <v>0</v>
      </c>
      <c r="W35" s="109">
        <f t="shared" si="8"/>
        <v>0</v>
      </c>
      <c r="X35" s="109">
        <f t="shared" si="9"/>
        <v>0</v>
      </c>
      <c r="Y35" s="109">
        <f t="shared" si="10"/>
        <v>0</v>
      </c>
      <c r="Z35" s="109">
        <f t="shared" si="19"/>
        <v>0</v>
      </c>
      <c r="AA35" s="109">
        <f t="shared" si="11"/>
        <v>0</v>
      </c>
      <c r="AB35" s="109">
        <f t="shared" si="20"/>
        <v>0</v>
      </c>
      <c r="AC35" s="109">
        <f t="shared" si="12"/>
        <v>0</v>
      </c>
      <c r="AD35" s="109">
        <f t="shared" si="21"/>
        <v>0</v>
      </c>
    </row>
    <row r="36" spans="1:30" s="109" customFormat="1">
      <c r="A36" s="109" t="s">
        <v>198</v>
      </c>
      <c r="B36" s="109" t="s">
        <v>165</v>
      </c>
      <c r="C36" s="109">
        <v>0</v>
      </c>
      <c r="D36" s="109">
        <v>0</v>
      </c>
      <c r="E36" s="109">
        <v>0</v>
      </c>
      <c r="F36" s="109">
        <v>0</v>
      </c>
      <c r="G36" s="109">
        <v>0</v>
      </c>
      <c r="H36" s="109">
        <v>0</v>
      </c>
      <c r="I36" s="109">
        <v>0</v>
      </c>
      <c r="L36" s="109">
        <f t="shared" si="6"/>
        <v>0</v>
      </c>
      <c r="M36" s="109">
        <f t="shared" si="29"/>
        <v>0</v>
      </c>
      <c r="N36" s="110">
        <f t="shared" si="26"/>
        <v>0</v>
      </c>
      <c r="O36" s="110">
        <f t="shared" si="30"/>
        <v>0</v>
      </c>
      <c r="P36" s="109">
        <f t="shared" si="27"/>
        <v>0</v>
      </c>
      <c r="Q36" s="109">
        <f t="shared" si="31"/>
        <v>0</v>
      </c>
      <c r="R36" s="109">
        <f t="shared" si="28"/>
        <v>0</v>
      </c>
      <c r="S36" s="109">
        <f t="shared" si="32"/>
        <v>0</v>
      </c>
      <c r="W36" s="109">
        <f t="shared" si="8"/>
        <v>0</v>
      </c>
      <c r="X36" s="109">
        <f t="shared" si="9"/>
        <v>0</v>
      </c>
      <c r="Y36" s="109">
        <f t="shared" si="10"/>
        <v>0</v>
      </c>
      <c r="Z36" s="109">
        <f t="shared" si="19"/>
        <v>0</v>
      </c>
      <c r="AA36" s="109">
        <f t="shared" si="11"/>
        <v>0</v>
      </c>
      <c r="AB36" s="109">
        <f t="shared" si="20"/>
        <v>0</v>
      </c>
      <c r="AC36" s="109">
        <f t="shared" si="12"/>
        <v>0</v>
      </c>
      <c r="AD36" s="109">
        <f t="shared" si="21"/>
        <v>0</v>
      </c>
    </row>
    <row r="37" spans="1:30" s="109" customFormat="1">
      <c r="A37" s="109" t="s">
        <v>199</v>
      </c>
      <c r="B37" s="109" t="s">
        <v>165</v>
      </c>
      <c r="C37" s="109">
        <v>0</v>
      </c>
      <c r="D37" s="109">
        <v>0</v>
      </c>
      <c r="E37" s="109">
        <v>0</v>
      </c>
      <c r="F37" s="109">
        <v>0</v>
      </c>
      <c r="G37" s="109">
        <v>0</v>
      </c>
      <c r="H37" s="109">
        <v>0</v>
      </c>
      <c r="I37" s="109">
        <v>0</v>
      </c>
      <c r="L37" s="109">
        <f t="shared" si="6"/>
        <v>0</v>
      </c>
      <c r="M37" s="109">
        <f t="shared" si="29"/>
        <v>0</v>
      </c>
      <c r="N37" s="110">
        <f t="shared" si="26"/>
        <v>0</v>
      </c>
      <c r="O37" s="110">
        <f t="shared" si="30"/>
        <v>0</v>
      </c>
      <c r="P37" s="109">
        <f t="shared" si="27"/>
        <v>0</v>
      </c>
      <c r="Q37" s="109">
        <f t="shared" si="31"/>
        <v>0</v>
      </c>
      <c r="R37" s="109">
        <f t="shared" si="28"/>
        <v>0</v>
      </c>
      <c r="S37" s="109">
        <f t="shared" si="32"/>
        <v>0</v>
      </c>
      <c r="W37" s="109">
        <f t="shared" si="8"/>
        <v>0</v>
      </c>
      <c r="X37" s="109">
        <f t="shared" si="9"/>
        <v>0</v>
      </c>
      <c r="Y37" s="109">
        <f t="shared" si="10"/>
        <v>0</v>
      </c>
      <c r="Z37" s="109">
        <f t="shared" si="19"/>
        <v>0</v>
      </c>
      <c r="AA37" s="109">
        <f t="shared" si="11"/>
        <v>0</v>
      </c>
      <c r="AB37" s="109">
        <f t="shared" si="20"/>
        <v>0</v>
      </c>
      <c r="AC37" s="109">
        <f t="shared" si="12"/>
        <v>0</v>
      </c>
      <c r="AD37" s="109">
        <f t="shared" si="21"/>
        <v>0</v>
      </c>
    </row>
    <row r="38" spans="1:30" s="109" customFormat="1">
      <c r="A38" s="109" t="s">
        <v>200</v>
      </c>
      <c r="B38" s="109" t="s">
        <v>165</v>
      </c>
      <c r="C38" s="109">
        <v>24.5</v>
      </c>
      <c r="D38" s="109">
        <f>1.4+1.4+7.5+0.4+0.9</f>
        <v>11.600000000000001</v>
      </c>
      <c r="E38" s="109">
        <f>1.4+1.4+7.5+0.4+0.9</f>
        <v>11.600000000000001</v>
      </c>
      <c r="F38" s="109">
        <v>0</v>
      </c>
      <c r="G38" s="109">
        <v>0</v>
      </c>
      <c r="H38" s="109">
        <f>4.85+2.22+0.31+0.31+0.31</f>
        <v>7.9999999999999991</v>
      </c>
      <c r="I38" s="109">
        <f>4.85+2.22+0.31+0.31+0.31</f>
        <v>7.9999999999999991</v>
      </c>
      <c r="L38" s="109">
        <f t="shared" si="6"/>
        <v>24.5</v>
      </c>
      <c r="M38" s="109">
        <f t="shared" si="29"/>
        <v>24.5</v>
      </c>
      <c r="N38" s="111">
        <f t="shared" si="26"/>
        <v>11.600000000000001</v>
      </c>
      <c r="O38" s="111">
        <f t="shared" si="30"/>
        <v>11.600000000000001</v>
      </c>
      <c r="P38" s="109">
        <f t="shared" si="27"/>
        <v>0</v>
      </c>
      <c r="Q38" s="109">
        <f t="shared" si="31"/>
        <v>0</v>
      </c>
      <c r="R38" s="109">
        <f t="shared" si="28"/>
        <v>7.9999999999999991</v>
      </c>
      <c r="S38" s="109">
        <f t="shared" si="32"/>
        <v>7.9999999999999991</v>
      </c>
      <c r="W38" s="109">
        <f t="shared" si="8"/>
        <v>24.5</v>
      </c>
      <c r="X38" s="109">
        <f t="shared" si="9"/>
        <v>24.5</v>
      </c>
      <c r="Y38" s="109">
        <f t="shared" si="10"/>
        <v>11.600000000000001</v>
      </c>
      <c r="Z38" s="109">
        <f t="shared" si="19"/>
        <v>11.600000000000001</v>
      </c>
      <c r="AA38" s="109">
        <f t="shared" si="11"/>
        <v>0</v>
      </c>
      <c r="AB38" s="109">
        <f t="shared" si="20"/>
        <v>0</v>
      </c>
      <c r="AC38" s="109">
        <f t="shared" si="12"/>
        <v>7.9999999999999991</v>
      </c>
      <c r="AD38" s="109">
        <f t="shared" si="21"/>
        <v>7.9999999999999991</v>
      </c>
    </row>
    <row r="39" spans="1:30" s="109" customFormat="1">
      <c r="A39" s="109" t="s">
        <v>201</v>
      </c>
      <c r="B39" s="109" t="s">
        <v>165</v>
      </c>
      <c r="C39" s="109">
        <v>0</v>
      </c>
      <c r="D39" s="109">
        <v>0</v>
      </c>
      <c r="E39" s="109">
        <v>0</v>
      </c>
      <c r="F39" s="109">
        <v>0</v>
      </c>
      <c r="G39" s="109">
        <v>0</v>
      </c>
      <c r="H39" s="109">
        <v>0</v>
      </c>
      <c r="I39" s="109">
        <v>0</v>
      </c>
      <c r="L39" s="109">
        <f t="shared" si="6"/>
        <v>0</v>
      </c>
      <c r="M39" s="109">
        <f t="shared" si="29"/>
        <v>0</v>
      </c>
      <c r="N39" s="110">
        <f t="shared" si="26"/>
        <v>0</v>
      </c>
      <c r="O39" s="110">
        <f t="shared" si="30"/>
        <v>0</v>
      </c>
      <c r="P39" s="109">
        <f t="shared" si="27"/>
        <v>0</v>
      </c>
      <c r="Q39" s="109">
        <f t="shared" si="31"/>
        <v>0</v>
      </c>
      <c r="R39" s="109">
        <f t="shared" si="28"/>
        <v>0</v>
      </c>
      <c r="S39" s="109">
        <f t="shared" si="32"/>
        <v>0</v>
      </c>
      <c r="W39" s="109">
        <f t="shared" si="8"/>
        <v>0</v>
      </c>
      <c r="X39" s="109">
        <f t="shared" si="9"/>
        <v>0</v>
      </c>
      <c r="Y39" s="109">
        <f t="shared" si="10"/>
        <v>0</v>
      </c>
      <c r="Z39" s="109">
        <f t="shared" si="19"/>
        <v>0</v>
      </c>
      <c r="AA39" s="109">
        <f t="shared" si="11"/>
        <v>0</v>
      </c>
      <c r="AB39" s="109">
        <f t="shared" si="20"/>
        <v>0</v>
      </c>
      <c r="AC39" s="109">
        <f t="shared" si="12"/>
        <v>0</v>
      </c>
      <c r="AD39" s="109">
        <f t="shared" si="21"/>
        <v>0</v>
      </c>
    </row>
    <row r="40" spans="1:30" s="109" customFormat="1">
      <c r="A40" s="109" t="s">
        <v>202</v>
      </c>
      <c r="B40" s="109" t="s">
        <v>165</v>
      </c>
      <c r="C40" s="109">
        <v>0</v>
      </c>
      <c r="D40" s="109">
        <v>0</v>
      </c>
      <c r="E40" s="109">
        <v>0</v>
      </c>
      <c r="F40" s="109">
        <v>0</v>
      </c>
      <c r="G40" s="109">
        <v>0</v>
      </c>
      <c r="H40" s="109">
        <v>0</v>
      </c>
      <c r="I40" s="109">
        <v>0</v>
      </c>
      <c r="L40" s="109">
        <f t="shared" si="6"/>
        <v>0</v>
      </c>
      <c r="M40" s="109">
        <f t="shared" si="29"/>
        <v>0</v>
      </c>
      <c r="N40" s="110">
        <f t="shared" si="26"/>
        <v>0</v>
      </c>
      <c r="O40" s="110">
        <f t="shared" si="30"/>
        <v>0</v>
      </c>
      <c r="P40" s="109">
        <f t="shared" si="27"/>
        <v>0</v>
      </c>
      <c r="Q40" s="109">
        <f t="shared" si="31"/>
        <v>0</v>
      </c>
      <c r="R40" s="109">
        <f t="shared" si="28"/>
        <v>0</v>
      </c>
      <c r="S40" s="109">
        <f t="shared" si="32"/>
        <v>0</v>
      </c>
      <c r="W40" s="109">
        <f t="shared" si="8"/>
        <v>0</v>
      </c>
      <c r="X40" s="109">
        <f t="shared" si="9"/>
        <v>0</v>
      </c>
      <c r="Y40" s="109">
        <f t="shared" si="10"/>
        <v>0</v>
      </c>
      <c r="Z40" s="109">
        <f t="shared" si="19"/>
        <v>0</v>
      </c>
      <c r="AA40" s="109">
        <f t="shared" si="11"/>
        <v>0</v>
      </c>
      <c r="AB40" s="109">
        <f t="shared" si="20"/>
        <v>0</v>
      </c>
      <c r="AC40" s="109">
        <f t="shared" si="12"/>
        <v>0</v>
      </c>
      <c r="AD40" s="109">
        <f t="shared" si="21"/>
        <v>0</v>
      </c>
    </row>
    <row r="41" spans="1:30" s="109" customFormat="1">
      <c r="A41" s="109" t="s">
        <v>203</v>
      </c>
      <c r="B41" s="109" t="s">
        <v>165</v>
      </c>
      <c r="C41" s="109">
        <v>0</v>
      </c>
      <c r="D41" s="109">
        <v>0</v>
      </c>
      <c r="E41" s="109">
        <v>0</v>
      </c>
      <c r="F41" s="109">
        <v>0</v>
      </c>
      <c r="G41" s="109">
        <v>0</v>
      </c>
      <c r="H41" s="109">
        <v>0</v>
      </c>
      <c r="I41" s="109">
        <v>0</v>
      </c>
      <c r="L41" s="109">
        <f t="shared" si="6"/>
        <v>0</v>
      </c>
      <c r="M41" s="109">
        <f t="shared" si="29"/>
        <v>0</v>
      </c>
      <c r="N41" s="110">
        <f t="shared" si="26"/>
        <v>0</v>
      </c>
      <c r="O41" s="110">
        <f t="shared" si="30"/>
        <v>0</v>
      </c>
      <c r="P41" s="109">
        <f t="shared" si="27"/>
        <v>0</v>
      </c>
      <c r="Q41" s="109">
        <f t="shared" si="31"/>
        <v>0</v>
      </c>
      <c r="R41" s="109">
        <f t="shared" si="28"/>
        <v>0</v>
      </c>
      <c r="S41" s="109">
        <f t="shared" si="32"/>
        <v>0</v>
      </c>
      <c r="W41" s="109">
        <f t="shared" si="8"/>
        <v>0</v>
      </c>
      <c r="X41" s="109">
        <f t="shared" si="9"/>
        <v>0</v>
      </c>
      <c r="Y41" s="109">
        <f t="shared" si="10"/>
        <v>0</v>
      </c>
      <c r="Z41" s="109">
        <f t="shared" si="19"/>
        <v>0</v>
      </c>
      <c r="AA41" s="109">
        <f t="shared" si="11"/>
        <v>0</v>
      </c>
      <c r="AB41" s="109">
        <f t="shared" si="20"/>
        <v>0</v>
      </c>
      <c r="AC41" s="109">
        <f t="shared" si="12"/>
        <v>0</v>
      </c>
      <c r="AD41" s="109">
        <f t="shared" si="21"/>
        <v>0</v>
      </c>
    </row>
    <row r="42" spans="1:30" s="109" customFormat="1">
      <c r="A42" s="109" t="s">
        <v>204</v>
      </c>
      <c r="B42" s="109" t="s">
        <v>165</v>
      </c>
      <c r="C42" s="109">
        <v>6.1</v>
      </c>
      <c r="D42" s="109">
        <v>5.6</v>
      </c>
      <c r="E42" s="109">
        <v>5.6</v>
      </c>
      <c r="F42" s="109">
        <v>0</v>
      </c>
      <c r="G42" s="109">
        <v>0</v>
      </c>
      <c r="H42" s="109">
        <v>0.67</v>
      </c>
      <c r="I42" s="109">
        <v>0.67</v>
      </c>
      <c r="L42" s="109">
        <f t="shared" si="6"/>
        <v>6.1</v>
      </c>
      <c r="M42" s="109">
        <f t="shared" si="29"/>
        <v>6.1</v>
      </c>
      <c r="N42" s="111">
        <f t="shared" si="26"/>
        <v>5.6</v>
      </c>
      <c r="O42" s="111">
        <f t="shared" si="30"/>
        <v>5.6</v>
      </c>
      <c r="P42" s="109">
        <f t="shared" si="27"/>
        <v>0</v>
      </c>
      <c r="Q42" s="109">
        <f t="shared" si="31"/>
        <v>0</v>
      </c>
      <c r="R42" s="109">
        <f t="shared" si="28"/>
        <v>0.67</v>
      </c>
      <c r="S42" s="109">
        <f t="shared" si="32"/>
        <v>0.67</v>
      </c>
      <c r="W42" s="109">
        <f t="shared" si="8"/>
        <v>6.1</v>
      </c>
      <c r="X42" s="109">
        <f t="shared" si="9"/>
        <v>6.1</v>
      </c>
      <c r="Y42" s="109">
        <f t="shared" si="10"/>
        <v>5.6</v>
      </c>
      <c r="Z42" s="109">
        <f t="shared" si="19"/>
        <v>5.6</v>
      </c>
      <c r="AA42" s="109">
        <f t="shared" si="11"/>
        <v>0</v>
      </c>
      <c r="AB42" s="109">
        <f t="shared" si="20"/>
        <v>0</v>
      </c>
      <c r="AC42" s="109">
        <f t="shared" si="12"/>
        <v>0.67</v>
      </c>
      <c r="AD42" s="109">
        <f t="shared" si="21"/>
        <v>0.67</v>
      </c>
    </row>
    <row r="43" spans="1:30" s="109" customFormat="1">
      <c r="A43" s="109" t="s">
        <v>205</v>
      </c>
      <c r="B43" s="109" t="s">
        <v>165</v>
      </c>
      <c r="C43" s="109">
        <v>0</v>
      </c>
      <c r="D43" s="109">
        <v>0.5</v>
      </c>
      <c r="E43" s="109">
        <v>0.5</v>
      </c>
      <c r="F43" s="109">
        <v>0</v>
      </c>
      <c r="G43" s="109">
        <v>0</v>
      </c>
      <c r="H43" s="109">
        <v>0</v>
      </c>
      <c r="I43" s="109">
        <v>0</v>
      </c>
      <c r="L43" s="109">
        <f t="shared" si="6"/>
        <v>0</v>
      </c>
      <c r="M43" s="109">
        <f t="shared" si="29"/>
        <v>0</v>
      </c>
      <c r="N43" s="111">
        <f t="shared" si="26"/>
        <v>0.5</v>
      </c>
      <c r="O43" s="111">
        <f t="shared" si="30"/>
        <v>0.5</v>
      </c>
      <c r="P43" s="109">
        <f t="shared" si="27"/>
        <v>0</v>
      </c>
      <c r="Q43" s="109">
        <f t="shared" si="31"/>
        <v>0</v>
      </c>
      <c r="R43" s="109">
        <f t="shared" si="28"/>
        <v>0</v>
      </c>
      <c r="S43" s="109">
        <f t="shared" si="32"/>
        <v>0</v>
      </c>
      <c r="W43" s="109">
        <f t="shared" si="8"/>
        <v>0</v>
      </c>
      <c r="X43" s="109">
        <f t="shared" si="9"/>
        <v>0</v>
      </c>
      <c r="Y43" s="109">
        <f t="shared" si="10"/>
        <v>0.5</v>
      </c>
      <c r="Z43" s="109">
        <f t="shared" si="19"/>
        <v>0.5</v>
      </c>
      <c r="AA43" s="109">
        <f t="shared" si="11"/>
        <v>0</v>
      </c>
      <c r="AB43" s="109">
        <f t="shared" si="20"/>
        <v>0</v>
      </c>
      <c r="AC43" s="109">
        <f t="shared" si="12"/>
        <v>0</v>
      </c>
      <c r="AD43" s="109">
        <f t="shared" si="21"/>
        <v>0</v>
      </c>
    </row>
    <row r="44" spans="1:30" s="109" customFormat="1">
      <c r="A44" s="109" t="s">
        <v>206</v>
      </c>
      <c r="B44" s="109" t="s">
        <v>165</v>
      </c>
      <c r="C44" s="109">
        <v>0</v>
      </c>
      <c r="D44" s="109">
        <v>0</v>
      </c>
      <c r="E44" s="109">
        <v>0</v>
      </c>
      <c r="F44" s="109">
        <v>0</v>
      </c>
      <c r="G44" s="109">
        <v>0</v>
      </c>
      <c r="H44" s="109">
        <v>0</v>
      </c>
      <c r="I44" s="109">
        <v>0</v>
      </c>
      <c r="L44" s="109">
        <f t="shared" si="6"/>
        <v>0</v>
      </c>
      <c r="M44" s="109">
        <f t="shared" si="29"/>
        <v>0</v>
      </c>
      <c r="N44" s="110">
        <f t="shared" si="26"/>
        <v>0</v>
      </c>
      <c r="O44" s="110">
        <f t="shared" si="30"/>
        <v>0</v>
      </c>
      <c r="P44" s="109">
        <f t="shared" si="27"/>
        <v>0</v>
      </c>
      <c r="Q44" s="109">
        <f t="shared" si="31"/>
        <v>0</v>
      </c>
      <c r="R44" s="109">
        <f t="shared" si="28"/>
        <v>0</v>
      </c>
      <c r="S44" s="109">
        <f t="shared" si="32"/>
        <v>0</v>
      </c>
      <c r="W44" s="109">
        <f t="shared" si="8"/>
        <v>0</v>
      </c>
      <c r="X44" s="109">
        <f t="shared" si="9"/>
        <v>0</v>
      </c>
      <c r="Y44" s="109">
        <f t="shared" si="10"/>
        <v>0</v>
      </c>
      <c r="Z44" s="109">
        <f t="shared" si="19"/>
        <v>0</v>
      </c>
      <c r="AA44" s="109">
        <f t="shared" si="11"/>
        <v>0</v>
      </c>
      <c r="AB44" s="109">
        <f t="shared" si="20"/>
        <v>0</v>
      </c>
      <c r="AC44" s="109">
        <f t="shared" si="12"/>
        <v>0</v>
      </c>
      <c r="AD44" s="109">
        <f t="shared" si="21"/>
        <v>0</v>
      </c>
    </row>
    <row r="45" spans="1:30" s="109" customFormat="1">
      <c r="A45" s="109" t="s">
        <v>207</v>
      </c>
      <c r="B45" s="109" t="s">
        <v>165</v>
      </c>
      <c r="C45" s="109">
        <v>0</v>
      </c>
      <c r="D45" s="109">
        <v>0</v>
      </c>
      <c r="E45" s="109">
        <v>0</v>
      </c>
      <c r="F45" s="109">
        <v>0</v>
      </c>
      <c r="G45" s="109">
        <v>0</v>
      </c>
      <c r="H45" s="109">
        <v>0</v>
      </c>
      <c r="I45" s="109">
        <v>0</v>
      </c>
      <c r="L45" s="109">
        <f t="shared" si="6"/>
        <v>0</v>
      </c>
      <c r="M45" s="109">
        <f t="shared" si="29"/>
        <v>0</v>
      </c>
      <c r="N45" s="110">
        <f t="shared" si="26"/>
        <v>0</v>
      </c>
      <c r="O45" s="110">
        <f t="shared" si="30"/>
        <v>0</v>
      </c>
      <c r="P45" s="109">
        <f t="shared" si="27"/>
        <v>0</v>
      </c>
      <c r="Q45" s="109">
        <f t="shared" si="31"/>
        <v>0</v>
      </c>
      <c r="R45" s="109">
        <f t="shared" si="28"/>
        <v>0</v>
      </c>
      <c r="S45" s="109">
        <f t="shared" si="32"/>
        <v>0</v>
      </c>
      <c r="W45" s="109">
        <f t="shared" si="8"/>
        <v>0</v>
      </c>
      <c r="X45" s="109">
        <f t="shared" si="9"/>
        <v>0</v>
      </c>
      <c r="Y45" s="109">
        <f t="shared" si="10"/>
        <v>0</v>
      </c>
      <c r="Z45" s="109">
        <f t="shared" si="19"/>
        <v>0</v>
      </c>
      <c r="AA45" s="109">
        <f t="shared" si="11"/>
        <v>0</v>
      </c>
      <c r="AB45" s="109">
        <f t="shared" si="20"/>
        <v>0</v>
      </c>
      <c r="AC45" s="109">
        <f t="shared" si="12"/>
        <v>0</v>
      </c>
      <c r="AD45" s="109">
        <f t="shared" si="21"/>
        <v>0</v>
      </c>
    </row>
    <row r="46" spans="1:30" s="109" customFormat="1">
      <c r="A46" s="109" t="s">
        <v>208</v>
      </c>
      <c r="B46" s="109" t="s">
        <v>165</v>
      </c>
      <c r="C46" s="109">
        <v>0</v>
      </c>
      <c r="D46" s="109">
        <v>0</v>
      </c>
      <c r="E46" s="109">
        <v>0</v>
      </c>
      <c r="F46" s="109">
        <v>0</v>
      </c>
      <c r="G46" s="109">
        <v>0</v>
      </c>
      <c r="H46" s="109">
        <v>0</v>
      </c>
      <c r="I46" s="109">
        <v>0</v>
      </c>
      <c r="L46" s="109">
        <f t="shared" si="6"/>
        <v>0</v>
      </c>
      <c r="M46" s="109">
        <f t="shared" si="29"/>
        <v>0</v>
      </c>
      <c r="N46" s="110">
        <f t="shared" si="26"/>
        <v>0</v>
      </c>
      <c r="O46" s="110">
        <f t="shared" si="30"/>
        <v>0</v>
      </c>
      <c r="P46" s="109">
        <f t="shared" si="27"/>
        <v>0</v>
      </c>
      <c r="Q46" s="109">
        <f t="shared" si="31"/>
        <v>0</v>
      </c>
      <c r="R46" s="109">
        <f t="shared" si="28"/>
        <v>0</v>
      </c>
      <c r="S46" s="109">
        <f t="shared" si="32"/>
        <v>0</v>
      </c>
      <c r="W46" s="109">
        <f t="shared" si="8"/>
        <v>0</v>
      </c>
      <c r="X46" s="109">
        <f t="shared" si="9"/>
        <v>0</v>
      </c>
      <c r="Y46" s="109">
        <f t="shared" si="10"/>
        <v>0</v>
      </c>
      <c r="Z46" s="109">
        <f t="shared" si="19"/>
        <v>0</v>
      </c>
      <c r="AA46" s="109">
        <f t="shared" si="11"/>
        <v>0</v>
      </c>
      <c r="AB46" s="109">
        <f t="shared" si="20"/>
        <v>0</v>
      </c>
      <c r="AC46" s="109">
        <f t="shared" si="12"/>
        <v>0</v>
      </c>
      <c r="AD46" s="109">
        <f t="shared" si="21"/>
        <v>0</v>
      </c>
    </row>
    <row r="47" spans="1:30" s="109" customFormat="1">
      <c r="A47" s="109" t="s">
        <v>209</v>
      </c>
      <c r="B47" s="109" t="s">
        <v>165</v>
      </c>
      <c r="C47" s="109">
        <v>0</v>
      </c>
      <c r="D47" s="109">
        <v>2.8</v>
      </c>
      <c r="E47" s="109">
        <v>2.8</v>
      </c>
      <c r="F47" s="109">
        <v>0</v>
      </c>
      <c r="G47" s="109">
        <v>0</v>
      </c>
      <c r="H47" s="109">
        <v>0</v>
      </c>
      <c r="I47" s="109">
        <v>0</v>
      </c>
      <c r="L47" s="109">
        <f t="shared" si="6"/>
        <v>0</v>
      </c>
      <c r="M47" s="109">
        <f>L47+10</f>
        <v>10</v>
      </c>
      <c r="N47" s="111">
        <f t="shared" si="26"/>
        <v>2.8</v>
      </c>
      <c r="O47" s="111">
        <f>N47+10</f>
        <v>12.8</v>
      </c>
      <c r="P47" s="109">
        <f t="shared" si="27"/>
        <v>0</v>
      </c>
      <c r="Q47" s="109">
        <f t="shared" si="31"/>
        <v>0</v>
      </c>
      <c r="R47" s="109">
        <f t="shared" si="28"/>
        <v>0</v>
      </c>
      <c r="S47" s="109">
        <f t="shared" si="32"/>
        <v>0</v>
      </c>
      <c r="W47" s="109">
        <f t="shared" si="8"/>
        <v>0</v>
      </c>
      <c r="X47" s="109">
        <f t="shared" si="9"/>
        <v>10</v>
      </c>
      <c r="Y47" s="109">
        <f t="shared" si="10"/>
        <v>2.8</v>
      </c>
      <c r="Z47" s="109">
        <f t="shared" si="19"/>
        <v>12.8</v>
      </c>
      <c r="AA47" s="109">
        <f t="shared" si="11"/>
        <v>0</v>
      </c>
      <c r="AB47" s="109">
        <f t="shared" si="20"/>
        <v>0</v>
      </c>
      <c r="AC47" s="109">
        <f t="shared" si="12"/>
        <v>0</v>
      </c>
      <c r="AD47" s="109">
        <f t="shared" si="21"/>
        <v>0</v>
      </c>
    </row>
    <row r="48" spans="1:30" s="109" customFormat="1">
      <c r="A48" s="109" t="s">
        <v>210</v>
      </c>
      <c r="B48" s="109" t="s">
        <v>165</v>
      </c>
      <c r="C48" s="109">
        <v>4.3</v>
      </c>
      <c r="D48" s="109">
        <v>2.1</v>
      </c>
      <c r="E48" s="109">
        <v>2.1</v>
      </c>
      <c r="F48" s="109">
        <v>0</v>
      </c>
      <c r="G48" s="109">
        <v>0</v>
      </c>
      <c r="H48" s="109">
        <v>0</v>
      </c>
      <c r="I48" s="109">
        <v>0</v>
      </c>
      <c r="L48" s="109">
        <f t="shared" si="6"/>
        <v>4.3</v>
      </c>
      <c r="M48" s="109">
        <f t="shared" si="29"/>
        <v>4.3</v>
      </c>
      <c r="N48" s="111">
        <f t="shared" si="26"/>
        <v>2.1</v>
      </c>
      <c r="O48" s="111">
        <f t="shared" si="30"/>
        <v>2.1</v>
      </c>
      <c r="P48" s="109">
        <f t="shared" si="27"/>
        <v>0</v>
      </c>
      <c r="Q48" s="109">
        <f t="shared" si="31"/>
        <v>0</v>
      </c>
      <c r="R48" s="109">
        <f t="shared" si="28"/>
        <v>0</v>
      </c>
      <c r="S48" s="109">
        <f t="shared" si="32"/>
        <v>0</v>
      </c>
      <c r="W48" s="109">
        <f t="shared" si="8"/>
        <v>4.3</v>
      </c>
      <c r="X48" s="109">
        <f t="shared" si="9"/>
        <v>4.3</v>
      </c>
      <c r="Y48" s="109">
        <f t="shared" si="10"/>
        <v>2.1</v>
      </c>
      <c r="Z48" s="109">
        <f t="shared" si="19"/>
        <v>2.1</v>
      </c>
      <c r="AA48" s="109">
        <f t="shared" si="11"/>
        <v>0</v>
      </c>
      <c r="AB48" s="109">
        <f t="shared" si="20"/>
        <v>0</v>
      </c>
      <c r="AC48" s="109">
        <f t="shared" si="12"/>
        <v>0</v>
      </c>
      <c r="AD48" s="109">
        <f t="shared" si="21"/>
        <v>0</v>
      </c>
    </row>
    <row r="49" spans="1:30">
      <c r="A49" t="s">
        <v>182</v>
      </c>
      <c r="B49" t="s">
        <v>165</v>
      </c>
      <c r="C49">
        <v>3.5</v>
      </c>
      <c r="D49">
        <v>0</v>
      </c>
      <c r="E49">
        <v>0</v>
      </c>
      <c r="F49">
        <v>0</v>
      </c>
      <c r="G49">
        <v>0</v>
      </c>
      <c r="H49">
        <v>0.33</v>
      </c>
      <c r="I49">
        <v>0.33</v>
      </c>
      <c r="L49">
        <f t="shared" ref="L49:L77" si="33">C49</f>
        <v>3.5</v>
      </c>
      <c r="M49">
        <f>L49</f>
        <v>3.5</v>
      </c>
      <c r="N49" s="23">
        <f t="shared" ref="N49:N77" si="34">AVERAGE(D49,E49)</f>
        <v>0</v>
      </c>
      <c r="O49" s="23">
        <f>N49</f>
        <v>0</v>
      </c>
      <c r="P49">
        <f t="shared" ref="P49:P77" si="35">AVERAGE(F49,G49)</f>
        <v>0</v>
      </c>
      <c r="Q49">
        <f>P49</f>
        <v>0</v>
      </c>
      <c r="R49">
        <f t="shared" ref="R49:R61" si="36">AVERAGE(H49,I49)</f>
        <v>0.33</v>
      </c>
      <c r="S49">
        <f>R49</f>
        <v>0.33</v>
      </c>
      <c r="W49">
        <f t="shared" si="8"/>
        <v>3.5</v>
      </c>
      <c r="X49">
        <f t="shared" si="9"/>
        <v>3.5</v>
      </c>
      <c r="Y49">
        <f t="shared" si="10"/>
        <v>0</v>
      </c>
      <c r="Z49">
        <f t="shared" si="19"/>
        <v>0</v>
      </c>
      <c r="AA49">
        <f t="shared" si="11"/>
        <v>0</v>
      </c>
      <c r="AB49">
        <f t="shared" si="20"/>
        <v>0</v>
      </c>
      <c r="AC49">
        <f t="shared" si="12"/>
        <v>0.33</v>
      </c>
      <c r="AD49">
        <f t="shared" si="21"/>
        <v>0.33</v>
      </c>
    </row>
    <row r="50" spans="1:30">
      <c r="A50" t="s">
        <v>183</v>
      </c>
      <c r="B50" t="s">
        <v>165</v>
      </c>
      <c r="C50">
        <v>0</v>
      </c>
      <c r="D50">
        <v>0</v>
      </c>
      <c r="E50">
        <v>0</v>
      </c>
      <c r="F50">
        <v>0</v>
      </c>
      <c r="G50">
        <v>0</v>
      </c>
      <c r="H50">
        <v>0</v>
      </c>
      <c r="I50">
        <v>0</v>
      </c>
      <c r="L50">
        <f t="shared" si="33"/>
        <v>0</v>
      </c>
      <c r="M50">
        <f t="shared" ref="M50:M61" si="37">L50</f>
        <v>0</v>
      </c>
      <c r="N50" s="23">
        <f t="shared" si="34"/>
        <v>0</v>
      </c>
      <c r="O50" s="23">
        <f t="shared" ref="O50:O61" si="38">N50</f>
        <v>0</v>
      </c>
      <c r="P50">
        <f t="shared" si="35"/>
        <v>0</v>
      </c>
      <c r="Q50">
        <f t="shared" ref="Q50:Q61" si="39">P50</f>
        <v>0</v>
      </c>
      <c r="R50">
        <f t="shared" si="36"/>
        <v>0</v>
      </c>
      <c r="S50">
        <f t="shared" ref="S50:S61" si="40">R50</f>
        <v>0</v>
      </c>
      <c r="W50">
        <f t="shared" si="8"/>
        <v>0</v>
      </c>
      <c r="X50">
        <f t="shared" si="9"/>
        <v>0</v>
      </c>
      <c r="Y50">
        <f t="shared" si="10"/>
        <v>0</v>
      </c>
      <c r="Z50">
        <f t="shared" si="19"/>
        <v>0</v>
      </c>
      <c r="AA50">
        <f t="shared" si="11"/>
        <v>0</v>
      </c>
      <c r="AB50">
        <f t="shared" si="20"/>
        <v>0</v>
      </c>
      <c r="AC50">
        <f t="shared" si="12"/>
        <v>0</v>
      </c>
      <c r="AD50">
        <f t="shared" si="21"/>
        <v>0</v>
      </c>
    </row>
    <row r="51" spans="1:30">
      <c r="A51" t="s">
        <v>184</v>
      </c>
      <c r="B51" t="s">
        <v>165</v>
      </c>
      <c r="C51">
        <v>0</v>
      </c>
      <c r="D51">
        <v>0</v>
      </c>
      <c r="E51">
        <v>0</v>
      </c>
      <c r="F51">
        <v>0</v>
      </c>
      <c r="G51">
        <v>0</v>
      </c>
      <c r="H51">
        <v>0</v>
      </c>
      <c r="I51">
        <v>0</v>
      </c>
      <c r="L51">
        <f t="shared" si="33"/>
        <v>0</v>
      </c>
      <c r="M51">
        <f t="shared" si="37"/>
        <v>0</v>
      </c>
      <c r="N51" s="23">
        <f t="shared" si="34"/>
        <v>0</v>
      </c>
      <c r="O51" s="23">
        <f t="shared" si="38"/>
        <v>0</v>
      </c>
      <c r="P51">
        <f t="shared" si="35"/>
        <v>0</v>
      </c>
      <c r="Q51">
        <f t="shared" si="39"/>
        <v>0</v>
      </c>
      <c r="R51">
        <f t="shared" si="36"/>
        <v>0</v>
      </c>
      <c r="S51">
        <f t="shared" si="40"/>
        <v>0</v>
      </c>
      <c r="W51">
        <f t="shared" si="8"/>
        <v>0</v>
      </c>
      <c r="X51">
        <f t="shared" si="9"/>
        <v>0</v>
      </c>
      <c r="Y51">
        <f t="shared" si="10"/>
        <v>0</v>
      </c>
      <c r="Z51">
        <f t="shared" si="19"/>
        <v>0</v>
      </c>
      <c r="AA51">
        <f t="shared" si="11"/>
        <v>0</v>
      </c>
      <c r="AB51">
        <f t="shared" si="20"/>
        <v>0</v>
      </c>
      <c r="AC51">
        <f t="shared" si="12"/>
        <v>0</v>
      </c>
      <c r="AD51">
        <f t="shared" si="21"/>
        <v>0</v>
      </c>
    </row>
    <row r="52" spans="1:30">
      <c r="A52" t="s">
        <v>185</v>
      </c>
      <c r="B52" t="s">
        <v>165</v>
      </c>
      <c r="C52">
        <v>0</v>
      </c>
      <c r="D52">
        <v>0</v>
      </c>
      <c r="E52">
        <v>0</v>
      </c>
      <c r="F52">
        <v>0</v>
      </c>
      <c r="G52">
        <v>0</v>
      </c>
      <c r="H52">
        <v>0</v>
      </c>
      <c r="I52">
        <v>0</v>
      </c>
      <c r="L52">
        <f t="shared" si="33"/>
        <v>0</v>
      </c>
      <c r="M52">
        <f t="shared" si="37"/>
        <v>0</v>
      </c>
      <c r="N52" s="23">
        <f t="shared" si="34"/>
        <v>0</v>
      </c>
      <c r="O52" s="23">
        <f t="shared" si="38"/>
        <v>0</v>
      </c>
      <c r="P52">
        <f t="shared" si="35"/>
        <v>0</v>
      </c>
      <c r="Q52">
        <f t="shared" si="39"/>
        <v>0</v>
      </c>
      <c r="R52">
        <f t="shared" si="36"/>
        <v>0</v>
      </c>
      <c r="S52">
        <f t="shared" si="40"/>
        <v>0</v>
      </c>
      <c r="W52">
        <f t="shared" si="8"/>
        <v>0</v>
      </c>
      <c r="X52">
        <f t="shared" si="9"/>
        <v>0</v>
      </c>
      <c r="Y52">
        <f t="shared" si="10"/>
        <v>0</v>
      </c>
      <c r="Z52">
        <f t="shared" si="19"/>
        <v>0</v>
      </c>
      <c r="AA52">
        <f t="shared" si="11"/>
        <v>0</v>
      </c>
      <c r="AB52">
        <f t="shared" si="20"/>
        <v>0</v>
      </c>
      <c r="AC52">
        <f t="shared" si="12"/>
        <v>0</v>
      </c>
      <c r="AD52">
        <f t="shared" si="21"/>
        <v>0</v>
      </c>
    </row>
    <row r="53" spans="1:30">
      <c r="A53" t="s">
        <v>186</v>
      </c>
      <c r="B53" t="s">
        <v>165</v>
      </c>
      <c r="C53">
        <v>4.9000000000000004</v>
      </c>
      <c r="D53">
        <v>0</v>
      </c>
      <c r="E53">
        <v>0</v>
      </c>
      <c r="F53">
        <v>0</v>
      </c>
      <c r="G53">
        <v>0</v>
      </c>
      <c r="H53">
        <v>0.25</v>
      </c>
      <c r="I53">
        <v>0.25</v>
      </c>
      <c r="L53">
        <f t="shared" si="33"/>
        <v>4.9000000000000004</v>
      </c>
      <c r="M53">
        <f t="shared" si="37"/>
        <v>4.9000000000000004</v>
      </c>
      <c r="N53" s="23">
        <f t="shared" si="34"/>
        <v>0</v>
      </c>
      <c r="O53" s="23">
        <f t="shared" si="38"/>
        <v>0</v>
      </c>
      <c r="P53">
        <f t="shared" si="35"/>
        <v>0</v>
      </c>
      <c r="Q53">
        <f t="shared" si="39"/>
        <v>0</v>
      </c>
      <c r="R53">
        <f t="shared" si="36"/>
        <v>0.25</v>
      </c>
      <c r="S53">
        <f t="shared" si="40"/>
        <v>0.25</v>
      </c>
      <c r="W53">
        <f t="shared" si="8"/>
        <v>4.9000000000000004</v>
      </c>
      <c r="X53">
        <f t="shared" si="9"/>
        <v>4.9000000000000004</v>
      </c>
      <c r="Y53">
        <f t="shared" si="10"/>
        <v>0</v>
      </c>
      <c r="Z53">
        <f t="shared" si="19"/>
        <v>0</v>
      </c>
      <c r="AA53">
        <f t="shared" si="11"/>
        <v>0</v>
      </c>
      <c r="AB53">
        <f t="shared" si="20"/>
        <v>0</v>
      </c>
      <c r="AC53">
        <f t="shared" si="12"/>
        <v>0.25</v>
      </c>
      <c r="AD53">
        <f t="shared" si="21"/>
        <v>0.25</v>
      </c>
    </row>
    <row r="54" spans="1:30">
      <c r="A54" t="s">
        <v>187</v>
      </c>
      <c r="B54" t="s">
        <v>165</v>
      </c>
      <c r="C54">
        <v>0</v>
      </c>
      <c r="D54">
        <v>0</v>
      </c>
      <c r="E54">
        <v>0</v>
      </c>
      <c r="F54">
        <v>0</v>
      </c>
      <c r="G54">
        <v>0</v>
      </c>
      <c r="H54">
        <v>0</v>
      </c>
      <c r="I54">
        <v>0</v>
      </c>
      <c r="L54">
        <f t="shared" si="33"/>
        <v>0</v>
      </c>
      <c r="M54">
        <f t="shared" si="37"/>
        <v>0</v>
      </c>
      <c r="N54" s="23">
        <f t="shared" si="34"/>
        <v>0</v>
      </c>
      <c r="O54" s="23">
        <f t="shared" si="38"/>
        <v>0</v>
      </c>
      <c r="P54">
        <f t="shared" si="35"/>
        <v>0</v>
      </c>
      <c r="Q54">
        <f t="shared" si="39"/>
        <v>0</v>
      </c>
      <c r="R54">
        <f t="shared" si="36"/>
        <v>0</v>
      </c>
      <c r="S54">
        <f t="shared" si="40"/>
        <v>0</v>
      </c>
      <c r="W54">
        <f t="shared" si="8"/>
        <v>0</v>
      </c>
      <c r="X54">
        <f t="shared" si="9"/>
        <v>0</v>
      </c>
      <c r="Y54">
        <f t="shared" si="10"/>
        <v>0</v>
      </c>
      <c r="Z54">
        <f t="shared" si="19"/>
        <v>0</v>
      </c>
      <c r="AA54">
        <f t="shared" si="11"/>
        <v>0</v>
      </c>
      <c r="AB54">
        <f t="shared" si="20"/>
        <v>0</v>
      </c>
      <c r="AC54">
        <f t="shared" si="12"/>
        <v>0</v>
      </c>
      <c r="AD54">
        <f t="shared" si="21"/>
        <v>0</v>
      </c>
    </row>
    <row r="55" spans="1:30">
      <c r="A55" t="s">
        <v>188</v>
      </c>
      <c r="B55" t="s">
        <v>165</v>
      </c>
      <c r="C55">
        <v>0</v>
      </c>
      <c r="D55">
        <v>0</v>
      </c>
      <c r="E55">
        <v>0</v>
      </c>
      <c r="F55">
        <v>0</v>
      </c>
      <c r="G55">
        <v>0</v>
      </c>
      <c r="H55">
        <v>0</v>
      </c>
      <c r="I55">
        <v>0</v>
      </c>
      <c r="L55">
        <f t="shared" si="33"/>
        <v>0</v>
      </c>
      <c r="M55">
        <f t="shared" si="37"/>
        <v>0</v>
      </c>
      <c r="N55" s="23">
        <f t="shared" si="34"/>
        <v>0</v>
      </c>
      <c r="O55" s="23">
        <f t="shared" si="38"/>
        <v>0</v>
      </c>
      <c r="P55">
        <f t="shared" si="35"/>
        <v>0</v>
      </c>
      <c r="Q55">
        <f t="shared" si="39"/>
        <v>0</v>
      </c>
      <c r="R55">
        <f t="shared" si="36"/>
        <v>0</v>
      </c>
      <c r="S55">
        <f t="shared" si="40"/>
        <v>0</v>
      </c>
      <c r="W55">
        <f t="shared" si="8"/>
        <v>0</v>
      </c>
      <c r="X55">
        <f t="shared" si="9"/>
        <v>0</v>
      </c>
      <c r="Y55">
        <f t="shared" si="10"/>
        <v>0</v>
      </c>
      <c r="Z55">
        <f t="shared" si="19"/>
        <v>0</v>
      </c>
      <c r="AA55">
        <f t="shared" si="11"/>
        <v>0</v>
      </c>
      <c r="AB55">
        <f t="shared" si="20"/>
        <v>0</v>
      </c>
      <c r="AC55">
        <f t="shared" si="12"/>
        <v>0</v>
      </c>
      <c r="AD55">
        <f t="shared" si="21"/>
        <v>0</v>
      </c>
    </row>
    <row r="56" spans="1:30">
      <c r="A56" t="s">
        <v>189</v>
      </c>
      <c r="B56" t="s">
        <v>165</v>
      </c>
      <c r="C56">
        <v>0</v>
      </c>
      <c r="D56">
        <v>0</v>
      </c>
      <c r="E56">
        <v>0</v>
      </c>
      <c r="F56">
        <v>0</v>
      </c>
      <c r="G56">
        <v>0</v>
      </c>
      <c r="H56">
        <v>0</v>
      </c>
      <c r="I56">
        <v>0</v>
      </c>
      <c r="L56">
        <f t="shared" si="33"/>
        <v>0</v>
      </c>
      <c r="M56">
        <f t="shared" si="37"/>
        <v>0</v>
      </c>
      <c r="N56" s="23">
        <f t="shared" si="34"/>
        <v>0</v>
      </c>
      <c r="O56" s="23">
        <f t="shared" si="38"/>
        <v>0</v>
      </c>
      <c r="P56">
        <f t="shared" si="35"/>
        <v>0</v>
      </c>
      <c r="Q56">
        <f t="shared" si="39"/>
        <v>0</v>
      </c>
      <c r="R56">
        <f t="shared" si="36"/>
        <v>0</v>
      </c>
      <c r="S56">
        <f t="shared" si="40"/>
        <v>0</v>
      </c>
      <c r="W56">
        <f t="shared" si="8"/>
        <v>0</v>
      </c>
      <c r="X56">
        <f t="shared" si="9"/>
        <v>0</v>
      </c>
      <c r="Y56">
        <f t="shared" si="10"/>
        <v>0</v>
      </c>
      <c r="Z56">
        <f t="shared" si="19"/>
        <v>0</v>
      </c>
      <c r="AA56">
        <f t="shared" si="11"/>
        <v>0</v>
      </c>
      <c r="AB56">
        <f t="shared" si="20"/>
        <v>0</v>
      </c>
      <c r="AC56">
        <f t="shared" si="12"/>
        <v>0</v>
      </c>
      <c r="AD56">
        <f t="shared" si="21"/>
        <v>0</v>
      </c>
    </row>
    <row r="57" spans="1:30">
      <c r="A57" t="s">
        <v>190</v>
      </c>
      <c r="B57" t="s">
        <v>165</v>
      </c>
      <c r="C57">
        <v>0</v>
      </c>
      <c r="D57">
        <v>0</v>
      </c>
      <c r="E57">
        <v>0</v>
      </c>
      <c r="F57">
        <v>0</v>
      </c>
      <c r="G57">
        <v>0</v>
      </c>
      <c r="H57">
        <v>0</v>
      </c>
      <c r="I57">
        <v>0</v>
      </c>
      <c r="L57">
        <f t="shared" si="33"/>
        <v>0</v>
      </c>
      <c r="M57">
        <f t="shared" si="37"/>
        <v>0</v>
      </c>
      <c r="N57" s="23">
        <f t="shared" si="34"/>
        <v>0</v>
      </c>
      <c r="O57" s="23">
        <f t="shared" si="38"/>
        <v>0</v>
      </c>
      <c r="P57">
        <f t="shared" si="35"/>
        <v>0</v>
      </c>
      <c r="Q57">
        <f t="shared" si="39"/>
        <v>0</v>
      </c>
      <c r="R57">
        <f t="shared" si="36"/>
        <v>0</v>
      </c>
      <c r="S57">
        <f t="shared" si="40"/>
        <v>0</v>
      </c>
      <c r="W57">
        <f t="shared" si="8"/>
        <v>0</v>
      </c>
      <c r="X57">
        <f t="shared" si="9"/>
        <v>0</v>
      </c>
      <c r="Y57">
        <f t="shared" si="10"/>
        <v>0</v>
      </c>
      <c r="Z57">
        <f t="shared" si="19"/>
        <v>0</v>
      </c>
      <c r="AA57">
        <f t="shared" si="11"/>
        <v>0</v>
      </c>
      <c r="AB57">
        <f t="shared" si="20"/>
        <v>0</v>
      </c>
      <c r="AC57">
        <f t="shared" si="12"/>
        <v>0</v>
      </c>
      <c r="AD57">
        <f t="shared" si="21"/>
        <v>0</v>
      </c>
    </row>
    <row r="58" spans="1:30">
      <c r="A58" t="s">
        <v>191</v>
      </c>
      <c r="B58" t="s">
        <v>165</v>
      </c>
      <c r="C58">
        <v>0</v>
      </c>
      <c r="D58">
        <v>0</v>
      </c>
      <c r="E58">
        <v>0</v>
      </c>
      <c r="F58">
        <v>0</v>
      </c>
      <c r="G58">
        <v>0</v>
      </c>
      <c r="H58">
        <v>0</v>
      </c>
      <c r="I58">
        <v>0</v>
      </c>
      <c r="L58">
        <f t="shared" si="33"/>
        <v>0</v>
      </c>
      <c r="M58">
        <f t="shared" si="37"/>
        <v>0</v>
      </c>
      <c r="N58" s="23">
        <f t="shared" si="34"/>
        <v>0</v>
      </c>
      <c r="O58" s="23">
        <f t="shared" si="38"/>
        <v>0</v>
      </c>
      <c r="P58">
        <f t="shared" si="35"/>
        <v>0</v>
      </c>
      <c r="Q58">
        <f t="shared" si="39"/>
        <v>0</v>
      </c>
      <c r="R58">
        <f t="shared" si="36"/>
        <v>0</v>
      </c>
      <c r="S58">
        <f t="shared" si="40"/>
        <v>0</v>
      </c>
      <c r="W58">
        <f t="shared" si="8"/>
        <v>0</v>
      </c>
      <c r="X58">
        <f t="shared" si="9"/>
        <v>0</v>
      </c>
      <c r="Y58">
        <f t="shared" si="10"/>
        <v>0</v>
      </c>
      <c r="Z58">
        <f t="shared" si="19"/>
        <v>0</v>
      </c>
      <c r="AA58">
        <f t="shared" si="11"/>
        <v>0</v>
      </c>
      <c r="AB58">
        <f t="shared" si="20"/>
        <v>0</v>
      </c>
      <c r="AC58">
        <f t="shared" si="12"/>
        <v>0</v>
      </c>
      <c r="AD58">
        <f t="shared" si="21"/>
        <v>0</v>
      </c>
    </row>
    <row r="59" spans="1:30">
      <c r="A59" t="s">
        <v>192</v>
      </c>
      <c r="B59" t="s">
        <v>165</v>
      </c>
      <c r="C59">
        <v>0</v>
      </c>
      <c r="D59">
        <v>0</v>
      </c>
      <c r="E59">
        <v>0</v>
      </c>
      <c r="F59">
        <v>0</v>
      </c>
      <c r="G59">
        <v>0</v>
      </c>
      <c r="H59">
        <v>0</v>
      </c>
      <c r="I59">
        <v>0</v>
      </c>
      <c r="L59">
        <f t="shared" si="33"/>
        <v>0</v>
      </c>
      <c r="M59">
        <f t="shared" si="37"/>
        <v>0</v>
      </c>
      <c r="N59" s="23">
        <f t="shared" si="34"/>
        <v>0</v>
      </c>
      <c r="O59" s="23">
        <f t="shared" si="38"/>
        <v>0</v>
      </c>
      <c r="P59">
        <f t="shared" si="35"/>
        <v>0</v>
      </c>
      <c r="Q59">
        <f t="shared" si="39"/>
        <v>0</v>
      </c>
      <c r="R59">
        <f t="shared" si="36"/>
        <v>0</v>
      </c>
      <c r="S59">
        <f t="shared" si="40"/>
        <v>0</v>
      </c>
      <c r="W59">
        <f t="shared" si="8"/>
        <v>0</v>
      </c>
      <c r="X59">
        <f t="shared" si="9"/>
        <v>0</v>
      </c>
      <c r="Y59">
        <f t="shared" si="10"/>
        <v>0</v>
      </c>
      <c r="Z59">
        <f t="shared" si="19"/>
        <v>0</v>
      </c>
      <c r="AA59">
        <f t="shared" si="11"/>
        <v>0</v>
      </c>
      <c r="AB59">
        <f t="shared" si="20"/>
        <v>0</v>
      </c>
      <c r="AC59">
        <f t="shared" si="12"/>
        <v>0</v>
      </c>
      <c r="AD59">
        <f t="shared" si="21"/>
        <v>0</v>
      </c>
    </row>
    <row r="60" spans="1:30">
      <c r="A60" t="s">
        <v>193</v>
      </c>
      <c r="B60" t="s">
        <v>165</v>
      </c>
      <c r="C60">
        <v>0</v>
      </c>
      <c r="D60">
        <v>0</v>
      </c>
      <c r="E60">
        <v>0</v>
      </c>
      <c r="F60">
        <v>0</v>
      </c>
      <c r="G60">
        <v>0</v>
      </c>
      <c r="H60">
        <v>0</v>
      </c>
      <c r="I60">
        <v>0</v>
      </c>
      <c r="L60">
        <f t="shared" si="33"/>
        <v>0</v>
      </c>
      <c r="M60">
        <f t="shared" si="37"/>
        <v>0</v>
      </c>
      <c r="N60" s="23">
        <f t="shared" si="34"/>
        <v>0</v>
      </c>
      <c r="O60" s="23">
        <f t="shared" si="38"/>
        <v>0</v>
      </c>
      <c r="P60">
        <f t="shared" si="35"/>
        <v>0</v>
      </c>
      <c r="Q60">
        <f t="shared" si="39"/>
        <v>0</v>
      </c>
      <c r="R60">
        <f t="shared" si="36"/>
        <v>0</v>
      </c>
      <c r="S60">
        <f t="shared" si="40"/>
        <v>0</v>
      </c>
      <c r="W60">
        <f t="shared" si="8"/>
        <v>0</v>
      </c>
      <c r="X60">
        <f t="shared" si="9"/>
        <v>0</v>
      </c>
      <c r="Y60">
        <f t="shared" si="10"/>
        <v>0</v>
      </c>
      <c r="Z60">
        <f t="shared" si="19"/>
        <v>0</v>
      </c>
      <c r="AA60">
        <f t="shared" si="11"/>
        <v>0</v>
      </c>
      <c r="AB60">
        <f t="shared" si="20"/>
        <v>0</v>
      </c>
      <c r="AC60">
        <f t="shared" si="12"/>
        <v>0</v>
      </c>
      <c r="AD60">
        <f t="shared" si="21"/>
        <v>0</v>
      </c>
    </row>
    <row r="61" spans="1:30">
      <c r="A61" t="s">
        <v>194</v>
      </c>
      <c r="B61" t="s">
        <v>165</v>
      </c>
      <c r="C61">
        <v>0</v>
      </c>
      <c r="D61">
        <v>0</v>
      </c>
      <c r="E61">
        <v>0</v>
      </c>
      <c r="F61">
        <v>0</v>
      </c>
      <c r="G61">
        <v>0</v>
      </c>
      <c r="H61">
        <v>0</v>
      </c>
      <c r="I61">
        <v>0</v>
      </c>
      <c r="L61">
        <f t="shared" si="33"/>
        <v>0</v>
      </c>
      <c r="M61">
        <f t="shared" si="37"/>
        <v>0</v>
      </c>
      <c r="N61" s="23">
        <f t="shared" si="34"/>
        <v>0</v>
      </c>
      <c r="O61" s="23">
        <f t="shared" si="38"/>
        <v>0</v>
      </c>
      <c r="P61">
        <f t="shared" si="35"/>
        <v>0</v>
      </c>
      <c r="Q61">
        <f t="shared" si="39"/>
        <v>0</v>
      </c>
      <c r="R61">
        <f t="shared" si="36"/>
        <v>0</v>
      </c>
      <c r="S61">
        <f t="shared" si="40"/>
        <v>0</v>
      </c>
      <c r="W61">
        <f t="shared" si="8"/>
        <v>0</v>
      </c>
      <c r="X61">
        <f t="shared" si="9"/>
        <v>0</v>
      </c>
      <c r="Y61">
        <f t="shared" si="10"/>
        <v>0</v>
      </c>
      <c r="Z61">
        <f t="shared" si="19"/>
        <v>0</v>
      </c>
      <c r="AA61">
        <f t="shared" si="11"/>
        <v>0</v>
      </c>
      <c r="AB61">
        <f t="shared" si="20"/>
        <v>0</v>
      </c>
      <c r="AC61">
        <f t="shared" si="12"/>
        <v>0</v>
      </c>
      <c r="AD61">
        <f t="shared" si="21"/>
        <v>0</v>
      </c>
    </row>
    <row r="62" spans="1:30">
      <c r="A62" t="s">
        <v>195</v>
      </c>
      <c r="B62" t="s">
        <v>165</v>
      </c>
      <c r="C62">
        <f>24.7+32</f>
        <v>56.7</v>
      </c>
      <c r="D62">
        <f>68.5+8.9</f>
        <v>77.400000000000006</v>
      </c>
      <c r="E62">
        <f>68.5+8.9</f>
        <v>77.400000000000006</v>
      </c>
      <c r="F62">
        <v>100</v>
      </c>
      <c r="G62">
        <v>100</v>
      </c>
      <c r="H62">
        <f>83+7.75</f>
        <v>90.75</v>
      </c>
      <c r="I62">
        <f>83+7.75</f>
        <v>90.75</v>
      </c>
      <c r="L62">
        <f t="shared" si="33"/>
        <v>56.7</v>
      </c>
      <c r="M62">
        <f>L62-10</f>
        <v>46.7</v>
      </c>
      <c r="N62" s="48">
        <f t="shared" si="34"/>
        <v>77.400000000000006</v>
      </c>
      <c r="O62" s="48">
        <f>N62-10</f>
        <v>67.400000000000006</v>
      </c>
      <c r="P62">
        <f t="shared" si="35"/>
        <v>100</v>
      </c>
      <c r="Q62">
        <f>P62-20</f>
        <v>80</v>
      </c>
      <c r="R62">
        <f>AVERAGE(H62,I62)</f>
        <v>90.75</v>
      </c>
      <c r="S62">
        <f>R62-20</f>
        <v>70.75</v>
      </c>
      <c r="W62">
        <f t="shared" si="8"/>
        <v>56.7</v>
      </c>
      <c r="X62">
        <f t="shared" si="9"/>
        <v>46.7</v>
      </c>
      <c r="Y62">
        <f t="shared" si="10"/>
        <v>77.400000000000006</v>
      </c>
      <c r="Z62">
        <f t="shared" si="19"/>
        <v>67.400000000000006</v>
      </c>
      <c r="AA62">
        <f t="shared" si="11"/>
        <v>100</v>
      </c>
      <c r="AB62">
        <f t="shared" si="20"/>
        <v>80</v>
      </c>
      <c r="AC62">
        <f t="shared" si="12"/>
        <v>90.75</v>
      </c>
      <c r="AD62">
        <f t="shared" si="21"/>
        <v>70.75</v>
      </c>
    </row>
    <row r="63" spans="1:30">
      <c r="A63" t="s">
        <v>196</v>
      </c>
      <c r="B63" t="s">
        <v>165</v>
      </c>
      <c r="C63">
        <v>0</v>
      </c>
      <c r="D63">
        <v>0</v>
      </c>
      <c r="E63">
        <v>0</v>
      </c>
      <c r="F63">
        <v>0</v>
      </c>
      <c r="G63">
        <v>0</v>
      </c>
      <c r="H63">
        <v>0</v>
      </c>
      <c r="I63">
        <v>0</v>
      </c>
      <c r="L63">
        <f t="shared" si="33"/>
        <v>0</v>
      </c>
      <c r="M63">
        <f t="shared" ref="M63:M75" si="41">L63</f>
        <v>0</v>
      </c>
      <c r="N63" s="23">
        <f t="shared" si="34"/>
        <v>0</v>
      </c>
      <c r="O63" s="23">
        <f t="shared" ref="O63:O75" si="42">N63</f>
        <v>0</v>
      </c>
      <c r="P63">
        <f t="shared" si="35"/>
        <v>0</v>
      </c>
      <c r="Q63">
        <f>P63+20</f>
        <v>20</v>
      </c>
      <c r="R63">
        <f t="shared" ref="R63:R77" si="43">AVERAGE(H63,I63)</f>
        <v>0</v>
      </c>
      <c r="S63">
        <f>R63+20</f>
        <v>20</v>
      </c>
      <c r="W63">
        <f t="shared" si="8"/>
        <v>0</v>
      </c>
      <c r="X63">
        <f t="shared" si="9"/>
        <v>0</v>
      </c>
      <c r="Y63">
        <f t="shared" si="10"/>
        <v>0</v>
      </c>
      <c r="Z63">
        <f t="shared" si="19"/>
        <v>0</v>
      </c>
      <c r="AA63">
        <f t="shared" si="11"/>
        <v>0</v>
      </c>
      <c r="AB63">
        <f t="shared" si="20"/>
        <v>20</v>
      </c>
      <c r="AC63">
        <f t="shared" si="12"/>
        <v>0</v>
      </c>
      <c r="AD63">
        <f t="shared" si="21"/>
        <v>20</v>
      </c>
    </row>
    <row r="64" spans="1:30">
      <c r="A64" t="s">
        <v>197</v>
      </c>
      <c r="B64" t="s">
        <v>165</v>
      </c>
      <c r="C64">
        <v>0</v>
      </c>
      <c r="D64">
        <v>0</v>
      </c>
      <c r="E64">
        <v>0</v>
      </c>
      <c r="F64">
        <v>0</v>
      </c>
      <c r="G64">
        <v>0</v>
      </c>
      <c r="H64">
        <v>0</v>
      </c>
      <c r="I64">
        <v>0</v>
      </c>
      <c r="L64">
        <f t="shared" si="33"/>
        <v>0</v>
      </c>
      <c r="M64">
        <f t="shared" si="41"/>
        <v>0</v>
      </c>
      <c r="N64" s="23">
        <f t="shared" si="34"/>
        <v>0</v>
      </c>
      <c r="O64" s="23">
        <f t="shared" si="42"/>
        <v>0</v>
      </c>
      <c r="P64">
        <f t="shared" si="35"/>
        <v>0</v>
      </c>
      <c r="Q64">
        <f t="shared" ref="Q64:Q77" si="44">P64</f>
        <v>0</v>
      </c>
      <c r="R64">
        <f t="shared" si="43"/>
        <v>0</v>
      </c>
      <c r="S64">
        <f t="shared" ref="S64:S77" si="45">R64</f>
        <v>0</v>
      </c>
      <c r="W64">
        <f t="shared" si="8"/>
        <v>0</v>
      </c>
      <c r="X64">
        <f t="shared" si="9"/>
        <v>0</v>
      </c>
      <c r="Y64">
        <f t="shared" si="10"/>
        <v>0</v>
      </c>
      <c r="Z64">
        <f t="shared" si="19"/>
        <v>0</v>
      </c>
      <c r="AA64">
        <f t="shared" si="11"/>
        <v>0</v>
      </c>
      <c r="AB64">
        <f t="shared" si="20"/>
        <v>0</v>
      </c>
      <c r="AC64">
        <f t="shared" si="12"/>
        <v>0</v>
      </c>
      <c r="AD64">
        <f t="shared" si="21"/>
        <v>0</v>
      </c>
    </row>
    <row r="65" spans="1:30">
      <c r="A65" t="s">
        <v>198</v>
      </c>
      <c r="B65" t="s">
        <v>165</v>
      </c>
      <c r="C65">
        <v>0</v>
      </c>
      <c r="D65">
        <v>0</v>
      </c>
      <c r="E65">
        <v>0</v>
      </c>
      <c r="F65">
        <v>0</v>
      </c>
      <c r="G65">
        <v>0</v>
      </c>
      <c r="H65">
        <v>0</v>
      </c>
      <c r="I65">
        <v>0</v>
      </c>
      <c r="L65">
        <f t="shared" si="33"/>
        <v>0</v>
      </c>
      <c r="M65">
        <f t="shared" si="41"/>
        <v>0</v>
      </c>
      <c r="N65" s="23">
        <f t="shared" si="34"/>
        <v>0</v>
      </c>
      <c r="O65" s="23">
        <f t="shared" si="42"/>
        <v>0</v>
      </c>
      <c r="P65">
        <f t="shared" si="35"/>
        <v>0</v>
      </c>
      <c r="Q65">
        <f t="shared" si="44"/>
        <v>0</v>
      </c>
      <c r="R65">
        <f t="shared" si="43"/>
        <v>0</v>
      </c>
      <c r="S65">
        <f t="shared" si="45"/>
        <v>0</v>
      </c>
      <c r="W65">
        <f t="shared" si="8"/>
        <v>0</v>
      </c>
      <c r="X65">
        <f t="shared" si="9"/>
        <v>0</v>
      </c>
      <c r="Y65">
        <f t="shared" si="10"/>
        <v>0</v>
      </c>
      <c r="Z65">
        <f t="shared" si="19"/>
        <v>0</v>
      </c>
      <c r="AA65">
        <f t="shared" si="11"/>
        <v>0</v>
      </c>
      <c r="AB65">
        <f t="shared" si="20"/>
        <v>0</v>
      </c>
      <c r="AC65">
        <f t="shared" si="12"/>
        <v>0</v>
      </c>
      <c r="AD65">
        <f t="shared" si="21"/>
        <v>0</v>
      </c>
    </row>
    <row r="66" spans="1:30">
      <c r="A66" t="s">
        <v>199</v>
      </c>
      <c r="B66" t="s">
        <v>165</v>
      </c>
      <c r="C66">
        <v>0</v>
      </c>
      <c r="D66">
        <v>0</v>
      </c>
      <c r="E66">
        <v>0</v>
      </c>
      <c r="F66">
        <v>0</v>
      </c>
      <c r="G66">
        <v>0</v>
      </c>
      <c r="H66">
        <v>0</v>
      </c>
      <c r="I66">
        <v>0</v>
      </c>
      <c r="L66">
        <f t="shared" si="33"/>
        <v>0</v>
      </c>
      <c r="M66">
        <f t="shared" si="41"/>
        <v>0</v>
      </c>
      <c r="N66" s="23">
        <f t="shared" si="34"/>
        <v>0</v>
      </c>
      <c r="O66" s="23">
        <f t="shared" si="42"/>
        <v>0</v>
      </c>
      <c r="P66">
        <f t="shared" si="35"/>
        <v>0</v>
      </c>
      <c r="Q66">
        <f t="shared" si="44"/>
        <v>0</v>
      </c>
      <c r="R66">
        <f t="shared" si="43"/>
        <v>0</v>
      </c>
      <c r="S66">
        <f t="shared" si="45"/>
        <v>0</v>
      </c>
      <c r="W66">
        <f t="shared" si="8"/>
        <v>0</v>
      </c>
      <c r="X66">
        <f t="shared" si="9"/>
        <v>0</v>
      </c>
      <c r="Y66">
        <f t="shared" si="10"/>
        <v>0</v>
      </c>
      <c r="Z66">
        <f t="shared" si="19"/>
        <v>0</v>
      </c>
      <c r="AA66">
        <f t="shared" si="11"/>
        <v>0</v>
      </c>
      <c r="AB66">
        <f t="shared" si="20"/>
        <v>0</v>
      </c>
      <c r="AC66">
        <f t="shared" si="12"/>
        <v>0</v>
      </c>
      <c r="AD66">
        <f t="shared" si="21"/>
        <v>0</v>
      </c>
    </row>
    <row r="67" spans="1:30">
      <c r="A67" t="s">
        <v>200</v>
      </c>
      <c r="B67" t="s">
        <v>165</v>
      </c>
      <c r="C67">
        <v>24.5</v>
      </c>
      <c r="D67">
        <f>1.4+1.4+7.5+0.4+0.9</f>
        <v>11.600000000000001</v>
      </c>
      <c r="E67">
        <f>1.4+1.4+7.5+0.4+0.9</f>
        <v>11.600000000000001</v>
      </c>
      <c r="F67">
        <v>0</v>
      </c>
      <c r="G67">
        <v>0</v>
      </c>
      <c r="H67">
        <f>4.85+2.22+0.31+0.31+0.31</f>
        <v>7.9999999999999991</v>
      </c>
      <c r="I67">
        <f>4.85+2.22+0.31+0.31+0.31</f>
        <v>7.9999999999999991</v>
      </c>
      <c r="L67">
        <f t="shared" si="33"/>
        <v>24.5</v>
      </c>
      <c r="M67">
        <f t="shared" si="41"/>
        <v>24.5</v>
      </c>
      <c r="N67" s="48">
        <f t="shared" si="34"/>
        <v>11.600000000000001</v>
      </c>
      <c r="O67" s="48">
        <f t="shared" si="42"/>
        <v>11.600000000000001</v>
      </c>
      <c r="P67">
        <f t="shared" si="35"/>
        <v>0</v>
      </c>
      <c r="Q67">
        <f t="shared" si="44"/>
        <v>0</v>
      </c>
      <c r="R67">
        <f t="shared" si="43"/>
        <v>7.9999999999999991</v>
      </c>
      <c r="S67">
        <f t="shared" si="45"/>
        <v>7.9999999999999991</v>
      </c>
      <c r="W67">
        <f t="shared" si="8"/>
        <v>24.5</v>
      </c>
      <c r="X67">
        <f t="shared" si="9"/>
        <v>24.5</v>
      </c>
      <c r="Y67">
        <f t="shared" si="10"/>
        <v>11.600000000000001</v>
      </c>
      <c r="Z67">
        <f t="shared" si="19"/>
        <v>11.600000000000001</v>
      </c>
      <c r="AA67">
        <f t="shared" si="11"/>
        <v>0</v>
      </c>
      <c r="AB67">
        <f t="shared" si="20"/>
        <v>0</v>
      </c>
      <c r="AC67">
        <f t="shared" si="12"/>
        <v>7.9999999999999991</v>
      </c>
      <c r="AD67">
        <f t="shared" si="21"/>
        <v>7.9999999999999991</v>
      </c>
    </row>
    <row r="68" spans="1:30">
      <c r="A68" t="s">
        <v>201</v>
      </c>
      <c r="B68" t="s">
        <v>165</v>
      </c>
      <c r="C68">
        <v>0</v>
      </c>
      <c r="D68">
        <v>0</v>
      </c>
      <c r="E68">
        <v>0</v>
      </c>
      <c r="F68">
        <v>0</v>
      </c>
      <c r="G68">
        <v>0</v>
      </c>
      <c r="H68">
        <v>0</v>
      </c>
      <c r="I68">
        <v>0</v>
      </c>
      <c r="L68">
        <f t="shared" si="33"/>
        <v>0</v>
      </c>
      <c r="M68">
        <f t="shared" si="41"/>
        <v>0</v>
      </c>
      <c r="N68" s="23">
        <f t="shared" si="34"/>
        <v>0</v>
      </c>
      <c r="O68" s="23">
        <f t="shared" si="42"/>
        <v>0</v>
      </c>
      <c r="P68">
        <f t="shared" si="35"/>
        <v>0</v>
      </c>
      <c r="Q68">
        <f t="shared" si="44"/>
        <v>0</v>
      </c>
      <c r="R68">
        <f t="shared" si="43"/>
        <v>0</v>
      </c>
      <c r="S68">
        <f t="shared" si="45"/>
        <v>0</v>
      </c>
      <c r="W68">
        <f t="shared" ref="W68:W87" si="46">L68</f>
        <v>0</v>
      </c>
      <c r="X68">
        <f t="shared" ref="X68:X87" si="47">M68</f>
        <v>0</v>
      </c>
      <c r="Y68">
        <f t="shared" ref="Y68:Y87" si="48">N68</f>
        <v>0</v>
      </c>
      <c r="Z68">
        <f t="shared" ref="Z68:Z87" si="49">O68</f>
        <v>0</v>
      </c>
      <c r="AA68">
        <f t="shared" ref="AA68:AA87" si="50">P68</f>
        <v>0</v>
      </c>
      <c r="AB68">
        <f t="shared" ref="AB68:AB87" si="51">Q68</f>
        <v>0</v>
      </c>
      <c r="AC68">
        <f t="shared" ref="AC68:AC87" si="52">R68</f>
        <v>0</v>
      </c>
      <c r="AD68">
        <f t="shared" ref="AD68:AD87" si="53">S68</f>
        <v>0</v>
      </c>
    </row>
    <row r="69" spans="1:30">
      <c r="A69" t="s">
        <v>202</v>
      </c>
      <c r="B69" t="s">
        <v>165</v>
      </c>
      <c r="C69">
        <v>0</v>
      </c>
      <c r="D69">
        <v>0</v>
      </c>
      <c r="E69">
        <v>0</v>
      </c>
      <c r="F69">
        <v>0</v>
      </c>
      <c r="G69">
        <v>0</v>
      </c>
      <c r="H69">
        <v>0</v>
      </c>
      <c r="I69">
        <v>0</v>
      </c>
      <c r="L69">
        <f t="shared" si="33"/>
        <v>0</v>
      </c>
      <c r="M69">
        <f t="shared" si="41"/>
        <v>0</v>
      </c>
      <c r="N69" s="23">
        <f t="shared" si="34"/>
        <v>0</v>
      </c>
      <c r="O69" s="23">
        <f t="shared" si="42"/>
        <v>0</v>
      </c>
      <c r="P69">
        <f t="shared" si="35"/>
        <v>0</v>
      </c>
      <c r="Q69">
        <f t="shared" si="44"/>
        <v>0</v>
      </c>
      <c r="R69">
        <f t="shared" si="43"/>
        <v>0</v>
      </c>
      <c r="S69">
        <f t="shared" si="45"/>
        <v>0</v>
      </c>
      <c r="W69">
        <f t="shared" si="46"/>
        <v>0</v>
      </c>
      <c r="X69">
        <f t="shared" si="47"/>
        <v>0</v>
      </c>
      <c r="Y69">
        <f t="shared" si="48"/>
        <v>0</v>
      </c>
      <c r="Z69">
        <f t="shared" si="49"/>
        <v>0</v>
      </c>
      <c r="AA69">
        <f t="shared" si="50"/>
        <v>0</v>
      </c>
      <c r="AB69">
        <f t="shared" si="51"/>
        <v>0</v>
      </c>
      <c r="AC69">
        <f t="shared" si="52"/>
        <v>0</v>
      </c>
      <c r="AD69">
        <f t="shared" si="53"/>
        <v>0</v>
      </c>
    </row>
    <row r="70" spans="1:30">
      <c r="A70" t="s">
        <v>203</v>
      </c>
      <c r="B70" t="s">
        <v>165</v>
      </c>
      <c r="C70">
        <v>0</v>
      </c>
      <c r="D70">
        <v>0</v>
      </c>
      <c r="E70">
        <v>0</v>
      </c>
      <c r="F70">
        <v>0</v>
      </c>
      <c r="G70">
        <v>0</v>
      </c>
      <c r="H70">
        <v>0</v>
      </c>
      <c r="I70">
        <v>0</v>
      </c>
      <c r="L70">
        <f t="shared" si="33"/>
        <v>0</v>
      </c>
      <c r="M70">
        <f t="shared" si="41"/>
        <v>0</v>
      </c>
      <c r="N70" s="23">
        <f t="shared" si="34"/>
        <v>0</v>
      </c>
      <c r="O70" s="23">
        <f t="shared" si="42"/>
        <v>0</v>
      </c>
      <c r="P70">
        <f t="shared" si="35"/>
        <v>0</v>
      </c>
      <c r="Q70">
        <f t="shared" si="44"/>
        <v>0</v>
      </c>
      <c r="R70">
        <f t="shared" si="43"/>
        <v>0</v>
      </c>
      <c r="S70">
        <f t="shared" si="45"/>
        <v>0</v>
      </c>
      <c r="W70">
        <f t="shared" si="46"/>
        <v>0</v>
      </c>
      <c r="X70">
        <f t="shared" si="47"/>
        <v>0</v>
      </c>
      <c r="Y70">
        <f t="shared" si="48"/>
        <v>0</v>
      </c>
      <c r="Z70">
        <f t="shared" si="49"/>
        <v>0</v>
      </c>
      <c r="AA70">
        <f t="shared" si="50"/>
        <v>0</v>
      </c>
      <c r="AB70">
        <f t="shared" si="51"/>
        <v>0</v>
      </c>
      <c r="AC70">
        <f t="shared" si="52"/>
        <v>0</v>
      </c>
      <c r="AD70">
        <f t="shared" si="53"/>
        <v>0</v>
      </c>
    </row>
    <row r="71" spans="1:30">
      <c r="A71" t="s">
        <v>204</v>
      </c>
      <c r="B71" t="s">
        <v>165</v>
      </c>
      <c r="C71">
        <v>6.1</v>
      </c>
      <c r="D71">
        <v>5.6</v>
      </c>
      <c r="E71">
        <v>5.6</v>
      </c>
      <c r="F71">
        <v>0</v>
      </c>
      <c r="G71">
        <v>0</v>
      </c>
      <c r="H71">
        <v>0.67</v>
      </c>
      <c r="I71">
        <v>0.67</v>
      </c>
      <c r="L71">
        <f t="shared" si="33"/>
        <v>6.1</v>
      </c>
      <c r="M71">
        <f t="shared" si="41"/>
        <v>6.1</v>
      </c>
      <c r="N71" s="48">
        <f t="shared" si="34"/>
        <v>5.6</v>
      </c>
      <c r="O71" s="48">
        <f t="shared" si="42"/>
        <v>5.6</v>
      </c>
      <c r="P71">
        <f t="shared" si="35"/>
        <v>0</v>
      </c>
      <c r="Q71">
        <f t="shared" si="44"/>
        <v>0</v>
      </c>
      <c r="R71">
        <f t="shared" si="43"/>
        <v>0.67</v>
      </c>
      <c r="S71">
        <f t="shared" si="45"/>
        <v>0.67</v>
      </c>
      <c r="W71">
        <f t="shared" si="46"/>
        <v>6.1</v>
      </c>
      <c r="X71">
        <f t="shared" si="47"/>
        <v>6.1</v>
      </c>
      <c r="Y71">
        <f t="shared" si="48"/>
        <v>5.6</v>
      </c>
      <c r="Z71">
        <f t="shared" si="49"/>
        <v>5.6</v>
      </c>
      <c r="AA71">
        <f t="shared" si="50"/>
        <v>0</v>
      </c>
      <c r="AB71">
        <f t="shared" si="51"/>
        <v>0</v>
      </c>
      <c r="AC71">
        <f t="shared" si="52"/>
        <v>0.67</v>
      </c>
      <c r="AD71">
        <f t="shared" si="53"/>
        <v>0.67</v>
      </c>
    </row>
    <row r="72" spans="1:30">
      <c r="A72" t="s">
        <v>205</v>
      </c>
      <c r="B72" t="s">
        <v>165</v>
      </c>
      <c r="C72">
        <v>0</v>
      </c>
      <c r="D72">
        <v>0.5</v>
      </c>
      <c r="E72">
        <v>0.5</v>
      </c>
      <c r="F72">
        <v>0</v>
      </c>
      <c r="G72">
        <v>0</v>
      </c>
      <c r="H72">
        <v>0</v>
      </c>
      <c r="I72">
        <v>0</v>
      </c>
      <c r="L72">
        <f t="shared" si="33"/>
        <v>0</v>
      </c>
      <c r="M72">
        <f t="shared" si="41"/>
        <v>0</v>
      </c>
      <c r="N72" s="48">
        <f t="shared" si="34"/>
        <v>0.5</v>
      </c>
      <c r="O72" s="48">
        <f t="shared" si="42"/>
        <v>0.5</v>
      </c>
      <c r="P72">
        <f t="shared" si="35"/>
        <v>0</v>
      </c>
      <c r="Q72">
        <f t="shared" si="44"/>
        <v>0</v>
      </c>
      <c r="R72">
        <f t="shared" si="43"/>
        <v>0</v>
      </c>
      <c r="S72">
        <f t="shared" si="45"/>
        <v>0</v>
      </c>
      <c r="W72">
        <f t="shared" si="46"/>
        <v>0</v>
      </c>
      <c r="X72">
        <f t="shared" si="47"/>
        <v>0</v>
      </c>
      <c r="Y72">
        <f t="shared" si="48"/>
        <v>0.5</v>
      </c>
      <c r="Z72">
        <f t="shared" si="49"/>
        <v>0.5</v>
      </c>
      <c r="AA72">
        <f t="shared" si="50"/>
        <v>0</v>
      </c>
      <c r="AB72">
        <f t="shared" si="51"/>
        <v>0</v>
      </c>
      <c r="AC72">
        <f t="shared" si="52"/>
        <v>0</v>
      </c>
      <c r="AD72">
        <f t="shared" si="53"/>
        <v>0</v>
      </c>
    </row>
    <row r="73" spans="1:30">
      <c r="A73" t="s">
        <v>206</v>
      </c>
      <c r="B73" t="s">
        <v>165</v>
      </c>
      <c r="C73">
        <v>0</v>
      </c>
      <c r="D73">
        <v>0</v>
      </c>
      <c r="E73">
        <v>0</v>
      </c>
      <c r="F73">
        <v>0</v>
      </c>
      <c r="G73">
        <v>0</v>
      </c>
      <c r="H73">
        <v>0</v>
      </c>
      <c r="I73">
        <v>0</v>
      </c>
      <c r="L73">
        <f t="shared" si="33"/>
        <v>0</v>
      </c>
      <c r="M73">
        <f t="shared" si="41"/>
        <v>0</v>
      </c>
      <c r="N73" s="23">
        <f t="shared" si="34"/>
        <v>0</v>
      </c>
      <c r="O73" s="23">
        <f t="shared" si="42"/>
        <v>0</v>
      </c>
      <c r="P73">
        <f t="shared" si="35"/>
        <v>0</v>
      </c>
      <c r="Q73">
        <f t="shared" si="44"/>
        <v>0</v>
      </c>
      <c r="R73">
        <f t="shared" si="43"/>
        <v>0</v>
      </c>
      <c r="S73">
        <f t="shared" si="45"/>
        <v>0</v>
      </c>
      <c r="W73">
        <f t="shared" si="46"/>
        <v>0</v>
      </c>
      <c r="X73">
        <f t="shared" si="47"/>
        <v>0</v>
      </c>
      <c r="Y73">
        <f t="shared" si="48"/>
        <v>0</v>
      </c>
      <c r="Z73">
        <f t="shared" si="49"/>
        <v>0</v>
      </c>
      <c r="AA73">
        <f t="shared" si="50"/>
        <v>0</v>
      </c>
      <c r="AB73">
        <f t="shared" si="51"/>
        <v>0</v>
      </c>
      <c r="AC73">
        <f t="shared" si="52"/>
        <v>0</v>
      </c>
      <c r="AD73">
        <f t="shared" si="53"/>
        <v>0</v>
      </c>
    </row>
    <row r="74" spans="1:30">
      <c r="A74" t="s">
        <v>207</v>
      </c>
      <c r="B74" t="s">
        <v>165</v>
      </c>
      <c r="C74">
        <v>0</v>
      </c>
      <c r="D74">
        <v>0</v>
      </c>
      <c r="E74">
        <v>0</v>
      </c>
      <c r="F74">
        <v>0</v>
      </c>
      <c r="G74">
        <v>0</v>
      </c>
      <c r="H74">
        <v>0</v>
      </c>
      <c r="I74">
        <v>0</v>
      </c>
      <c r="L74">
        <f t="shared" si="33"/>
        <v>0</v>
      </c>
      <c r="M74">
        <f t="shared" si="41"/>
        <v>0</v>
      </c>
      <c r="N74" s="23">
        <f t="shared" si="34"/>
        <v>0</v>
      </c>
      <c r="O74" s="23">
        <f t="shared" si="42"/>
        <v>0</v>
      </c>
      <c r="P74">
        <f t="shared" si="35"/>
        <v>0</v>
      </c>
      <c r="Q74">
        <f t="shared" si="44"/>
        <v>0</v>
      </c>
      <c r="R74">
        <f t="shared" si="43"/>
        <v>0</v>
      </c>
      <c r="S74">
        <f t="shared" si="45"/>
        <v>0</v>
      </c>
      <c r="W74">
        <f t="shared" si="46"/>
        <v>0</v>
      </c>
      <c r="X74">
        <f t="shared" si="47"/>
        <v>0</v>
      </c>
      <c r="Y74">
        <f t="shared" si="48"/>
        <v>0</v>
      </c>
      <c r="Z74">
        <f t="shared" si="49"/>
        <v>0</v>
      </c>
      <c r="AA74">
        <f t="shared" si="50"/>
        <v>0</v>
      </c>
      <c r="AB74">
        <f t="shared" si="51"/>
        <v>0</v>
      </c>
      <c r="AC74">
        <f t="shared" si="52"/>
        <v>0</v>
      </c>
      <c r="AD74">
        <f t="shared" si="53"/>
        <v>0</v>
      </c>
    </row>
    <row r="75" spans="1:30">
      <c r="A75" t="s">
        <v>208</v>
      </c>
      <c r="B75" t="s">
        <v>165</v>
      </c>
      <c r="C75">
        <v>0</v>
      </c>
      <c r="D75">
        <v>0</v>
      </c>
      <c r="E75">
        <v>0</v>
      </c>
      <c r="F75">
        <v>0</v>
      </c>
      <c r="G75">
        <v>0</v>
      </c>
      <c r="H75">
        <v>0</v>
      </c>
      <c r="I75">
        <v>0</v>
      </c>
      <c r="L75">
        <f t="shared" si="33"/>
        <v>0</v>
      </c>
      <c r="M75">
        <f t="shared" si="41"/>
        <v>0</v>
      </c>
      <c r="N75" s="23">
        <f t="shared" si="34"/>
        <v>0</v>
      </c>
      <c r="O75" s="23">
        <f t="shared" si="42"/>
        <v>0</v>
      </c>
      <c r="P75">
        <f t="shared" si="35"/>
        <v>0</v>
      </c>
      <c r="Q75">
        <f t="shared" si="44"/>
        <v>0</v>
      </c>
      <c r="R75">
        <f t="shared" si="43"/>
        <v>0</v>
      </c>
      <c r="S75">
        <f t="shared" si="45"/>
        <v>0</v>
      </c>
      <c r="W75">
        <f t="shared" si="46"/>
        <v>0</v>
      </c>
      <c r="X75">
        <f t="shared" si="47"/>
        <v>0</v>
      </c>
      <c r="Y75">
        <f t="shared" si="48"/>
        <v>0</v>
      </c>
      <c r="Z75">
        <f t="shared" si="49"/>
        <v>0</v>
      </c>
      <c r="AA75">
        <f t="shared" si="50"/>
        <v>0</v>
      </c>
      <c r="AB75">
        <f t="shared" si="51"/>
        <v>0</v>
      </c>
      <c r="AC75">
        <f t="shared" si="52"/>
        <v>0</v>
      </c>
      <c r="AD75">
        <f t="shared" si="53"/>
        <v>0</v>
      </c>
    </row>
    <row r="76" spans="1:30">
      <c r="A76" t="s">
        <v>209</v>
      </c>
      <c r="B76" t="s">
        <v>165</v>
      </c>
      <c r="C76">
        <v>0</v>
      </c>
      <c r="D76">
        <v>2.8</v>
      </c>
      <c r="E76">
        <v>2.8</v>
      </c>
      <c r="F76">
        <v>0</v>
      </c>
      <c r="G76">
        <v>0</v>
      </c>
      <c r="H76">
        <v>0</v>
      </c>
      <c r="I76">
        <v>0</v>
      </c>
      <c r="L76">
        <f t="shared" si="33"/>
        <v>0</v>
      </c>
      <c r="M76">
        <f>L76+10</f>
        <v>10</v>
      </c>
      <c r="N76" s="48">
        <f t="shared" si="34"/>
        <v>2.8</v>
      </c>
      <c r="O76" s="48">
        <f>N76+10</f>
        <v>12.8</v>
      </c>
      <c r="P76">
        <f t="shared" si="35"/>
        <v>0</v>
      </c>
      <c r="Q76">
        <f t="shared" si="44"/>
        <v>0</v>
      </c>
      <c r="R76">
        <f t="shared" si="43"/>
        <v>0</v>
      </c>
      <c r="S76">
        <f t="shared" si="45"/>
        <v>0</v>
      </c>
      <c r="W76">
        <f t="shared" si="46"/>
        <v>0</v>
      </c>
      <c r="X76">
        <f t="shared" si="47"/>
        <v>10</v>
      </c>
      <c r="Y76">
        <f t="shared" si="48"/>
        <v>2.8</v>
      </c>
      <c r="Z76">
        <f t="shared" si="49"/>
        <v>12.8</v>
      </c>
      <c r="AA76">
        <f t="shared" si="50"/>
        <v>0</v>
      </c>
      <c r="AB76">
        <f t="shared" si="51"/>
        <v>0</v>
      </c>
      <c r="AC76">
        <f t="shared" si="52"/>
        <v>0</v>
      </c>
      <c r="AD76">
        <f t="shared" si="53"/>
        <v>0</v>
      </c>
    </row>
    <row r="77" spans="1:30">
      <c r="A77" t="s">
        <v>210</v>
      </c>
      <c r="B77" t="s">
        <v>165</v>
      </c>
      <c r="C77">
        <v>4.3</v>
      </c>
      <c r="D77">
        <v>2.1</v>
      </c>
      <c r="E77">
        <v>2.1</v>
      </c>
      <c r="F77">
        <v>0</v>
      </c>
      <c r="G77">
        <v>0</v>
      </c>
      <c r="H77">
        <v>0</v>
      </c>
      <c r="I77">
        <v>0</v>
      </c>
      <c r="L77">
        <f t="shared" si="33"/>
        <v>4.3</v>
      </c>
      <c r="M77">
        <f t="shared" ref="M77" si="54">L77</f>
        <v>4.3</v>
      </c>
      <c r="N77" s="48">
        <f t="shared" si="34"/>
        <v>2.1</v>
      </c>
      <c r="O77" s="48">
        <f t="shared" ref="O77" si="55">N77</f>
        <v>2.1</v>
      </c>
      <c r="P77">
        <f t="shared" si="35"/>
        <v>0</v>
      </c>
      <c r="Q77">
        <f t="shared" si="44"/>
        <v>0</v>
      </c>
      <c r="R77">
        <f t="shared" si="43"/>
        <v>0</v>
      </c>
      <c r="S77">
        <f t="shared" si="45"/>
        <v>0</v>
      </c>
      <c r="W77">
        <f t="shared" si="46"/>
        <v>4.3</v>
      </c>
      <c r="X77">
        <f t="shared" si="47"/>
        <v>4.3</v>
      </c>
      <c r="Y77">
        <f t="shared" si="48"/>
        <v>2.1</v>
      </c>
      <c r="Z77">
        <f t="shared" si="49"/>
        <v>2.1</v>
      </c>
      <c r="AA77">
        <f t="shared" si="50"/>
        <v>0</v>
      </c>
      <c r="AB77">
        <f t="shared" si="51"/>
        <v>0</v>
      </c>
      <c r="AC77">
        <f t="shared" si="52"/>
        <v>0</v>
      </c>
      <c r="AD77">
        <f t="shared" si="53"/>
        <v>0</v>
      </c>
    </row>
    <row r="78" spans="1:30">
      <c r="N78" s="23"/>
      <c r="O78" s="23"/>
    </row>
    <row r="79" spans="1:30">
      <c r="A79" t="s">
        <v>213</v>
      </c>
      <c r="B79" t="s">
        <v>165</v>
      </c>
      <c r="C79">
        <v>0</v>
      </c>
      <c r="D79">
        <v>0</v>
      </c>
      <c r="E79">
        <v>0</v>
      </c>
      <c r="F79">
        <v>0</v>
      </c>
      <c r="G79">
        <v>0</v>
      </c>
      <c r="H79">
        <v>0</v>
      </c>
      <c r="I79">
        <v>0</v>
      </c>
      <c r="L79">
        <f t="shared" si="6"/>
        <v>0</v>
      </c>
      <c r="M79">
        <f>L79+15+10</f>
        <v>25</v>
      </c>
      <c r="N79" s="23">
        <f t="shared" ref="N79:N87" si="56">AVERAGE(D79,E79)</f>
        <v>0</v>
      </c>
      <c r="O79" s="23">
        <f t="shared" ref="O79:O87" si="57">N79</f>
        <v>0</v>
      </c>
      <c r="P79">
        <f t="shared" ref="P79:P87" si="58">AVERAGE(F79,G79)</f>
        <v>0</v>
      </c>
      <c r="Q79">
        <f t="shared" si="31"/>
        <v>0</v>
      </c>
      <c r="R79">
        <f t="shared" ref="R79:R87" si="59">AVERAGE(H79,I79)</f>
        <v>0</v>
      </c>
      <c r="S79">
        <f t="shared" si="32"/>
        <v>0</v>
      </c>
      <c r="W79">
        <f t="shared" si="46"/>
        <v>0</v>
      </c>
      <c r="X79">
        <f t="shared" si="47"/>
        <v>25</v>
      </c>
      <c r="Y79">
        <f t="shared" si="48"/>
        <v>0</v>
      </c>
      <c r="Z79">
        <f t="shared" si="49"/>
        <v>0</v>
      </c>
      <c r="AA79">
        <f t="shared" si="50"/>
        <v>0</v>
      </c>
      <c r="AB79">
        <f t="shared" si="51"/>
        <v>0</v>
      </c>
      <c r="AC79">
        <f t="shared" si="52"/>
        <v>0</v>
      </c>
      <c r="AD79">
        <f t="shared" si="53"/>
        <v>0</v>
      </c>
    </row>
    <row r="80" spans="1:30">
      <c r="A80" t="s">
        <v>214</v>
      </c>
      <c r="B80" t="s">
        <v>165</v>
      </c>
      <c r="C80">
        <v>0</v>
      </c>
      <c r="D80">
        <v>0</v>
      </c>
      <c r="E80">
        <v>0</v>
      </c>
      <c r="F80">
        <v>0</v>
      </c>
      <c r="G80">
        <v>0</v>
      </c>
      <c r="H80">
        <v>20</v>
      </c>
      <c r="I80">
        <v>10</v>
      </c>
      <c r="L80">
        <f t="shared" si="6"/>
        <v>0</v>
      </c>
      <c r="M80">
        <f t="shared" si="29"/>
        <v>0</v>
      </c>
      <c r="N80" s="23">
        <f t="shared" si="56"/>
        <v>0</v>
      </c>
      <c r="O80" s="23">
        <f t="shared" si="57"/>
        <v>0</v>
      </c>
      <c r="P80">
        <f t="shared" si="58"/>
        <v>0</v>
      </c>
      <c r="Q80">
        <f t="shared" si="31"/>
        <v>0</v>
      </c>
      <c r="R80">
        <f t="shared" si="59"/>
        <v>15</v>
      </c>
      <c r="S80">
        <f>R80-10</f>
        <v>5</v>
      </c>
      <c r="W80">
        <f t="shared" si="46"/>
        <v>0</v>
      </c>
      <c r="X80">
        <f t="shared" si="47"/>
        <v>0</v>
      </c>
      <c r="Y80">
        <f t="shared" si="48"/>
        <v>0</v>
      </c>
      <c r="Z80">
        <f t="shared" si="49"/>
        <v>0</v>
      </c>
      <c r="AA80">
        <f t="shared" si="50"/>
        <v>0</v>
      </c>
      <c r="AB80">
        <f t="shared" si="51"/>
        <v>0</v>
      </c>
      <c r="AC80">
        <f t="shared" si="52"/>
        <v>15</v>
      </c>
      <c r="AD80">
        <f t="shared" si="53"/>
        <v>5</v>
      </c>
    </row>
    <row r="81" spans="1:30">
      <c r="A81" t="s">
        <v>215</v>
      </c>
      <c r="B81" t="s">
        <v>165</v>
      </c>
      <c r="C81">
        <v>0</v>
      </c>
      <c r="D81">
        <v>0</v>
      </c>
      <c r="E81">
        <v>0</v>
      </c>
      <c r="F81">
        <v>0</v>
      </c>
      <c r="G81">
        <v>0</v>
      </c>
      <c r="H81">
        <v>0</v>
      </c>
      <c r="I81">
        <v>0</v>
      </c>
      <c r="L81">
        <f t="shared" si="6"/>
        <v>0</v>
      </c>
      <c r="M81">
        <f>L81+20</f>
        <v>20</v>
      </c>
      <c r="N81" s="23">
        <f t="shared" si="56"/>
        <v>0</v>
      </c>
      <c r="O81" s="23">
        <f t="shared" si="57"/>
        <v>0</v>
      </c>
      <c r="P81">
        <f t="shared" si="58"/>
        <v>0</v>
      </c>
      <c r="Q81">
        <f>P81+30</f>
        <v>30</v>
      </c>
      <c r="R81">
        <f t="shared" si="59"/>
        <v>0</v>
      </c>
      <c r="S81">
        <f>R81+10+10</f>
        <v>20</v>
      </c>
      <c r="W81">
        <f t="shared" si="46"/>
        <v>0</v>
      </c>
      <c r="X81">
        <f t="shared" si="47"/>
        <v>20</v>
      </c>
      <c r="Y81">
        <f t="shared" si="48"/>
        <v>0</v>
      </c>
      <c r="Z81">
        <f t="shared" si="49"/>
        <v>0</v>
      </c>
      <c r="AA81">
        <f t="shared" si="50"/>
        <v>0</v>
      </c>
      <c r="AB81">
        <f t="shared" si="51"/>
        <v>30</v>
      </c>
      <c r="AC81">
        <f t="shared" si="52"/>
        <v>0</v>
      </c>
      <c r="AD81">
        <f t="shared" si="53"/>
        <v>20</v>
      </c>
    </row>
    <row r="82" spans="1:30">
      <c r="A82" t="s">
        <v>216</v>
      </c>
      <c r="B82" t="s">
        <v>165</v>
      </c>
      <c r="C82">
        <v>0</v>
      </c>
      <c r="D82">
        <v>0</v>
      </c>
      <c r="E82">
        <v>0</v>
      </c>
      <c r="F82">
        <v>0</v>
      </c>
      <c r="G82">
        <v>0</v>
      </c>
      <c r="H82">
        <v>0</v>
      </c>
      <c r="I82">
        <v>0</v>
      </c>
      <c r="L82">
        <f t="shared" si="6"/>
        <v>0</v>
      </c>
      <c r="M82">
        <f t="shared" si="29"/>
        <v>0</v>
      </c>
      <c r="N82" s="23">
        <f t="shared" si="56"/>
        <v>0</v>
      </c>
      <c r="O82" s="23">
        <f t="shared" si="57"/>
        <v>0</v>
      </c>
      <c r="P82">
        <f t="shared" si="58"/>
        <v>0</v>
      </c>
      <c r="Q82">
        <f t="shared" si="31"/>
        <v>0</v>
      </c>
      <c r="R82">
        <f t="shared" si="59"/>
        <v>0</v>
      </c>
      <c r="S82">
        <f t="shared" si="32"/>
        <v>0</v>
      </c>
      <c r="W82">
        <f t="shared" si="46"/>
        <v>0</v>
      </c>
      <c r="X82">
        <f t="shared" si="47"/>
        <v>0</v>
      </c>
      <c r="Y82">
        <f t="shared" si="48"/>
        <v>0</v>
      </c>
      <c r="Z82">
        <f t="shared" si="49"/>
        <v>0</v>
      </c>
      <c r="AA82">
        <f t="shared" si="50"/>
        <v>0</v>
      </c>
      <c r="AB82">
        <f t="shared" si="51"/>
        <v>0</v>
      </c>
      <c r="AC82">
        <f t="shared" si="52"/>
        <v>0</v>
      </c>
      <c r="AD82">
        <f t="shared" si="53"/>
        <v>0</v>
      </c>
    </row>
    <row r="83" spans="1:30">
      <c r="A83" t="s">
        <v>217</v>
      </c>
      <c r="B83" t="s">
        <v>165</v>
      </c>
      <c r="C83">
        <v>0</v>
      </c>
      <c r="D83">
        <v>0</v>
      </c>
      <c r="E83">
        <v>0</v>
      </c>
      <c r="F83">
        <v>0</v>
      </c>
      <c r="G83">
        <v>0</v>
      </c>
      <c r="H83">
        <v>0</v>
      </c>
      <c r="I83">
        <v>0</v>
      </c>
      <c r="L83">
        <f t="shared" si="6"/>
        <v>0</v>
      </c>
      <c r="M83">
        <f t="shared" si="29"/>
        <v>0</v>
      </c>
      <c r="N83" s="23">
        <f t="shared" si="56"/>
        <v>0</v>
      </c>
      <c r="O83" s="23">
        <f t="shared" si="57"/>
        <v>0</v>
      </c>
      <c r="P83">
        <f t="shared" si="58"/>
        <v>0</v>
      </c>
      <c r="Q83">
        <f t="shared" si="31"/>
        <v>0</v>
      </c>
      <c r="R83">
        <f t="shared" si="59"/>
        <v>0</v>
      </c>
      <c r="S83">
        <f t="shared" si="32"/>
        <v>0</v>
      </c>
      <c r="W83">
        <f t="shared" si="46"/>
        <v>0</v>
      </c>
      <c r="X83">
        <f t="shared" si="47"/>
        <v>0</v>
      </c>
      <c r="Y83">
        <f t="shared" si="48"/>
        <v>0</v>
      </c>
      <c r="Z83">
        <f t="shared" si="49"/>
        <v>0</v>
      </c>
      <c r="AA83">
        <f t="shared" si="50"/>
        <v>0</v>
      </c>
      <c r="AB83">
        <f t="shared" si="51"/>
        <v>0</v>
      </c>
      <c r="AC83">
        <f t="shared" si="52"/>
        <v>0</v>
      </c>
      <c r="AD83">
        <f t="shared" si="53"/>
        <v>0</v>
      </c>
    </row>
    <row r="84" spans="1:30">
      <c r="A84" t="s">
        <v>218</v>
      </c>
      <c r="B84" t="s">
        <v>165</v>
      </c>
      <c r="C84">
        <v>30</v>
      </c>
      <c r="D84">
        <v>0</v>
      </c>
      <c r="E84">
        <v>30</v>
      </c>
      <c r="F84">
        <v>0</v>
      </c>
      <c r="G84">
        <v>0</v>
      </c>
      <c r="H84">
        <v>0</v>
      </c>
      <c r="I84">
        <v>0</v>
      </c>
      <c r="L84">
        <f t="shared" si="6"/>
        <v>30</v>
      </c>
      <c r="M84">
        <f>L84-10</f>
        <v>20</v>
      </c>
      <c r="N84" s="23">
        <f t="shared" si="56"/>
        <v>15</v>
      </c>
      <c r="O84" s="23">
        <f t="shared" si="57"/>
        <v>15</v>
      </c>
      <c r="P84">
        <f t="shared" si="58"/>
        <v>0</v>
      </c>
      <c r="Q84">
        <f t="shared" si="31"/>
        <v>0</v>
      </c>
      <c r="R84">
        <f t="shared" si="59"/>
        <v>0</v>
      </c>
      <c r="S84">
        <f t="shared" si="32"/>
        <v>0</v>
      </c>
      <c r="W84">
        <f t="shared" si="46"/>
        <v>30</v>
      </c>
      <c r="X84">
        <f t="shared" si="47"/>
        <v>20</v>
      </c>
      <c r="Y84">
        <f t="shared" si="48"/>
        <v>15</v>
      </c>
      <c r="Z84">
        <f t="shared" si="49"/>
        <v>15</v>
      </c>
      <c r="AA84">
        <f t="shared" si="50"/>
        <v>0</v>
      </c>
      <c r="AB84">
        <f t="shared" si="51"/>
        <v>0</v>
      </c>
      <c r="AC84">
        <f t="shared" si="52"/>
        <v>0</v>
      </c>
      <c r="AD84">
        <f t="shared" si="53"/>
        <v>0</v>
      </c>
    </row>
    <row r="85" spans="1:30">
      <c r="A85" t="s">
        <v>219</v>
      </c>
      <c r="B85" t="s">
        <v>165</v>
      </c>
      <c r="C85">
        <v>0</v>
      </c>
      <c r="D85">
        <v>60</v>
      </c>
      <c r="E85">
        <v>50</v>
      </c>
      <c r="F85">
        <v>50</v>
      </c>
      <c r="G85">
        <v>90</v>
      </c>
      <c r="H85">
        <v>70</v>
      </c>
      <c r="I85">
        <v>60</v>
      </c>
      <c r="L85">
        <f t="shared" si="6"/>
        <v>0</v>
      </c>
      <c r="M85">
        <f t="shared" si="29"/>
        <v>0</v>
      </c>
      <c r="N85" s="23">
        <f t="shared" si="56"/>
        <v>55</v>
      </c>
      <c r="O85" s="23">
        <f t="shared" si="57"/>
        <v>55</v>
      </c>
      <c r="P85">
        <f t="shared" si="58"/>
        <v>70</v>
      </c>
      <c r="Q85">
        <f t="shared" si="31"/>
        <v>70</v>
      </c>
      <c r="R85">
        <f t="shared" si="59"/>
        <v>65</v>
      </c>
      <c r="S85">
        <f t="shared" si="32"/>
        <v>65</v>
      </c>
      <c r="W85">
        <f t="shared" si="46"/>
        <v>0</v>
      </c>
      <c r="X85">
        <f t="shared" si="47"/>
        <v>0</v>
      </c>
      <c r="Y85">
        <f t="shared" si="48"/>
        <v>55</v>
      </c>
      <c r="Z85">
        <f t="shared" si="49"/>
        <v>55</v>
      </c>
      <c r="AA85">
        <f t="shared" si="50"/>
        <v>70</v>
      </c>
      <c r="AB85">
        <f t="shared" si="51"/>
        <v>70</v>
      </c>
      <c r="AC85">
        <f t="shared" si="52"/>
        <v>65</v>
      </c>
      <c r="AD85">
        <f t="shared" si="53"/>
        <v>65</v>
      </c>
    </row>
    <row r="86" spans="1:30">
      <c r="A86" t="s">
        <v>220</v>
      </c>
      <c r="B86" t="s">
        <v>165</v>
      </c>
      <c r="C86">
        <v>50</v>
      </c>
      <c r="D86">
        <v>40</v>
      </c>
      <c r="E86">
        <v>10</v>
      </c>
      <c r="F86">
        <v>0</v>
      </c>
      <c r="G86">
        <v>0</v>
      </c>
      <c r="H86">
        <v>0</v>
      </c>
      <c r="I86">
        <v>10</v>
      </c>
      <c r="L86">
        <f t="shared" si="6"/>
        <v>50</v>
      </c>
      <c r="M86">
        <f>L86-15</f>
        <v>35</v>
      </c>
      <c r="N86" s="23">
        <f t="shared" si="56"/>
        <v>25</v>
      </c>
      <c r="O86" s="23">
        <f t="shared" si="57"/>
        <v>25</v>
      </c>
      <c r="P86">
        <f t="shared" si="58"/>
        <v>0</v>
      </c>
      <c r="Q86">
        <f t="shared" si="31"/>
        <v>0</v>
      </c>
      <c r="R86">
        <f t="shared" si="59"/>
        <v>5</v>
      </c>
      <c r="S86">
        <f t="shared" si="32"/>
        <v>5</v>
      </c>
      <c r="W86">
        <f t="shared" si="46"/>
        <v>50</v>
      </c>
      <c r="X86">
        <f t="shared" si="47"/>
        <v>35</v>
      </c>
      <c r="Y86">
        <f t="shared" si="48"/>
        <v>25</v>
      </c>
      <c r="Z86">
        <f t="shared" si="49"/>
        <v>25</v>
      </c>
      <c r="AA86">
        <f t="shared" si="50"/>
        <v>0</v>
      </c>
      <c r="AB86">
        <f t="shared" si="51"/>
        <v>0</v>
      </c>
      <c r="AC86">
        <f t="shared" si="52"/>
        <v>5</v>
      </c>
      <c r="AD86">
        <f t="shared" si="53"/>
        <v>5</v>
      </c>
    </row>
    <row r="87" spans="1:30">
      <c r="A87" t="s">
        <v>221</v>
      </c>
      <c r="B87" t="s">
        <v>165</v>
      </c>
      <c r="C87">
        <v>20</v>
      </c>
      <c r="D87">
        <v>0</v>
      </c>
      <c r="E87">
        <v>10</v>
      </c>
      <c r="F87">
        <v>50</v>
      </c>
      <c r="G87">
        <v>10</v>
      </c>
      <c r="H87">
        <v>10</v>
      </c>
      <c r="I87">
        <v>20</v>
      </c>
      <c r="L87">
        <f t="shared" si="6"/>
        <v>20</v>
      </c>
      <c r="M87">
        <f>L87-20</f>
        <v>0</v>
      </c>
      <c r="N87" s="23">
        <f t="shared" si="56"/>
        <v>5</v>
      </c>
      <c r="O87" s="23">
        <f t="shared" si="57"/>
        <v>5</v>
      </c>
      <c r="P87">
        <f t="shared" si="58"/>
        <v>30</v>
      </c>
      <c r="Q87">
        <f>P87-30</f>
        <v>0</v>
      </c>
      <c r="R87">
        <f t="shared" si="59"/>
        <v>15</v>
      </c>
      <c r="S87">
        <f>R87-10</f>
        <v>5</v>
      </c>
      <c r="W87">
        <f t="shared" si="46"/>
        <v>20</v>
      </c>
      <c r="X87">
        <f t="shared" si="47"/>
        <v>0</v>
      </c>
      <c r="Y87">
        <f t="shared" si="48"/>
        <v>5</v>
      </c>
      <c r="Z87">
        <f t="shared" si="49"/>
        <v>5</v>
      </c>
      <c r="AA87">
        <f t="shared" si="50"/>
        <v>30</v>
      </c>
      <c r="AB87">
        <f t="shared" si="51"/>
        <v>0</v>
      </c>
      <c r="AC87">
        <f t="shared" si="52"/>
        <v>15</v>
      </c>
      <c r="AD87">
        <f t="shared" si="53"/>
        <v>5</v>
      </c>
    </row>
  </sheetData>
  <mergeCells count="1">
    <mergeCell ref="W1:AD1"/>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AD385-23C4-4796-9533-08D73447DE36}">
  <sheetPr>
    <tabColor theme="2" tint="-9.9978637043366805E-2"/>
  </sheetPr>
  <dimension ref="A1:AF75"/>
  <sheetViews>
    <sheetView zoomScale="120" zoomScaleNormal="120" workbookViewId="0">
      <pane xSplit="6" ySplit="1" topLeftCell="Q2" activePane="bottomRight" state="frozen"/>
      <selection pane="bottomRight" activeCell="S57" sqref="S57:U59"/>
      <selection pane="bottomLeft" activeCell="A2" sqref="A2"/>
      <selection pane="topRight" activeCell="G1" sqref="G1"/>
    </sheetView>
  </sheetViews>
  <sheetFormatPr defaultColWidth="11.5703125" defaultRowHeight="15"/>
  <cols>
    <col min="2" max="2" width="5.42578125" customWidth="1"/>
    <col min="3" max="3" width="5.140625" customWidth="1"/>
    <col min="4" max="4" width="6" customWidth="1"/>
    <col min="5" max="5" width="40" customWidth="1"/>
    <col min="6" max="6" width="17.28515625" bestFit="1" customWidth="1"/>
    <col min="7" max="7" width="17.28515625" customWidth="1"/>
    <col min="8" max="9" width="15.5703125" bestFit="1" customWidth="1"/>
    <col min="10" max="10" width="8" bestFit="1" customWidth="1"/>
    <col min="11" max="11" width="20.28515625" bestFit="1" customWidth="1"/>
    <col min="12" max="12" width="18.7109375" bestFit="1" customWidth="1"/>
    <col min="13" max="13" width="17.28515625" bestFit="1" customWidth="1"/>
    <col min="15" max="15" width="15" bestFit="1" customWidth="1"/>
    <col min="16" max="17" width="14.85546875" bestFit="1" customWidth="1"/>
    <col min="19" max="21" width="15.5703125" bestFit="1" customWidth="1"/>
    <col min="23" max="25" width="16" bestFit="1" customWidth="1"/>
    <col min="27" max="29" width="17.42578125" bestFit="1" customWidth="1"/>
    <col min="30" max="30" width="14" bestFit="1" customWidth="1"/>
  </cols>
  <sheetData>
    <row r="1" spans="1:30" s="40" customFormat="1">
      <c r="A1" s="40" t="s">
        <v>92</v>
      </c>
      <c r="B1" s="40" t="s">
        <v>93</v>
      </c>
      <c r="C1" s="40" t="s">
        <v>94</v>
      </c>
      <c r="D1" s="40" t="s">
        <v>95</v>
      </c>
      <c r="E1" s="40" t="s">
        <v>96</v>
      </c>
      <c r="F1" s="40" t="s">
        <v>97</v>
      </c>
      <c r="G1" s="181" t="s">
        <v>98</v>
      </c>
      <c r="H1" s="181" t="s">
        <v>7</v>
      </c>
      <c r="I1" s="181" t="s">
        <v>8</v>
      </c>
      <c r="J1" s="181" t="s">
        <v>99</v>
      </c>
      <c r="K1" s="182" t="s">
        <v>100</v>
      </c>
      <c r="L1" s="182" t="s">
        <v>10</v>
      </c>
      <c r="M1" s="182" t="s">
        <v>11</v>
      </c>
      <c r="N1" s="182" t="s">
        <v>99</v>
      </c>
      <c r="O1" s="183" t="s">
        <v>101</v>
      </c>
      <c r="P1" s="183" t="s">
        <v>12</v>
      </c>
      <c r="Q1" s="183" t="s">
        <v>13</v>
      </c>
      <c r="R1" s="183" t="s">
        <v>99</v>
      </c>
      <c r="S1" s="184" t="s">
        <v>102</v>
      </c>
      <c r="T1" s="184" t="s">
        <v>14</v>
      </c>
      <c r="U1" s="184" t="s">
        <v>15</v>
      </c>
      <c r="V1" s="184" t="s">
        <v>99</v>
      </c>
      <c r="W1" s="185" t="s">
        <v>103</v>
      </c>
      <c r="X1" s="185" t="s">
        <v>16</v>
      </c>
      <c r="Y1" s="185" t="s">
        <v>17</v>
      </c>
      <c r="Z1" s="185" t="s">
        <v>99</v>
      </c>
      <c r="AA1" s="123" t="s">
        <v>104</v>
      </c>
      <c r="AB1" s="123" t="s">
        <v>105</v>
      </c>
      <c r="AC1" s="123" t="s">
        <v>106</v>
      </c>
      <c r="AD1" s="123" t="s">
        <v>107</v>
      </c>
    </row>
    <row r="2" spans="1:30">
      <c r="A2" t="s">
        <v>108</v>
      </c>
      <c r="B2">
        <v>0</v>
      </c>
      <c r="C2" t="s">
        <v>109</v>
      </c>
      <c r="D2" t="s">
        <v>109</v>
      </c>
      <c r="E2" t="s">
        <v>55</v>
      </c>
      <c r="F2" t="s">
        <v>56</v>
      </c>
      <c r="G2" s="49">
        <v>79697879.540000007</v>
      </c>
      <c r="H2" s="49">
        <v>79740434.510000005</v>
      </c>
      <c r="I2" s="49">
        <v>79721801.980000004</v>
      </c>
      <c r="J2" s="50">
        <f>(I2-H2)/H2</f>
        <v>-2.3366476636974611E-4</v>
      </c>
      <c r="K2" s="49">
        <v>79664009.930000007</v>
      </c>
      <c r="L2" s="49">
        <v>79685183.480000004</v>
      </c>
      <c r="M2" s="49">
        <v>79679676.829999998</v>
      </c>
      <c r="N2" s="50">
        <f>(M2-L2)/L2</f>
        <v>-6.9105067711716588E-5</v>
      </c>
      <c r="O2" s="49">
        <v>89564797.390000001</v>
      </c>
      <c r="P2" s="49">
        <v>94994880.680000007</v>
      </c>
      <c r="Q2" s="49">
        <v>93378914.540000007</v>
      </c>
      <c r="R2" s="50">
        <f>(Q2-P2)/P2</f>
        <v>-1.7011086581007962E-2</v>
      </c>
      <c r="S2" s="49">
        <v>103833796.20999999</v>
      </c>
      <c r="T2" s="49">
        <v>110205550.55</v>
      </c>
      <c r="U2" s="49">
        <v>109249120.51000001</v>
      </c>
      <c r="V2" s="50">
        <f>(U2-T2)/T2</f>
        <v>-8.6786013519896312E-3</v>
      </c>
      <c r="W2" s="49">
        <v>354911751.07999998</v>
      </c>
      <c r="X2" s="49">
        <v>355339524.44</v>
      </c>
      <c r="Y2" s="49">
        <v>355319127.24000001</v>
      </c>
      <c r="Z2" s="50"/>
      <c r="AA2" s="39">
        <f t="shared" ref="AA2:AB33" si="0">G2+K2+O2+S2+W2</f>
        <v>707672234.14999998</v>
      </c>
      <c r="AB2" s="39">
        <f t="shared" si="0"/>
        <v>719965573.66000009</v>
      </c>
      <c r="AC2" s="39">
        <f>I2+M2+Q2+U2+Y2</f>
        <v>717348641.10000002</v>
      </c>
      <c r="AD2" s="51">
        <f>(AC2-AB2)/AB2</f>
        <v>-3.6348023513078343E-3</v>
      </c>
    </row>
    <row r="3" spans="1:30">
      <c r="A3" t="s">
        <v>108</v>
      </c>
      <c r="B3">
        <v>0</v>
      </c>
      <c r="C3" t="s">
        <v>109</v>
      </c>
      <c r="D3" t="s">
        <v>109</v>
      </c>
      <c r="E3" t="s">
        <v>58</v>
      </c>
      <c r="F3" t="s">
        <v>56</v>
      </c>
      <c r="G3" s="49">
        <v>4423393.4800000004</v>
      </c>
      <c r="H3" s="49">
        <v>4448548.03</v>
      </c>
      <c r="I3" s="49">
        <v>4436194.66</v>
      </c>
      <c r="J3" s="50">
        <f t="shared" ref="J3:J66" si="1">(I3-H3)/H3</f>
        <v>-2.7769442786032168E-3</v>
      </c>
      <c r="K3" s="49">
        <v>4377114.0199999996</v>
      </c>
      <c r="L3" s="49">
        <v>4378457.13</v>
      </c>
      <c r="M3" s="49">
        <v>4377905.6500000004</v>
      </c>
      <c r="N3" s="50">
        <f t="shared" ref="N3:N66" si="2">(M3-L3)/L3</f>
        <v>-1.2595304318978583E-4</v>
      </c>
      <c r="O3" s="49">
        <v>5006004.9400000004</v>
      </c>
      <c r="P3" s="49">
        <v>5350917.58</v>
      </c>
      <c r="Q3" s="49">
        <v>5236647.7699999996</v>
      </c>
      <c r="R3" s="50">
        <f t="shared" ref="R3:R66" si="3">(Q3-P3)/P3</f>
        <v>-2.1355180357683724E-2</v>
      </c>
      <c r="S3" s="49">
        <v>6032985.7300000004</v>
      </c>
      <c r="T3" s="49">
        <v>6469448.1399999997</v>
      </c>
      <c r="U3" s="49">
        <v>6292298.1900000004</v>
      </c>
      <c r="V3" s="50">
        <f t="shared" ref="V3:V66" si="4">(U3-T3)/T3</f>
        <v>-2.7382544255157945E-2</v>
      </c>
      <c r="W3" s="49">
        <v>21822195.710000001</v>
      </c>
      <c r="X3" s="49">
        <v>21848054.75</v>
      </c>
      <c r="Y3" s="49">
        <v>21841210.460000001</v>
      </c>
      <c r="Z3" s="50"/>
      <c r="AA3" s="39">
        <f t="shared" si="0"/>
        <v>41661693.880000003</v>
      </c>
      <c r="AB3" s="39">
        <f t="shared" si="0"/>
        <v>42495425.629999995</v>
      </c>
      <c r="AC3" s="39">
        <f t="shared" ref="AC3:AC33" si="5">I3+M3+Q3+U3+Y3</f>
        <v>42184256.730000004</v>
      </c>
      <c r="AD3" s="51">
        <f t="shared" ref="AD3:AD66" si="6">(AC3-AB3)/AB3</f>
        <v>-7.3224093037514799E-3</v>
      </c>
    </row>
    <row r="4" spans="1:30">
      <c r="A4" t="s">
        <v>108</v>
      </c>
      <c r="B4">
        <v>0</v>
      </c>
      <c r="C4" t="s">
        <v>109</v>
      </c>
      <c r="D4" t="s">
        <v>109</v>
      </c>
      <c r="E4" t="s">
        <v>110</v>
      </c>
      <c r="F4" t="s">
        <v>111</v>
      </c>
      <c r="G4" s="49">
        <v>1089.0899999999999</v>
      </c>
      <c r="H4" s="49">
        <v>1089.56</v>
      </c>
      <c r="I4" s="49">
        <v>1089.3900000000001</v>
      </c>
      <c r="J4" s="50">
        <f t="shared" si="1"/>
        <v>-1.5602628584001377E-4</v>
      </c>
      <c r="K4" s="49">
        <v>1088.46</v>
      </c>
      <c r="L4" s="49">
        <v>1088.58</v>
      </c>
      <c r="M4" s="49">
        <v>1088.6199999999999</v>
      </c>
      <c r="N4" s="50">
        <f t="shared" si="2"/>
        <v>3.6745117492479763E-5</v>
      </c>
      <c r="O4" s="49">
        <v>1108.8699999999999</v>
      </c>
      <c r="P4" s="49">
        <v>1118.55</v>
      </c>
      <c r="Q4" s="49">
        <v>1123.32</v>
      </c>
      <c r="R4" s="50">
        <f t="shared" si="3"/>
        <v>4.2644495105270052E-3</v>
      </c>
      <c r="S4" s="49">
        <v>1132.1500000000001</v>
      </c>
      <c r="T4" s="49">
        <v>1140.8599999999999</v>
      </c>
      <c r="U4" s="49">
        <v>1147.45</v>
      </c>
      <c r="V4" s="50">
        <f t="shared" si="4"/>
        <v>5.7763441614222134E-3</v>
      </c>
      <c r="W4" s="49">
        <v>1224.8599999999999</v>
      </c>
      <c r="X4" s="49">
        <v>1224.8699999999999</v>
      </c>
      <c r="Y4" s="49">
        <v>1225.22</v>
      </c>
      <c r="Z4" s="50"/>
      <c r="AA4" s="39">
        <f t="shared" si="0"/>
        <v>5643.4299999999994</v>
      </c>
      <c r="AB4" s="39">
        <f t="shared" si="0"/>
        <v>5662.4199999999992</v>
      </c>
      <c r="AC4" s="39">
        <f t="shared" si="5"/>
        <v>5674</v>
      </c>
      <c r="AD4" s="51">
        <f t="shared" si="6"/>
        <v>2.0450620052911718E-3</v>
      </c>
    </row>
    <row r="5" spans="1:30">
      <c r="A5" t="s">
        <v>108</v>
      </c>
      <c r="B5">
        <v>0</v>
      </c>
      <c r="C5" t="s">
        <v>109</v>
      </c>
      <c r="D5" t="s">
        <v>109</v>
      </c>
      <c r="E5" t="s">
        <v>60</v>
      </c>
      <c r="F5" t="s">
        <v>61</v>
      </c>
      <c r="G5" s="49">
        <v>4445051.4400000004</v>
      </c>
      <c r="H5" s="49">
        <v>4459340.1100000003</v>
      </c>
      <c r="I5" s="49">
        <v>4467847.32</v>
      </c>
      <c r="J5" s="50">
        <f t="shared" si="1"/>
        <v>1.9077284508805859E-3</v>
      </c>
      <c r="K5" s="49">
        <v>4437226.97</v>
      </c>
      <c r="L5" s="49">
        <v>4445847.4000000004</v>
      </c>
      <c r="M5" s="49">
        <v>4455186.38</v>
      </c>
      <c r="N5" s="50">
        <f t="shared" si="2"/>
        <v>2.100607411761257E-3</v>
      </c>
      <c r="O5" s="49">
        <v>6018990.5199999996</v>
      </c>
      <c r="P5" s="49">
        <v>6893226.7599999998</v>
      </c>
      <c r="Q5" s="49">
        <v>7597922.0099999998</v>
      </c>
      <c r="R5" s="50">
        <f t="shared" si="3"/>
        <v>0.10223009840459681</v>
      </c>
      <c r="S5" s="49">
        <v>6701211.4000000004</v>
      </c>
      <c r="T5" s="49">
        <v>7302155.7999999998</v>
      </c>
      <c r="U5" s="49">
        <v>8232061.1799999997</v>
      </c>
      <c r="V5" s="50">
        <f t="shared" si="4"/>
        <v>0.12734669123329304</v>
      </c>
      <c r="W5" s="49">
        <v>24065822.25</v>
      </c>
      <c r="X5" s="49">
        <v>24085429.649999999</v>
      </c>
      <c r="Y5" s="49">
        <v>24116478.73</v>
      </c>
      <c r="Z5" s="50"/>
      <c r="AA5" s="39">
        <f t="shared" si="0"/>
        <v>45668302.579999998</v>
      </c>
      <c r="AB5" s="39">
        <f t="shared" si="0"/>
        <v>47185999.719999999</v>
      </c>
      <c r="AC5" s="39">
        <f t="shared" si="5"/>
        <v>48869495.620000005</v>
      </c>
      <c r="AD5" s="51">
        <f t="shared" si="6"/>
        <v>3.5677868647264216E-2</v>
      </c>
    </row>
    <row r="6" spans="1:30">
      <c r="A6" t="s">
        <v>108</v>
      </c>
      <c r="B6">
        <v>0</v>
      </c>
      <c r="C6" t="s">
        <v>109</v>
      </c>
      <c r="D6" t="s">
        <v>109</v>
      </c>
      <c r="E6" t="s">
        <v>63</v>
      </c>
      <c r="F6" t="s">
        <v>61</v>
      </c>
      <c r="G6" s="49">
        <v>1774399.31</v>
      </c>
      <c r="H6" s="49">
        <v>1776056.96</v>
      </c>
      <c r="I6" s="49">
        <v>1776462.84</v>
      </c>
      <c r="J6" s="50">
        <f t="shared" si="1"/>
        <v>2.2852870664695409E-4</v>
      </c>
      <c r="K6" s="49">
        <v>1773061.04</v>
      </c>
      <c r="L6" s="49">
        <v>1773877.8</v>
      </c>
      <c r="M6" s="49">
        <v>1774290.64</v>
      </c>
      <c r="N6" s="50">
        <f t="shared" si="2"/>
        <v>2.3273305523066525E-4</v>
      </c>
      <c r="O6" s="49">
        <v>2098516.77</v>
      </c>
      <c r="P6" s="49">
        <v>2277168.58</v>
      </c>
      <c r="Q6" s="49">
        <v>2361124.36</v>
      </c>
      <c r="R6" s="50">
        <f t="shared" si="3"/>
        <v>3.6868495700041581E-2</v>
      </c>
      <c r="S6" s="49">
        <v>2516049.7599999998</v>
      </c>
      <c r="T6" s="49">
        <v>2712022.76</v>
      </c>
      <c r="U6" s="49">
        <v>3209031.19</v>
      </c>
      <c r="V6" s="50">
        <f t="shared" si="4"/>
        <v>0.18326115743954899</v>
      </c>
      <c r="W6" s="49">
        <v>11922958.58</v>
      </c>
      <c r="X6" s="49">
        <v>11930779.800000001</v>
      </c>
      <c r="Y6" s="49">
        <v>11943580.310000001</v>
      </c>
      <c r="Z6" s="50"/>
      <c r="AA6" s="39">
        <f t="shared" si="0"/>
        <v>20084985.460000001</v>
      </c>
      <c r="AB6" s="39">
        <f t="shared" si="0"/>
        <v>20469905.899999999</v>
      </c>
      <c r="AC6" s="39">
        <f t="shared" si="5"/>
        <v>21064489.34</v>
      </c>
      <c r="AD6" s="51">
        <f t="shared" si="6"/>
        <v>2.9046710957279065E-2</v>
      </c>
    </row>
    <row r="7" spans="1:30">
      <c r="A7" t="s">
        <v>108</v>
      </c>
      <c r="B7">
        <v>0</v>
      </c>
      <c r="C7" t="s">
        <v>109</v>
      </c>
      <c r="D7" t="s">
        <v>109</v>
      </c>
      <c r="E7" t="s">
        <v>65</v>
      </c>
      <c r="F7" t="s">
        <v>61</v>
      </c>
      <c r="G7" s="49">
        <v>70709725.75</v>
      </c>
      <c r="H7" s="49">
        <v>70785814.129999995</v>
      </c>
      <c r="I7" s="49">
        <v>70781526.200000003</v>
      </c>
      <c r="J7" s="50">
        <f t="shared" si="1"/>
        <v>-6.0576120409060439E-5</v>
      </c>
      <c r="K7" s="49">
        <v>70652784.489999995</v>
      </c>
      <c r="L7" s="49">
        <v>70692184.790000007</v>
      </c>
      <c r="M7" s="49">
        <v>70701689.099999994</v>
      </c>
      <c r="N7" s="50">
        <f t="shared" si="2"/>
        <v>1.3444640349171875E-4</v>
      </c>
      <c r="O7" s="49">
        <v>87867382.459999993</v>
      </c>
      <c r="P7" s="49">
        <v>97312070.230000004</v>
      </c>
      <c r="Q7" s="49">
        <v>92577467.819999993</v>
      </c>
      <c r="R7" s="50">
        <f t="shared" si="3"/>
        <v>-4.8653804186979441E-2</v>
      </c>
      <c r="S7" s="49">
        <v>97244239.040000007</v>
      </c>
      <c r="T7" s="49">
        <v>104264360.77</v>
      </c>
      <c r="U7" s="49">
        <v>98870550.719999999</v>
      </c>
      <c r="V7" s="50">
        <f t="shared" si="4"/>
        <v>-5.1732058875787586E-2</v>
      </c>
      <c r="W7" s="49">
        <v>566057656.96000004</v>
      </c>
      <c r="X7" s="49">
        <v>566199432.82000005</v>
      </c>
      <c r="Y7" s="49">
        <v>566200566.49000001</v>
      </c>
      <c r="Z7" s="50"/>
      <c r="AA7" s="39">
        <f t="shared" si="0"/>
        <v>892531788.70000005</v>
      </c>
      <c r="AB7" s="39">
        <f t="shared" si="0"/>
        <v>909253862.74000001</v>
      </c>
      <c r="AC7" s="39">
        <f t="shared" si="5"/>
        <v>899131800.33000004</v>
      </c>
      <c r="AD7" s="51">
        <f t="shared" si="6"/>
        <v>-1.1132273202004925E-2</v>
      </c>
    </row>
    <row r="8" spans="1:30">
      <c r="A8" t="s">
        <v>108</v>
      </c>
      <c r="B8">
        <v>0</v>
      </c>
      <c r="C8" t="s">
        <v>109</v>
      </c>
      <c r="D8" t="s">
        <v>109</v>
      </c>
      <c r="E8" t="s">
        <v>67</v>
      </c>
      <c r="F8" t="s">
        <v>61</v>
      </c>
      <c r="G8" s="49">
        <v>1177916</v>
      </c>
      <c r="H8" s="49">
        <v>1178140.31</v>
      </c>
      <c r="I8" s="49">
        <v>1178051.51</v>
      </c>
      <c r="J8" s="50">
        <f t="shared" si="1"/>
        <v>-7.5373025815614916E-5</v>
      </c>
      <c r="K8" s="49">
        <v>1177716.23</v>
      </c>
      <c r="L8" s="49">
        <v>1177818.79</v>
      </c>
      <c r="M8" s="49">
        <v>1177792.73</v>
      </c>
      <c r="N8" s="50">
        <f t="shared" si="2"/>
        <v>-2.2125644641868788E-5</v>
      </c>
      <c r="O8" s="49">
        <v>1232304.8700000001</v>
      </c>
      <c r="P8" s="49">
        <v>1262225.6399999999</v>
      </c>
      <c r="Q8" s="49">
        <v>1250475.0900000001</v>
      </c>
      <c r="R8" s="50">
        <f t="shared" si="3"/>
        <v>-9.3093894052095269E-3</v>
      </c>
      <c r="S8" s="49">
        <v>1293923.02</v>
      </c>
      <c r="T8" s="49">
        <v>1324558.43</v>
      </c>
      <c r="U8" s="49">
        <v>1327320</v>
      </c>
      <c r="V8" s="50">
        <f t="shared" si="4"/>
        <v>2.0848985876750379E-3</v>
      </c>
      <c r="W8" s="49">
        <v>6720132.6500000004</v>
      </c>
      <c r="X8" s="49">
        <v>6721269.04</v>
      </c>
      <c r="Y8" s="49">
        <v>6721345.9000000004</v>
      </c>
      <c r="Z8" s="50"/>
      <c r="AA8" s="39">
        <f t="shared" si="0"/>
        <v>11601992.77</v>
      </c>
      <c r="AB8" s="39">
        <f t="shared" si="0"/>
        <v>11664012.210000001</v>
      </c>
      <c r="AC8" s="39">
        <f t="shared" si="5"/>
        <v>11654985.23</v>
      </c>
      <c r="AD8" s="51">
        <f t="shared" si="6"/>
        <v>-7.7391722826398231E-4</v>
      </c>
    </row>
    <row r="9" spans="1:30">
      <c r="A9" t="s">
        <v>108</v>
      </c>
      <c r="B9">
        <v>0</v>
      </c>
      <c r="C9" t="s">
        <v>109</v>
      </c>
      <c r="D9" t="s">
        <v>109</v>
      </c>
      <c r="E9" t="s">
        <v>69</v>
      </c>
      <c r="F9" t="s">
        <v>61</v>
      </c>
      <c r="G9" s="49">
        <v>42191924.609999999</v>
      </c>
      <c r="H9" s="49">
        <v>42212543.420000002</v>
      </c>
      <c r="I9" s="49">
        <v>42207050.32</v>
      </c>
      <c r="J9" s="50">
        <f t="shared" si="1"/>
        <v>-1.3012956706605125E-4</v>
      </c>
      <c r="K9" s="49">
        <v>42175843.689999998</v>
      </c>
      <c r="L9" s="49">
        <v>42186243.810000002</v>
      </c>
      <c r="M9" s="49">
        <v>42185160.390000001</v>
      </c>
      <c r="N9" s="50">
        <f t="shared" si="2"/>
        <v>-2.5681831378051482E-5</v>
      </c>
      <c r="O9" s="49">
        <v>46784729.590000004</v>
      </c>
      <c r="P9" s="49">
        <v>49313178.880000003</v>
      </c>
      <c r="Q9" s="49">
        <v>49083978.229999997</v>
      </c>
      <c r="R9" s="50">
        <f t="shared" si="3"/>
        <v>-4.6478579399180271E-3</v>
      </c>
      <c r="S9" s="49">
        <v>53584749.880000003</v>
      </c>
      <c r="T9" s="49">
        <v>56592673.880000003</v>
      </c>
      <c r="U9" s="49">
        <v>58509058.409999996</v>
      </c>
      <c r="V9" s="50">
        <f t="shared" si="4"/>
        <v>3.3862767008739074E-2</v>
      </c>
      <c r="W9" s="49">
        <v>662507316.00999999</v>
      </c>
      <c r="X9" s="49">
        <v>662546425.89999998</v>
      </c>
      <c r="Y9" s="49">
        <v>662549071.03999996</v>
      </c>
      <c r="Z9" s="50"/>
      <c r="AA9" s="39">
        <f t="shared" si="0"/>
        <v>847244563.77999997</v>
      </c>
      <c r="AB9" s="39">
        <f t="shared" si="0"/>
        <v>852851065.88999999</v>
      </c>
      <c r="AC9" s="39">
        <f t="shared" si="5"/>
        <v>854534318.38999999</v>
      </c>
      <c r="AD9" s="51">
        <f t="shared" si="6"/>
        <v>1.9736769611039032E-3</v>
      </c>
    </row>
    <row r="10" spans="1:30">
      <c r="A10" t="s">
        <v>108</v>
      </c>
      <c r="B10">
        <v>0</v>
      </c>
      <c r="C10" t="s">
        <v>109</v>
      </c>
      <c r="D10" t="s">
        <v>109</v>
      </c>
      <c r="E10" t="s">
        <v>72</v>
      </c>
      <c r="F10" t="s">
        <v>73</v>
      </c>
      <c r="G10" s="49">
        <v>285667.46000000002</v>
      </c>
      <c r="H10" s="49">
        <v>285852.46999999997</v>
      </c>
      <c r="I10" s="49">
        <v>285795.81</v>
      </c>
      <c r="J10" s="50">
        <f t="shared" si="1"/>
        <v>-1.9821413472472145E-4</v>
      </c>
      <c r="K10" s="49">
        <v>285522.95</v>
      </c>
      <c r="L10" s="49">
        <v>285616.17</v>
      </c>
      <c r="M10" s="49">
        <v>285608.44</v>
      </c>
      <c r="N10" s="50">
        <f t="shared" si="2"/>
        <v>-2.7064294013820625E-5</v>
      </c>
      <c r="O10" s="49">
        <v>328194.82</v>
      </c>
      <c r="P10" s="49">
        <v>351600.74</v>
      </c>
      <c r="Q10" s="49">
        <v>345488.02</v>
      </c>
      <c r="R10" s="50">
        <f t="shared" si="3"/>
        <v>-1.7385401407289336E-2</v>
      </c>
      <c r="S10" s="49">
        <v>376499.13</v>
      </c>
      <c r="T10" s="49">
        <v>400491.06</v>
      </c>
      <c r="U10" s="49">
        <v>398601.06</v>
      </c>
      <c r="V10" s="50">
        <f t="shared" si="4"/>
        <v>-4.719206466181792E-3</v>
      </c>
      <c r="W10" s="49">
        <v>1438696.85</v>
      </c>
      <c r="X10" s="49">
        <v>1440275.25</v>
      </c>
      <c r="Y10" s="49">
        <v>1440252.32</v>
      </c>
      <c r="Z10" s="50"/>
      <c r="AA10" s="39">
        <f t="shared" si="0"/>
        <v>2714581.21</v>
      </c>
      <c r="AB10" s="39">
        <f t="shared" si="0"/>
        <v>2763835.69</v>
      </c>
      <c r="AC10" s="39">
        <f t="shared" si="5"/>
        <v>2755745.6500000004</v>
      </c>
      <c r="AD10" s="51">
        <f t="shared" si="6"/>
        <v>-2.9271059887064311E-3</v>
      </c>
    </row>
    <row r="11" spans="1:30">
      <c r="A11" t="s">
        <v>108</v>
      </c>
      <c r="B11">
        <v>0</v>
      </c>
      <c r="C11" t="s">
        <v>109</v>
      </c>
      <c r="D11" t="s">
        <v>109</v>
      </c>
      <c r="E11" t="s">
        <v>75</v>
      </c>
      <c r="F11" t="s">
        <v>73</v>
      </c>
      <c r="G11" s="49">
        <v>1175904.02</v>
      </c>
      <c r="H11" s="49">
        <v>1176712.49</v>
      </c>
      <c r="I11" s="49">
        <v>1176624.52</v>
      </c>
      <c r="J11" s="50">
        <f t="shared" si="1"/>
        <v>-7.4759128289674274E-5</v>
      </c>
      <c r="K11" s="49">
        <v>1175256.08</v>
      </c>
      <c r="L11" s="49">
        <v>1175656.3999999999</v>
      </c>
      <c r="M11" s="49">
        <v>1175724.26</v>
      </c>
      <c r="N11" s="50">
        <f t="shared" si="2"/>
        <v>5.7720946358223756E-5</v>
      </c>
      <c r="O11" s="49">
        <v>1371745</v>
      </c>
      <c r="P11" s="49">
        <v>1480086</v>
      </c>
      <c r="Q11" s="49">
        <v>1475647.84</v>
      </c>
      <c r="R11" s="50">
        <f t="shared" si="3"/>
        <v>-2.9985825147997589E-3</v>
      </c>
      <c r="S11" s="49">
        <v>1862939.24</v>
      </c>
      <c r="T11" s="49">
        <v>2045019.66</v>
      </c>
      <c r="U11" s="49">
        <v>2201154.2999999998</v>
      </c>
      <c r="V11" s="50">
        <f t="shared" si="4"/>
        <v>7.6348723219609491E-2</v>
      </c>
      <c r="W11" s="49">
        <v>5811805.21</v>
      </c>
      <c r="X11" s="49">
        <v>5828350.0999999996</v>
      </c>
      <c r="Y11" s="49">
        <v>5836372.9299999997</v>
      </c>
      <c r="Z11" s="50"/>
      <c r="AA11" s="39">
        <f t="shared" si="0"/>
        <v>11397649.550000001</v>
      </c>
      <c r="AB11" s="39">
        <f t="shared" si="0"/>
        <v>11705824.649999999</v>
      </c>
      <c r="AC11" s="39">
        <f t="shared" si="5"/>
        <v>11865523.85</v>
      </c>
      <c r="AD11" s="51">
        <f t="shared" si="6"/>
        <v>1.3642712476476498E-2</v>
      </c>
    </row>
    <row r="12" spans="1:30">
      <c r="A12" t="s">
        <v>108</v>
      </c>
      <c r="B12">
        <v>0</v>
      </c>
      <c r="C12" t="s">
        <v>109</v>
      </c>
      <c r="D12" t="s">
        <v>109</v>
      </c>
      <c r="E12" t="s">
        <v>112</v>
      </c>
      <c r="F12" t="s">
        <v>113</v>
      </c>
      <c r="G12">
        <v>200.98</v>
      </c>
      <c r="H12">
        <v>200.95</v>
      </c>
      <c r="I12">
        <v>200.9</v>
      </c>
      <c r="J12" s="50">
        <f t="shared" si="1"/>
        <v>-2.4881811395861136E-4</v>
      </c>
      <c r="K12">
        <v>200.99</v>
      </c>
      <c r="L12">
        <v>200.96</v>
      </c>
      <c r="M12">
        <v>200.93</v>
      </c>
      <c r="N12" s="50">
        <f t="shared" si="2"/>
        <v>-1.4928343949045152E-4</v>
      </c>
      <c r="O12">
        <v>193.46</v>
      </c>
      <c r="P12">
        <v>189.9</v>
      </c>
      <c r="Q12">
        <v>185.09</v>
      </c>
      <c r="R12" s="50">
        <f t="shared" si="3"/>
        <v>-2.5329120589784107E-2</v>
      </c>
      <c r="S12">
        <v>191.65</v>
      </c>
      <c r="T12">
        <v>189.75</v>
      </c>
      <c r="U12">
        <v>174.19</v>
      </c>
      <c r="V12" s="50">
        <f t="shared" si="4"/>
        <v>-8.2002635046113326E-2</v>
      </c>
      <c r="W12">
        <v>113.72</v>
      </c>
      <c r="X12">
        <v>113.8</v>
      </c>
      <c r="Y12">
        <v>113.63</v>
      </c>
      <c r="Z12" s="50"/>
      <c r="AA12" s="39">
        <f t="shared" si="0"/>
        <v>900.80000000000007</v>
      </c>
      <c r="AB12" s="39">
        <f t="shared" si="0"/>
        <v>895.3599999999999</v>
      </c>
      <c r="AC12" s="39">
        <f t="shared" si="5"/>
        <v>874.74000000000012</v>
      </c>
      <c r="AD12" s="51">
        <f t="shared" si="6"/>
        <v>-2.302984274481748E-2</v>
      </c>
    </row>
    <row r="13" spans="1:30">
      <c r="A13" t="s">
        <v>108</v>
      </c>
      <c r="B13">
        <v>1</v>
      </c>
      <c r="C13" t="s">
        <v>109</v>
      </c>
      <c r="D13" t="s">
        <v>109</v>
      </c>
      <c r="E13" t="s">
        <v>114</v>
      </c>
      <c r="F13" t="s">
        <v>31</v>
      </c>
      <c r="G13">
        <v>0</v>
      </c>
      <c r="H13">
        <v>0</v>
      </c>
      <c r="I13">
        <v>0</v>
      </c>
      <c r="J13" s="50" t="e">
        <f t="shared" si="1"/>
        <v>#DIV/0!</v>
      </c>
      <c r="K13">
        <v>0</v>
      </c>
      <c r="L13">
        <v>0</v>
      </c>
      <c r="M13">
        <v>0</v>
      </c>
      <c r="N13" s="50" t="e">
        <f t="shared" si="2"/>
        <v>#DIV/0!</v>
      </c>
      <c r="O13">
        <v>0</v>
      </c>
      <c r="P13">
        <v>0</v>
      </c>
      <c r="Q13">
        <v>0</v>
      </c>
      <c r="R13" s="50" t="e">
        <f t="shared" si="3"/>
        <v>#DIV/0!</v>
      </c>
      <c r="S13">
        <v>0</v>
      </c>
      <c r="T13">
        <v>0</v>
      </c>
      <c r="U13">
        <v>0</v>
      </c>
      <c r="V13" s="50" t="e">
        <f t="shared" si="4"/>
        <v>#DIV/0!</v>
      </c>
      <c r="W13">
        <v>0</v>
      </c>
      <c r="X13">
        <v>0</v>
      </c>
      <c r="Y13">
        <v>0</v>
      </c>
      <c r="Z13" s="50"/>
      <c r="AA13" s="39">
        <f t="shared" si="0"/>
        <v>0</v>
      </c>
      <c r="AB13" s="39">
        <f t="shared" si="0"/>
        <v>0</v>
      </c>
      <c r="AC13" s="39">
        <f t="shared" si="5"/>
        <v>0</v>
      </c>
      <c r="AD13" s="51" t="e">
        <f t="shared" si="6"/>
        <v>#DIV/0!</v>
      </c>
    </row>
    <row r="14" spans="1:30">
      <c r="A14" t="s">
        <v>108</v>
      </c>
      <c r="B14">
        <v>0</v>
      </c>
      <c r="C14" t="s">
        <v>109</v>
      </c>
      <c r="D14" t="s">
        <v>109</v>
      </c>
      <c r="E14" t="s">
        <v>77</v>
      </c>
      <c r="F14" t="s">
        <v>73</v>
      </c>
      <c r="G14">
        <v>121.34</v>
      </c>
      <c r="H14">
        <v>121.48</v>
      </c>
      <c r="I14">
        <v>121.42</v>
      </c>
      <c r="J14" s="50">
        <f t="shared" si="1"/>
        <v>-4.9390846229833941E-4</v>
      </c>
      <c r="K14">
        <v>121.23</v>
      </c>
      <c r="L14">
        <v>121.31</v>
      </c>
      <c r="M14">
        <v>121.29</v>
      </c>
      <c r="N14" s="50">
        <f t="shared" si="2"/>
        <v>-1.6486687000244021E-4</v>
      </c>
      <c r="O14">
        <v>152.91999999999999</v>
      </c>
      <c r="P14">
        <v>170.31</v>
      </c>
      <c r="Q14">
        <v>167.29</v>
      </c>
      <c r="R14" s="50">
        <f t="shared" si="3"/>
        <v>-1.773237038341853E-2</v>
      </c>
      <c r="S14">
        <v>223.11</v>
      </c>
      <c r="T14">
        <v>249.96</v>
      </c>
      <c r="U14">
        <v>223.22</v>
      </c>
      <c r="V14" s="50">
        <f t="shared" si="4"/>
        <v>-0.10697711633861422</v>
      </c>
      <c r="W14">
        <v>731.61</v>
      </c>
      <c r="X14">
        <v>733.51</v>
      </c>
      <c r="Y14">
        <v>730.79</v>
      </c>
      <c r="Z14" s="50"/>
      <c r="AA14" s="39">
        <f t="shared" si="0"/>
        <v>1350.21</v>
      </c>
      <c r="AB14" s="39">
        <f t="shared" si="0"/>
        <v>1396.5700000000002</v>
      </c>
      <c r="AC14" s="39">
        <f t="shared" si="5"/>
        <v>1364.01</v>
      </c>
      <c r="AD14" s="51">
        <f t="shared" si="6"/>
        <v>-2.3314262801005441E-2</v>
      </c>
    </row>
    <row r="15" spans="1:30">
      <c r="A15" t="s">
        <v>108</v>
      </c>
      <c r="B15">
        <v>0</v>
      </c>
      <c r="C15" t="s">
        <v>109</v>
      </c>
      <c r="D15" t="s">
        <v>109</v>
      </c>
      <c r="E15" t="s">
        <v>79</v>
      </c>
      <c r="F15" t="s">
        <v>73</v>
      </c>
      <c r="G15" s="49">
        <v>514045.93</v>
      </c>
      <c r="H15" s="49">
        <v>514402.54</v>
      </c>
      <c r="I15" s="49">
        <v>513877.47</v>
      </c>
      <c r="J15" s="50">
        <f t="shared" si="1"/>
        <v>-1.0207375725633217E-3</v>
      </c>
      <c r="K15" s="49">
        <v>513656.78</v>
      </c>
      <c r="L15" s="49">
        <v>513789.4</v>
      </c>
      <c r="M15" s="49">
        <v>513816.9</v>
      </c>
      <c r="N15" s="50">
        <f t="shared" si="2"/>
        <v>5.3523875735855972E-5</v>
      </c>
      <c r="O15" s="49">
        <v>581062.36</v>
      </c>
      <c r="P15" s="49">
        <v>618016.12</v>
      </c>
      <c r="Q15" s="49">
        <v>611778.42000000004</v>
      </c>
      <c r="R15" s="50">
        <f t="shared" si="3"/>
        <v>-1.0093102425871922E-2</v>
      </c>
      <c r="S15" s="49">
        <v>682054.92</v>
      </c>
      <c r="T15" s="49">
        <v>726439.63</v>
      </c>
      <c r="U15" s="49">
        <v>742727.22</v>
      </c>
      <c r="V15" s="50">
        <f t="shared" si="4"/>
        <v>2.2421119838960283E-2</v>
      </c>
      <c r="W15" s="49">
        <v>2672815.27</v>
      </c>
      <c r="X15" s="49">
        <v>2675706.16</v>
      </c>
      <c r="Y15" s="49">
        <v>2676648.6</v>
      </c>
      <c r="Z15" s="50"/>
      <c r="AA15" s="39">
        <f t="shared" si="0"/>
        <v>4963635.26</v>
      </c>
      <c r="AB15" s="39">
        <f t="shared" si="0"/>
        <v>5048353.8499999996</v>
      </c>
      <c r="AC15" s="39">
        <f t="shared" si="5"/>
        <v>5058848.6099999994</v>
      </c>
      <c r="AD15" s="51">
        <f t="shared" si="6"/>
        <v>2.0788479397100459E-3</v>
      </c>
    </row>
    <row r="16" spans="1:30">
      <c r="A16" t="s">
        <v>108</v>
      </c>
      <c r="B16">
        <v>0</v>
      </c>
      <c r="C16" t="s">
        <v>109</v>
      </c>
      <c r="D16" t="s">
        <v>109</v>
      </c>
      <c r="E16" t="s">
        <v>115</v>
      </c>
      <c r="F16" t="s">
        <v>116</v>
      </c>
      <c r="G16" s="49">
        <v>2324828.59</v>
      </c>
      <c r="H16" s="49">
        <v>2325698.2000000002</v>
      </c>
      <c r="I16" s="49">
        <v>2325163.39</v>
      </c>
      <c r="J16" s="50">
        <f t="shared" si="1"/>
        <v>-2.2995675019228884E-4</v>
      </c>
      <c r="K16" s="49">
        <v>2324011.2400000002</v>
      </c>
      <c r="L16" s="49">
        <v>2324390.63</v>
      </c>
      <c r="M16" s="49">
        <v>2324195.0099999998</v>
      </c>
      <c r="N16" s="50">
        <f t="shared" si="2"/>
        <v>-8.4159692211507398E-5</v>
      </c>
      <c r="O16" s="49">
        <v>2575661.59</v>
      </c>
      <c r="P16" s="49">
        <v>2713475.7</v>
      </c>
      <c r="Q16" s="49">
        <v>2655113.6800000002</v>
      </c>
      <c r="R16" s="50">
        <f t="shared" si="3"/>
        <v>-2.1508215459604085E-2</v>
      </c>
      <c r="S16" s="49">
        <v>2927178.37</v>
      </c>
      <c r="T16" s="49">
        <v>3086096.07</v>
      </c>
      <c r="U16" s="49">
        <v>3043786.15</v>
      </c>
      <c r="V16" s="50">
        <f t="shared" si="4"/>
        <v>-1.3709851877683097E-2</v>
      </c>
      <c r="W16" s="49">
        <v>9938223.2400000002</v>
      </c>
      <c r="X16" s="49">
        <v>9949024.5199999996</v>
      </c>
      <c r="Y16" s="49">
        <v>9945796.7100000009</v>
      </c>
      <c r="Z16" s="50"/>
      <c r="AA16" s="39">
        <f t="shared" si="0"/>
        <v>20089903.030000001</v>
      </c>
      <c r="AB16" s="39">
        <f t="shared" si="0"/>
        <v>20398685.119999997</v>
      </c>
      <c r="AC16" s="39">
        <f t="shared" si="5"/>
        <v>20294054.940000001</v>
      </c>
      <c r="AD16" s="51">
        <f t="shared" si="6"/>
        <v>-5.1292609981714345E-3</v>
      </c>
    </row>
    <row r="17" spans="1:30">
      <c r="A17" t="s">
        <v>108</v>
      </c>
      <c r="B17">
        <v>0</v>
      </c>
      <c r="C17" t="s">
        <v>109</v>
      </c>
      <c r="D17" t="s">
        <v>109</v>
      </c>
      <c r="E17" t="s">
        <v>117</v>
      </c>
      <c r="F17" t="s">
        <v>56</v>
      </c>
      <c r="G17" s="49">
        <v>84121273.019999996</v>
      </c>
      <c r="H17" s="49">
        <v>84188982.540000007</v>
      </c>
      <c r="I17" s="49">
        <v>84157996.640000001</v>
      </c>
      <c r="J17" s="50">
        <f t="shared" si="1"/>
        <v>-3.680517220324392E-4</v>
      </c>
      <c r="K17" s="49">
        <v>84041123.950000003</v>
      </c>
      <c r="L17" s="49">
        <v>84063640.609999999</v>
      </c>
      <c r="M17" s="49">
        <v>84057582.480000004</v>
      </c>
      <c r="N17" s="50">
        <f t="shared" si="2"/>
        <v>-7.2065996143338236E-5</v>
      </c>
      <c r="O17" s="49">
        <v>94570802.329999998</v>
      </c>
      <c r="P17" s="49">
        <v>100345798.27</v>
      </c>
      <c r="Q17" s="49">
        <v>98615562.310000002</v>
      </c>
      <c r="R17" s="50">
        <f t="shared" si="3"/>
        <v>-1.7242734522321057E-2</v>
      </c>
      <c r="S17" s="49">
        <v>109866781.94</v>
      </c>
      <c r="T17" s="49">
        <v>116674998.69</v>
      </c>
      <c r="U17" s="49">
        <v>115541418.7</v>
      </c>
      <c r="V17" s="50">
        <f t="shared" si="4"/>
        <v>-9.7157060443759987E-3</v>
      </c>
      <c r="W17" s="49">
        <v>376733946.79000002</v>
      </c>
      <c r="X17" s="49">
        <v>377187579.19999999</v>
      </c>
      <c r="Y17" s="49">
        <v>377160337.69999999</v>
      </c>
      <c r="Z17" s="50"/>
      <c r="AA17" s="39">
        <f t="shared" si="0"/>
        <v>749333928.02999997</v>
      </c>
      <c r="AB17" s="39">
        <f t="shared" si="0"/>
        <v>762460999.30999994</v>
      </c>
      <c r="AC17" s="39">
        <f t="shared" si="5"/>
        <v>759532897.82999992</v>
      </c>
      <c r="AD17" s="51">
        <f t="shared" si="6"/>
        <v>-3.8403295154110788E-3</v>
      </c>
    </row>
    <row r="18" spans="1:30">
      <c r="A18" t="s">
        <v>108</v>
      </c>
      <c r="B18">
        <v>0</v>
      </c>
      <c r="C18" t="s">
        <v>109</v>
      </c>
      <c r="D18" t="s">
        <v>109</v>
      </c>
      <c r="E18" t="s">
        <v>118</v>
      </c>
      <c r="F18" t="s">
        <v>61</v>
      </c>
      <c r="G18" s="49">
        <v>120299017.12</v>
      </c>
      <c r="H18" s="49">
        <v>120411894.94</v>
      </c>
      <c r="I18" s="49">
        <v>120410938.2</v>
      </c>
      <c r="J18" s="50">
        <f t="shared" si="1"/>
        <v>-7.9455605318010262E-6</v>
      </c>
      <c r="K18" s="49">
        <v>120216632.43000001</v>
      </c>
      <c r="L18" s="49">
        <v>120275972.59999999</v>
      </c>
      <c r="M18" s="49">
        <v>120294119.23</v>
      </c>
      <c r="N18" s="50">
        <f t="shared" si="2"/>
        <v>1.508749387573868E-4</v>
      </c>
      <c r="O18" s="49">
        <v>144001924.21000001</v>
      </c>
      <c r="P18" s="49">
        <v>157057870.09</v>
      </c>
      <c r="Q18" s="49">
        <v>152870967.50999999</v>
      </c>
      <c r="R18" s="50">
        <f t="shared" si="3"/>
        <v>-2.6658343052791703E-2</v>
      </c>
      <c r="S18" s="49">
        <v>161340173.11000001</v>
      </c>
      <c r="T18" s="49">
        <v>172195771.63999999</v>
      </c>
      <c r="U18" s="49">
        <v>170148021.49000001</v>
      </c>
      <c r="V18" s="50">
        <f t="shared" si="4"/>
        <v>-1.1891988580771264E-2</v>
      </c>
      <c r="W18" s="49">
        <v>1271273886.4400001</v>
      </c>
      <c r="X18" s="49">
        <v>1271483337.21</v>
      </c>
      <c r="Y18" s="49">
        <v>1271531042.47</v>
      </c>
      <c r="Z18" s="50"/>
      <c r="AA18" s="39">
        <f t="shared" si="0"/>
        <v>1817131633.3099999</v>
      </c>
      <c r="AB18" s="39">
        <f t="shared" si="0"/>
        <v>1841424846.48</v>
      </c>
      <c r="AC18" s="39">
        <f t="shared" si="5"/>
        <v>1835255088.9000001</v>
      </c>
      <c r="AD18" s="51">
        <f t="shared" si="6"/>
        <v>-3.3505345557782633E-3</v>
      </c>
    </row>
    <row r="19" spans="1:30">
      <c r="A19" t="s">
        <v>108</v>
      </c>
      <c r="B19">
        <v>0</v>
      </c>
      <c r="C19" t="s">
        <v>109</v>
      </c>
      <c r="D19" t="s">
        <v>109</v>
      </c>
      <c r="E19" t="s">
        <v>22</v>
      </c>
      <c r="F19" t="s">
        <v>119</v>
      </c>
      <c r="G19" s="49">
        <v>2531941052.1700001</v>
      </c>
      <c r="H19" s="49">
        <v>2533979478.8499999</v>
      </c>
      <c r="I19" s="49">
        <v>2532998543.2399998</v>
      </c>
      <c r="J19" s="50">
        <f t="shared" si="1"/>
        <v>-3.8711268902829205E-4</v>
      </c>
      <c r="K19" s="49">
        <v>2529588376.77</v>
      </c>
      <c r="L19" s="49">
        <v>2530291891.4899998</v>
      </c>
      <c r="M19" s="49">
        <v>2530153973.1500001</v>
      </c>
      <c r="N19" s="50">
        <f t="shared" si="2"/>
        <v>-5.4506889289543781E-5</v>
      </c>
      <c r="O19" s="49">
        <v>2856085358.5700002</v>
      </c>
      <c r="P19" s="49">
        <v>3035159317.2399998</v>
      </c>
      <c r="Q19" s="49">
        <v>2982552327.6999998</v>
      </c>
      <c r="R19" s="50">
        <f t="shared" si="3"/>
        <v>-1.7332529874523276E-2</v>
      </c>
      <c r="S19" s="49">
        <v>3314005188.5900002</v>
      </c>
      <c r="T19" s="49">
        <v>3520806993.73</v>
      </c>
      <c r="U19" s="49">
        <v>3492591795.9000001</v>
      </c>
      <c r="V19" s="50">
        <f t="shared" si="4"/>
        <v>-8.0138439511869657E-3</v>
      </c>
      <c r="W19" s="49">
        <v>12172968749.190001</v>
      </c>
      <c r="X19" s="49">
        <v>12186216005.610001</v>
      </c>
      <c r="Y19" s="49">
        <v>12185784732.379999</v>
      </c>
      <c r="Z19" s="50"/>
      <c r="AA19" s="39">
        <f t="shared" si="0"/>
        <v>23404588725.290001</v>
      </c>
      <c r="AB19" s="39">
        <f t="shared" si="0"/>
        <v>23806453686.919998</v>
      </c>
      <c r="AC19" s="39">
        <f t="shared" si="5"/>
        <v>23724081372.369999</v>
      </c>
      <c r="AD19" s="51">
        <f t="shared" si="6"/>
        <v>-3.4600833720671775E-3</v>
      </c>
    </row>
    <row r="20" spans="1:30">
      <c r="A20" t="s">
        <v>108</v>
      </c>
      <c r="B20">
        <v>0</v>
      </c>
      <c r="C20" t="s">
        <v>109</v>
      </c>
      <c r="D20" t="s">
        <v>109</v>
      </c>
      <c r="E20" t="s">
        <v>120</v>
      </c>
      <c r="F20" t="s">
        <v>73</v>
      </c>
      <c r="G20" s="49">
        <v>514167.27</v>
      </c>
      <c r="H20" s="49">
        <v>514524.01</v>
      </c>
      <c r="I20" s="49">
        <v>513998.89</v>
      </c>
      <c r="J20" s="50">
        <f t="shared" si="1"/>
        <v>-1.0205937717075542E-3</v>
      </c>
      <c r="K20" s="49">
        <v>513778.01</v>
      </c>
      <c r="L20" s="49">
        <v>513910.7</v>
      </c>
      <c r="M20" s="49">
        <v>513938.19</v>
      </c>
      <c r="N20" s="50">
        <f t="shared" si="2"/>
        <v>5.3491783689249292E-5</v>
      </c>
      <c r="O20" s="49">
        <v>581215.28</v>
      </c>
      <c r="P20" s="49">
        <v>618186.42000000004</v>
      </c>
      <c r="Q20" s="49">
        <v>611945.71</v>
      </c>
      <c r="R20" s="50">
        <f t="shared" si="3"/>
        <v>-1.0095191026681043E-2</v>
      </c>
      <c r="S20" s="49">
        <v>682278.03</v>
      </c>
      <c r="T20" s="49">
        <v>726689.59</v>
      </c>
      <c r="U20" s="49">
        <v>742950.44</v>
      </c>
      <c r="V20" s="50">
        <f t="shared" si="4"/>
        <v>2.237661062407675E-2</v>
      </c>
      <c r="W20" s="49">
        <v>2673546.88</v>
      </c>
      <c r="X20" s="49">
        <v>2676439.67</v>
      </c>
      <c r="Y20" s="49">
        <v>2677379.38</v>
      </c>
      <c r="Z20" s="50"/>
      <c r="AA20" s="39">
        <f t="shared" si="0"/>
        <v>4964985.47</v>
      </c>
      <c r="AB20" s="39">
        <f t="shared" si="0"/>
        <v>5049750.3899999997</v>
      </c>
      <c r="AC20" s="39">
        <f t="shared" si="5"/>
        <v>5060212.6099999994</v>
      </c>
      <c r="AD20" s="51">
        <f t="shared" si="6"/>
        <v>2.0718291384695035E-3</v>
      </c>
    </row>
    <row r="21" spans="1:30" s="59" customFormat="1">
      <c r="A21" s="59" t="s">
        <v>108</v>
      </c>
      <c r="B21" s="59">
        <v>0</v>
      </c>
      <c r="C21" s="59" t="s">
        <v>121</v>
      </c>
      <c r="D21" s="59" t="s">
        <v>122</v>
      </c>
      <c r="E21" s="59" t="s">
        <v>55</v>
      </c>
      <c r="F21" s="59" t="s">
        <v>56</v>
      </c>
      <c r="G21" s="49">
        <v>83632.679999999993</v>
      </c>
      <c r="H21" s="49">
        <v>126187.65</v>
      </c>
      <c r="I21" s="49">
        <v>107555.12</v>
      </c>
      <c r="J21" s="60">
        <f t="shared" si="1"/>
        <v>-0.14765731828748693</v>
      </c>
      <c r="K21" s="49">
        <v>49763.07</v>
      </c>
      <c r="L21" s="49">
        <v>70936.62</v>
      </c>
      <c r="M21" s="49">
        <v>65429.97</v>
      </c>
      <c r="N21" s="60">
        <f t="shared" si="2"/>
        <v>-7.7627747135400507E-2</v>
      </c>
      <c r="O21" s="49">
        <v>9950550.5299999993</v>
      </c>
      <c r="P21" s="49">
        <v>15380633.82</v>
      </c>
      <c r="Q21" s="49">
        <v>13764667.67</v>
      </c>
      <c r="R21" s="60">
        <f t="shared" si="3"/>
        <v>-0.10506499074821614</v>
      </c>
      <c r="S21" s="49">
        <v>24219549.350000001</v>
      </c>
      <c r="T21" s="49">
        <v>30591303.690000001</v>
      </c>
      <c r="U21" s="49">
        <v>29634873.649999999</v>
      </c>
      <c r="V21" s="60">
        <f t="shared" si="4"/>
        <v>-3.1264768892888033E-2</v>
      </c>
      <c r="W21" s="49">
        <v>1856668.06</v>
      </c>
      <c r="X21" s="49">
        <v>2284441.4300000002</v>
      </c>
      <c r="Y21" s="49">
        <v>2264044.2200000002</v>
      </c>
      <c r="Z21" s="60">
        <f t="shared" ref="Z21:Z66" si="7">(Y21-X21)/X21</f>
        <v>-8.9287515679489157E-3</v>
      </c>
      <c r="AA21" s="222">
        <f t="shared" si="0"/>
        <v>36160163.690000005</v>
      </c>
      <c r="AB21" s="222">
        <f t="shared" si="0"/>
        <v>48453503.210000001</v>
      </c>
      <c r="AC21" s="222">
        <f t="shared" si="5"/>
        <v>45836570.629999995</v>
      </c>
      <c r="AD21" s="223">
        <f t="shared" si="6"/>
        <v>-5.400915117856564E-2</v>
      </c>
    </row>
    <row r="22" spans="1:30" s="59" customFormat="1">
      <c r="A22" s="59" t="s">
        <v>108</v>
      </c>
      <c r="B22" s="59">
        <v>0</v>
      </c>
      <c r="C22" s="59" t="s">
        <v>121</v>
      </c>
      <c r="D22" s="59" t="s">
        <v>122</v>
      </c>
      <c r="E22" s="59" t="s">
        <v>58</v>
      </c>
      <c r="F22" s="59" t="s">
        <v>56</v>
      </c>
      <c r="G22" s="49">
        <v>49436.15</v>
      </c>
      <c r="H22" s="49">
        <v>74590.7</v>
      </c>
      <c r="I22" s="49">
        <v>62237.33</v>
      </c>
      <c r="J22" s="60">
        <f t="shared" si="1"/>
        <v>-0.16561541854413481</v>
      </c>
      <c r="K22" s="49">
        <v>3156.69</v>
      </c>
      <c r="L22" s="49">
        <v>4499.8</v>
      </c>
      <c r="M22" s="49">
        <v>3948.32</v>
      </c>
      <c r="N22" s="60">
        <f t="shared" si="2"/>
        <v>-0.12255655806924752</v>
      </c>
      <c r="O22" s="49">
        <v>632047.61</v>
      </c>
      <c r="P22" s="49">
        <v>976960.25</v>
      </c>
      <c r="Q22" s="49">
        <v>862690.44</v>
      </c>
      <c r="R22" s="60">
        <f t="shared" si="3"/>
        <v>-0.11696464620745835</v>
      </c>
      <c r="S22" s="49">
        <v>1659028.4</v>
      </c>
      <c r="T22" s="49">
        <v>2095490.81</v>
      </c>
      <c r="U22" s="49">
        <v>1918340.86</v>
      </c>
      <c r="V22" s="60">
        <f t="shared" si="4"/>
        <v>-8.4538643240339453E-2</v>
      </c>
      <c r="W22" s="49">
        <v>112236.78</v>
      </c>
      <c r="X22" s="49">
        <v>138095.82999999999</v>
      </c>
      <c r="Y22" s="49">
        <v>131251.53</v>
      </c>
      <c r="Z22" s="60">
        <f t="shared" si="7"/>
        <v>-4.956195998097835E-2</v>
      </c>
      <c r="AA22" s="222">
        <f t="shared" si="0"/>
        <v>2455905.6299999994</v>
      </c>
      <c r="AB22" s="222">
        <f t="shared" si="0"/>
        <v>3289637.39</v>
      </c>
      <c r="AC22" s="222">
        <f t="shared" si="5"/>
        <v>2978468.48</v>
      </c>
      <c r="AD22" s="223">
        <f t="shared" si="6"/>
        <v>-9.4590641189179855E-2</v>
      </c>
    </row>
    <row r="23" spans="1:30">
      <c r="A23" t="s">
        <v>108</v>
      </c>
      <c r="B23">
        <v>0</v>
      </c>
      <c r="C23" t="s">
        <v>121</v>
      </c>
      <c r="D23" t="s">
        <v>122</v>
      </c>
      <c r="E23" t="s">
        <v>123</v>
      </c>
      <c r="F23" t="s">
        <v>61</v>
      </c>
      <c r="G23">
        <v>0</v>
      </c>
      <c r="H23">
        <v>0</v>
      </c>
      <c r="I23">
        <v>0</v>
      </c>
      <c r="J23" s="50" t="e">
        <f t="shared" si="1"/>
        <v>#DIV/0!</v>
      </c>
      <c r="K23">
        <v>0</v>
      </c>
      <c r="L23">
        <v>0</v>
      </c>
      <c r="M23">
        <v>0</v>
      </c>
      <c r="N23" s="50" t="e">
        <f t="shared" si="2"/>
        <v>#DIV/0!</v>
      </c>
      <c r="O23">
        <v>0</v>
      </c>
      <c r="P23">
        <v>0</v>
      </c>
      <c r="Q23">
        <v>0</v>
      </c>
      <c r="R23" s="50" t="e">
        <f t="shared" si="3"/>
        <v>#DIV/0!</v>
      </c>
      <c r="S23">
        <v>0</v>
      </c>
      <c r="T23">
        <v>0</v>
      </c>
      <c r="U23">
        <v>0</v>
      </c>
      <c r="V23" s="50" t="e">
        <f t="shared" si="4"/>
        <v>#DIV/0!</v>
      </c>
      <c r="W23">
        <v>0</v>
      </c>
      <c r="X23">
        <v>0</v>
      </c>
      <c r="Y23">
        <v>0</v>
      </c>
      <c r="Z23" s="50" t="e">
        <f t="shared" si="7"/>
        <v>#DIV/0!</v>
      </c>
      <c r="AA23" s="39">
        <f t="shared" si="0"/>
        <v>0</v>
      </c>
      <c r="AB23" s="39">
        <f t="shared" si="0"/>
        <v>0</v>
      </c>
      <c r="AC23" s="39">
        <f t="shared" si="5"/>
        <v>0</v>
      </c>
      <c r="AD23" s="51" t="e">
        <f t="shared" si="6"/>
        <v>#DIV/0!</v>
      </c>
    </row>
    <row r="24" spans="1:30">
      <c r="A24" t="s">
        <v>108</v>
      </c>
      <c r="B24">
        <v>0</v>
      </c>
      <c r="C24" t="s">
        <v>121</v>
      </c>
      <c r="D24" t="s">
        <v>122</v>
      </c>
      <c r="E24" t="s">
        <v>60</v>
      </c>
      <c r="F24" t="s">
        <v>61</v>
      </c>
      <c r="G24" s="49">
        <v>28072.44</v>
      </c>
      <c r="H24" s="49">
        <v>42361.11</v>
      </c>
      <c r="I24" s="49">
        <v>50868.32</v>
      </c>
      <c r="J24" s="50">
        <f t="shared" si="1"/>
        <v>0.20082594625117234</v>
      </c>
      <c r="K24" s="49">
        <v>20247.97</v>
      </c>
      <c r="L24" s="49">
        <v>28868.400000000001</v>
      </c>
      <c r="M24" s="49">
        <v>38207.379999999997</v>
      </c>
      <c r="N24" s="50">
        <f t="shared" si="2"/>
        <v>0.32350182206149269</v>
      </c>
      <c r="O24" s="49">
        <v>1602011.52</v>
      </c>
      <c r="P24" s="49">
        <v>2476247.7599999998</v>
      </c>
      <c r="Q24" s="49">
        <v>3180943.01</v>
      </c>
      <c r="R24" s="50">
        <f t="shared" si="3"/>
        <v>0.28458188287265734</v>
      </c>
      <c r="S24" s="49">
        <v>2284232.4</v>
      </c>
      <c r="T24" s="49">
        <v>2885176.8</v>
      </c>
      <c r="U24" s="49">
        <v>3815082.18</v>
      </c>
      <c r="V24" s="50">
        <f t="shared" si="4"/>
        <v>0.32230447021478908</v>
      </c>
      <c r="W24" s="49">
        <v>85114.8</v>
      </c>
      <c r="X24" s="49">
        <v>104722.2</v>
      </c>
      <c r="Y24" s="49">
        <v>135771.28</v>
      </c>
      <c r="Z24" s="50">
        <f t="shared" si="7"/>
        <v>0.29648995150980406</v>
      </c>
      <c r="AA24" s="39">
        <f t="shared" si="0"/>
        <v>4019679.13</v>
      </c>
      <c r="AB24" s="39">
        <f t="shared" si="0"/>
        <v>5537376.2699999996</v>
      </c>
      <c r="AC24" s="39">
        <f t="shared" si="5"/>
        <v>7220872.1700000009</v>
      </c>
      <c r="AD24" s="51">
        <f t="shared" si="6"/>
        <v>0.30402411140466012</v>
      </c>
    </row>
    <row r="25" spans="1:30">
      <c r="A25" t="s">
        <v>108</v>
      </c>
      <c r="B25">
        <v>0</v>
      </c>
      <c r="C25" t="s">
        <v>121</v>
      </c>
      <c r="D25" t="s">
        <v>122</v>
      </c>
      <c r="E25" t="s">
        <v>63</v>
      </c>
      <c r="F25" t="s">
        <v>61</v>
      </c>
      <c r="G25" s="49">
        <v>3256.75</v>
      </c>
      <c r="H25" s="49">
        <v>4914.3999999999996</v>
      </c>
      <c r="I25" s="49">
        <v>5320.28</v>
      </c>
      <c r="J25" s="50">
        <f t="shared" si="1"/>
        <v>8.2589939768842616E-2</v>
      </c>
      <c r="K25" s="49">
        <v>1918.48</v>
      </c>
      <c r="L25" s="49">
        <v>2735.24</v>
      </c>
      <c r="M25" s="49">
        <v>3148.08</v>
      </c>
      <c r="N25" s="50">
        <f t="shared" si="2"/>
        <v>0.1509337389040816</v>
      </c>
      <c r="O25" s="49">
        <v>327374.21000000002</v>
      </c>
      <c r="P25" s="49">
        <v>506026.02</v>
      </c>
      <c r="Q25" s="49">
        <v>589981.80000000005</v>
      </c>
      <c r="R25" s="50">
        <f t="shared" si="3"/>
        <v>0.1659119821545936</v>
      </c>
      <c r="S25" s="49">
        <v>744907.2</v>
      </c>
      <c r="T25" s="49">
        <v>940880.2</v>
      </c>
      <c r="U25" s="49">
        <v>1437888.62</v>
      </c>
      <c r="V25" s="50">
        <f t="shared" si="4"/>
        <v>0.52823772888408127</v>
      </c>
      <c r="W25" s="49">
        <v>33951.550000000003</v>
      </c>
      <c r="X25" s="49">
        <v>41772.769999999997</v>
      </c>
      <c r="Y25" s="49">
        <v>54573.27</v>
      </c>
      <c r="Z25" s="50">
        <f t="shared" si="7"/>
        <v>0.30643167786096065</v>
      </c>
      <c r="AA25" s="39">
        <f t="shared" si="0"/>
        <v>1111408.19</v>
      </c>
      <c r="AB25" s="39">
        <f t="shared" si="0"/>
        <v>1496328.63</v>
      </c>
      <c r="AC25" s="39">
        <f t="shared" si="5"/>
        <v>2090912.0500000003</v>
      </c>
      <c r="AD25" s="51">
        <f t="shared" si="6"/>
        <v>0.39736152077769205</v>
      </c>
    </row>
    <row r="26" spans="1:30">
      <c r="A26" t="s">
        <v>108</v>
      </c>
      <c r="B26">
        <v>0</v>
      </c>
      <c r="C26" t="s">
        <v>121</v>
      </c>
      <c r="D26" t="s">
        <v>122</v>
      </c>
      <c r="E26" t="s">
        <v>65</v>
      </c>
      <c r="F26" t="s">
        <v>61</v>
      </c>
      <c r="G26" s="49">
        <v>149502.57999999999</v>
      </c>
      <c r="H26" s="49">
        <v>225590.97</v>
      </c>
      <c r="I26" s="49">
        <v>221303.03</v>
      </c>
      <c r="J26" s="50">
        <f t="shared" si="1"/>
        <v>-1.9007587050137699E-2</v>
      </c>
      <c r="K26" s="49">
        <v>92561.33</v>
      </c>
      <c r="L26" s="49">
        <v>131961.63</v>
      </c>
      <c r="M26" s="49">
        <v>141465.94</v>
      </c>
      <c r="N26" s="50">
        <f t="shared" si="2"/>
        <v>7.2023284344093025E-2</v>
      </c>
      <c r="O26" s="49">
        <v>17307159.289999999</v>
      </c>
      <c r="P26" s="49">
        <v>26751847.059999999</v>
      </c>
      <c r="Q26" s="49">
        <v>22017244.649999999</v>
      </c>
      <c r="R26" s="50">
        <f t="shared" si="3"/>
        <v>-0.17698226217356375</v>
      </c>
      <c r="S26" s="49">
        <v>26684015.870000001</v>
      </c>
      <c r="T26" s="49">
        <v>33704137.600000001</v>
      </c>
      <c r="U26" s="49">
        <v>28310327.550000001</v>
      </c>
      <c r="V26" s="50">
        <f t="shared" si="4"/>
        <v>-0.16003406210874241</v>
      </c>
      <c r="W26" s="49">
        <v>615258.11</v>
      </c>
      <c r="X26" s="49">
        <v>757033.97</v>
      </c>
      <c r="Y26" s="49">
        <v>758167.64</v>
      </c>
      <c r="Z26" s="50">
        <f t="shared" si="7"/>
        <v>1.497515362487686E-3</v>
      </c>
      <c r="AA26" s="39">
        <f t="shared" si="0"/>
        <v>44848497.18</v>
      </c>
      <c r="AB26" s="39">
        <f t="shared" si="0"/>
        <v>61570571.230000004</v>
      </c>
      <c r="AC26" s="39">
        <f t="shared" si="5"/>
        <v>51448508.810000002</v>
      </c>
      <c r="AD26" s="51">
        <f t="shared" si="6"/>
        <v>-0.1643977344661709</v>
      </c>
    </row>
    <row r="27" spans="1:30">
      <c r="A27" t="s">
        <v>108</v>
      </c>
      <c r="B27">
        <v>0</v>
      </c>
      <c r="C27" t="s">
        <v>121</v>
      </c>
      <c r="D27" t="s">
        <v>122</v>
      </c>
      <c r="E27" t="s">
        <v>67</v>
      </c>
      <c r="F27" t="s">
        <v>61</v>
      </c>
      <c r="G27">
        <v>440.99</v>
      </c>
      <c r="H27">
        <v>665.31</v>
      </c>
      <c r="I27">
        <v>576.51</v>
      </c>
      <c r="J27" s="50">
        <f t="shared" si="1"/>
        <v>-0.13347161473598768</v>
      </c>
      <c r="K27">
        <v>241.23</v>
      </c>
      <c r="L27">
        <v>343.79</v>
      </c>
      <c r="M27">
        <v>317.72000000000003</v>
      </c>
      <c r="N27" s="50">
        <f t="shared" si="2"/>
        <v>-7.5831176008609877E-2</v>
      </c>
      <c r="O27" s="49">
        <v>54829.87</v>
      </c>
      <c r="P27" s="49">
        <v>84750.64</v>
      </c>
      <c r="Q27" s="49">
        <v>73000.09</v>
      </c>
      <c r="R27" s="50">
        <f t="shared" si="3"/>
        <v>-0.13864851050092369</v>
      </c>
      <c r="S27" s="49">
        <v>116448.01</v>
      </c>
      <c r="T27" s="49">
        <v>147083.43</v>
      </c>
      <c r="U27" s="49">
        <v>149844.99</v>
      </c>
      <c r="V27" s="50">
        <f t="shared" si="4"/>
        <v>1.8775466413857751E-2</v>
      </c>
      <c r="W27" s="49">
        <v>4931.5200000000004</v>
      </c>
      <c r="X27" s="49">
        <v>6067.92</v>
      </c>
      <c r="Y27" s="49">
        <v>6144.78</v>
      </c>
      <c r="Z27" s="50">
        <f t="shared" si="7"/>
        <v>1.2666613930308849E-2</v>
      </c>
      <c r="AA27" s="39">
        <f t="shared" si="0"/>
        <v>176891.62</v>
      </c>
      <c r="AB27" s="39">
        <f t="shared" si="0"/>
        <v>238911.09</v>
      </c>
      <c r="AC27" s="39">
        <f t="shared" si="5"/>
        <v>229884.09</v>
      </c>
      <c r="AD27" s="51">
        <f t="shared" si="6"/>
        <v>-3.7783930415285452E-2</v>
      </c>
    </row>
    <row r="28" spans="1:30">
      <c r="A28" t="s">
        <v>108</v>
      </c>
      <c r="B28">
        <v>0</v>
      </c>
      <c r="C28" t="s">
        <v>121</v>
      </c>
      <c r="D28" t="s">
        <v>122</v>
      </c>
      <c r="E28" t="s">
        <v>69</v>
      </c>
      <c r="F28" t="s">
        <v>61</v>
      </c>
      <c r="G28" s="49">
        <v>40506.49</v>
      </c>
      <c r="H28" s="49">
        <v>61125.3</v>
      </c>
      <c r="I28" s="49">
        <v>55632.2</v>
      </c>
      <c r="J28" s="50">
        <f t="shared" si="1"/>
        <v>-8.9866225605436792E-2</v>
      </c>
      <c r="K28" s="49">
        <v>24425.57</v>
      </c>
      <c r="L28" s="49">
        <v>34825.69</v>
      </c>
      <c r="M28" s="49">
        <v>33742.269999999997</v>
      </c>
      <c r="N28" s="50">
        <f t="shared" si="2"/>
        <v>-3.1109792799511093E-2</v>
      </c>
      <c r="O28" s="49">
        <v>4633311.47</v>
      </c>
      <c r="P28" s="49">
        <v>7161760.7599999998</v>
      </c>
      <c r="Q28" s="49">
        <v>6932560.1100000003</v>
      </c>
      <c r="R28" s="50">
        <f t="shared" si="3"/>
        <v>-3.2003393813450902E-2</v>
      </c>
      <c r="S28" s="49">
        <v>11433331.77</v>
      </c>
      <c r="T28" s="49">
        <v>14441255.76</v>
      </c>
      <c r="U28" s="49">
        <v>16357640.289999999</v>
      </c>
      <c r="V28" s="50">
        <f t="shared" si="4"/>
        <v>0.13270206980947474</v>
      </c>
      <c r="W28" s="49">
        <v>169721.81</v>
      </c>
      <c r="X28" s="49">
        <v>208831.7</v>
      </c>
      <c r="Y28" s="49">
        <v>211476.84</v>
      </c>
      <c r="Z28" s="50">
        <f t="shared" si="7"/>
        <v>1.2666372011528829E-2</v>
      </c>
      <c r="AA28" s="39">
        <f t="shared" si="0"/>
        <v>16301297.109999999</v>
      </c>
      <c r="AB28" s="39">
        <f t="shared" si="0"/>
        <v>21907799.209999997</v>
      </c>
      <c r="AC28" s="39">
        <f t="shared" si="5"/>
        <v>23591051.709999997</v>
      </c>
      <c r="AD28" s="51">
        <f t="shared" si="6"/>
        <v>7.6833482170663006E-2</v>
      </c>
    </row>
    <row r="29" spans="1:30">
      <c r="A29" t="s">
        <v>108</v>
      </c>
      <c r="B29">
        <v>0</v>
      </c>
      <c r="C29" t="s">
        <v>121</v>
      </c>
      <c r="D29" t="s">
        <v>122</v>
      </c>
      <c r="E29" t="s">
        <v>72</v>
      </c>
      <c r="F29" t="s">
        <v>73</v>
      </c>
      <c r="G29">
        <v>363.58</v>
      </c>
      <c r="H29">
        <v>548.59</v>
      </c>
      <c r="I29">
        <v>491.94</v>
      </c>
      <c r="J29" s="50">
        <f t="shared" si="1"/>
        <v>-0.10326473322517733</v>
      </c>
      <c r="K29">
        <v>219.07</v>
      </c>
      <c r="L29">
        <v>312.3</v>
      </c>
      <c r="M29">
        <v>304.56</v>
      </c>
      <c r="N29" s="50">
        <f t="shared" si="2"/>
        <v>-2.4783861671469769E-2</v>
      </c>
      <c r="O29" s="49">
        <v>42890.94</v>
      </c>
      <c r="P29" s="49">
        <v>66296.86</v>
      </c>
      <c r="Q29" s="49">
        <v>60184.14</v>
      </c>
      <c r="R29" s="50">
        <f t="shared" si="3"/>
        <v>-9.2202255129428465E-2</v>
      </c>
      <c r="S29" s="49">
        <v>91195.25</v>
      </c>
      <c r="T29" s="49">
        <v>115187.19</v>
      </c>
      <c r="U29" s="49">
        <v>113297.19</v>
      </c>
      <c r="V29" s="50">
        <f t="shared" si="4"/>
        <v>-1.640807454370577E-2</v>
      </c>
      <c r="W29" s="49">
        <v>6850.74</v>
      </c>
      <c r="X29" s="49">
        <v>8429.14</v>
      </c>
      <c r="Y29" s="49">
        <v>8406.2099999999991</v>
      </c>
      <c r="Z29" s="50">
        <f t="shared" si="7"/>
        <v>-2.7203249679089792E-3</v>
      </c>
      <c r="AA29" s="39">
        <f t="shared" si="0"/>
        <v>141519.57999999999</v>
      </c>
      <c r="AB29" s="39">
        <f t="shared" si="0"/>
        <v>190774.08000000002</v>
      </c>
      <c r="AC29" s="39">
        <f t="shared" si="5"/>
        <v>182684.04</v>
      </c>
      <c r="AD29" s="51">
        <f t="shared" si="6"/>
        <v>-4.2406389798865796E-2</v>
      </c>
    </row>
    <row r="30" spans="1:30">
      <c r="A30" t="s">
        <v>108</v>
      </c>
      <c r="B30">
        <v>0</v>
      </c>
      <c r="C30" t="s">
        <v>121</v>
      </c>
      <c r="D30" t="s">
        <v>122</v>
      </c>
      <c r="E30" t="s">
        <v>75</v>
      </c>
      <c r="F30" t="s">
        <v>73</v>
      </c>
      <c r="G30" s="49">
        <v>1541.58</v>
      </c>
      <c r="H30" s="49">
        <v>2326.06</v>
      </c>
      <c r="I30" s="49">
        <v>2239.9499999999998</v>
      </c>
      <c r="J30" s="50">
        <f t="shared" si="1"/>
        <v>-3.7019681349578309E-2</v>
      </c>
      <c r="K30">
        <v>917.34</v>
      </c>
      <c r="L30" s="49">
        <v>1307.69</v>
      </c>
      <c r="M30" s="49">
        <v>1373.48</v>
      </c>
      <c r="N30" s="50">
        <f t="shared" si="2"/>
        <v>5.0310088782509588E-2</v>
      </c>
      <c r="O30" s="49">
        <v>192338.18</v>
      </c>
      <c r="P30" s="49">
        <v>297900.71000000002</v>
      </c>
      <c r="Q30" s="49">
        <v>293931.55</v>
      </c>
      <c r="R30" s="50">
        <f t="shared" si="3"/>
        <v>-1.3323768177659033E-2</v>
      </c>
      <c r="S30" s="49">
        <v>675939</v>
      </c>
      <c r="T30" s="49">
        <v>854682.23</v>
      </c>
      <c r="U30" s="49">
        <v>1009592.24</v>
      </c>
      <c r="V30" s="50">
        <f t="shared" si="4"/>
        <v>0.18124866127145292</v>
      </c>
      <c r="W30" s="49">
        <v>66831.05</v>
      </c>
      <c r="X30" s="49">
        <v>82230.98</v>
      </c>
      <c r="Y30" s="49">
        <v>89880.55</v>
      </c>
      <c r="Z30" s="50">
        <f t="shared" si="7"/>
        <v>9.3025402348360764E-2</v>
      </c>
      <c r="AA30" s="39">
        <f t="shared" si="0"/>
        <v>937567.15</v>
      </c>
      <c r="AB30" s="39">
        <f t="shared" si="0"/>
        <v>1238447.67</v>
      </c>
      <c r="AC30" s="39">
        <f t="shared" si="5"/>
        <v>1397017.77</v>
      </c>
      <c r="AD30" s="51">
        <f t="shared" si="6"/>
        <v>0.12803940274682749</v>
      </c>
    </row>
    <row r="31" spans="1:30">
      <c r="A31" t="s">
        <v>108</v>
      </c>
      <c r="B31">
        <v>0</v>
      </c>
      <c r="C31" t="s">
        <v>121</v>
      </c>
      <c r="D31" t="s">
        <v>122</v>
      </c>
      <c r="E31" t="s">
        <v>124</v>
      </c>
      <c r="F31" t="s">
        <v>111</v>
      </c>
      <c r="G31">
        <v>0</v>
      </c>
      <c r="H31">
        <v>0</v>
      </c>
      <c r="I31">
        <v>0</v>
      </c>
      <c r="J31" s="50" t="e">
        <f t="shared" si="1"/>
        <v>#DIV/0!</v>
      </c>
      <c r="K31">
        <v>0</v>
      </c>
      <c r="L31">
        <v>0</v>
      </c>
      <c r="M31">
        <v>0</v>
      </c>
      <c r="N31" s="50" t="e">
        <f t="shared" si="2"/>
        <v>#DIV/0!</v>
      </c>
      <c r="O31">
        <v>0</v>
      </c>
      <c r="P31">
        <v>0</v>
      </c>
      <c r="Q31">
        <v>0</v>
      </c>
      <c r="R31" s="50" t="e">
        <f t="shared" si="3"/>
        <v>#DIV/0!</v>
      </c>
      <c r="S31">
        <v>0</v>
      </c>
      <c r="T31">
        <v>0</v>
      </c>
      <c r="U31">
        <v>0</v>
      </c>
      <c r="V31" s="50" t="e">
        <f t="shared" si="4"/>
        <v>#DIV/0!</v>
      </c>
      <c r="W31">
        <v>0</v>
      </c>
      <c r="X31">
        <v>0</v>
      </c>
      <c r="Y31">
        <v>0</v>
      </c>
      <c r="Z31" s="50" t="e">
        <f t="shared" si="7"/>
        <v>#DIV/0!</v>
      </c>
      <c r="AA31" s="39">
        <f t="shared" si="0"/>
        <v>0</v>
      </c>
      <c r="AB31" s="39">
        <f t="shared" si="0"/>
        <v>0</v>
      </c>
      <c r="AC31" s="39">
        <f t="shared" si="5"/>
        <v>0</v>
      </c>
      <c r="AD31" s="51" t="e">
        <f t="shared" si="6"/>
        <v>#DIV/0!</v>
      </c>
    </row>
    <row r="32" spans="1:30">
      <c r="A32" t="s">
        <v>108</v>
      </c>
      <c r="B32">
        <v>0</v>
      </c>
      <c r="C32" t="s">
        <v>121</v>
      </c>
      <c r="D32" t="s">
        <v>122</v>
      </c>
      <c r="E32" t="s">
        <v>26</v>
      </c>
      <c r="F32" t="s">
        <v>61</v>
      </c>
      <c r="G32" s="49">
        <v>878952.1</v>
      </c>
      <c r="H32" s="49">
        <v>1326519</v>
      </c>
      <c r="I32" s="49">
        <v>1195155.23</v>
      </c>
      <c r="J32" s="50">
        <f t="shared" si="1"/>
        <v>-9.9028939653333287E-2</v>
      </c>
      <c r="K32" s="49">
        <v>383712.14</v>
      </c>
      <c r="L32" s="49">
        <v>547197.65</v>
      </c>
      <c r="M32" s="49">
        <v>534066.81999999995</v>
      </c>
      <c r="N32" s="50">
        <f t="shared" si="2"/>
        <v>-2.3996502908958169E-2</v>
      </c>
      <c r="O32" s="49">
        <v>76879658.010000005</v>
      </c>
      <c r="P32" s="49">
        <v>118834066.93000001</v>
      </c>
      <c r="Q32" s="49">
        <v>115511572.98</v>
      </c>
      <c r="R32" s="50">
        <f t="shared" si="3"/>
        <v>-2.7959103275975061E-2</v>
      </c>
      <c r="S32" s="49">
        <v>219000193.56</v>
      </c>
      <c r="T32" s="49">
        <v>276615690.25</v>
      </c>
      <c r="U32" s="49">
        <v>322730902.99000001</v>
      </c>
      <c r="V32" s="50">
        <f t="shared" si="4"/>
        <v>0.16671220890731817</v>
      </c>
      <c r="W32" s="49">
        <v>21147724.870000001</v>
      </c>
      <c r="X32" s="49">
        <v>26019962.149999999</v>
      </c>
      <c r="Y32" s="49">
        <v>27098893.780000001</v>
      </c>
      <c r="Z32" s="50">
        <f t="shared" si="7"/>
        <v>4.146553418410729E-2</v>
      </c>
      <c r="AA32" s="39">
        <f t="shared" si="0"/>
        <v>318290240.68000001</v>
      </c>
      <c r="AB32" s="39">
        <f t="shared" si="0"/>
        <v>423343435.98000002</v>
      </c>
      <c r="AC32" s="39">
        <f t="shared" si="5"/>
        <v>467070591.79999995</v>
      </c>
      <c r="AD32" s="51">
        <f t="shared" si="6"/>
        <v>0.10329002909605933</v>
      </c>
    </row>
    <row r="33" spans="1:30">
      <c r="A33" t="s">
        <v>108</v>
      </c>
      <c r="B33">
        <v>0</v>
      </c>
      <c r="C33" t="s">
        <v>121</v>
      </c>
      <c r="D33" t="s">
        <v>122</v>
      </c>
      <c r="E33" t="s">
        <v>28</v>
      </c>
      <c r="F33" t="s">
        <v>61</v>
      </c>
      <c r="G33" s="49">
        <v>2628655.84</v>
      </c>
      <c r="H33" s="49">
        <v>3966518.35</v>
      </c>
      <c r="I33" s="49">
        <v>3231261.69</v>
      </c>
      <c r="J33" s="50">
        <f t="shared" si="1"/>
        <v>-0.18536575281442985</v>
      </c>
      <c r="K33" s="49">
        <v>1141254.8500000001</v>
      </c>
      <c r="L33" s="49">
        <v>1627067.37</v>
      </c>
      <c r="M33" s="49">
        <v>1516264.82</v>
      </c>
      <c r="N33" s="50">
        <f t="shared" si="2"/>
        <v>-6.8099546486510912E-2</v>
      </c>
      <c r="O33" s="49">
        <v>218002209.83000001</v>
      </c>
      <c r="P33" s="49">
        <v>336968329.33999997</v>
      </c>
      <c r="Q33" s="49">
        <v>296891077.81</v>
      </c>
      <c r="R33" s="50">
        <f t="shared" si="3"/>
        <v>-0.11893477232265989</v>
      </c>
      <c r="S33" s="49">
        <v>536914432.98000002</v>
      </c>
      <c r="T33" s="49">
        <v>678167828.75999999</v>
      </c>
      <c r="U33" s="49">
        <v>603264935.04999995</v>
      </c>
      <c r="V33" s="50">
        <f t="shared" si="4"/>
        <v>-0.11044890443558297</v>
      </c>
      <c r="W33" s="49">
        <v>36349111.189999998</v>
      </c>
      <c r="X33" s="49">
        <v>44724073.539999999</v>
      </c>
      <c r="Y33" s="49">
        <v>43213845.789999999</v>
      </c>
      <c r="Z33" s="50">
        <f t="shared" si="7"/>
        <v>-3.3767669857918764E-2</v>
      </c>
      <c r="AA33" s="39">
        <f t="shared" si="0"/>
        <v>795035664.69000006</v>
      </c>
      <c r="AB33" s="39">
        <f t="shared" si="0"/>
        <v>1065453817.3599999</v>
      </c>
      <c r="AC33" s="39">
        <f t="shared" si="5"/>
        <v>948117385.15999985</v>
      </c>
      <c r="AD33" s="51">
        <f t="shared" si="6"/>
        <v>-0.11012812595738622</v>
      </c>
    </row>
    <row r="34" spans="1:30">
      <c r="A34" t="s">
        <v>108</v>
      </c>
      <c r="B34">
        <v>0</v>
      </c>
      <c r="C34" t="s">
        <v>121</v>
      </c>
      <c r="D34" t="s">
        <v>122</v>
      </c>
      <c r="E34" t="s">
        <v>112</v>
      </c>
      <c r="F34" t="s">
        <v>113</v>
      </c>
      <c r="G34">
        <v>157.71</v>
      </c>
      <c r="H34">
        <v>157.72</v>
      </c>
      <c r="I34">
        <v>131.6</v>
      </c>
      <c r="J34" s="50">
        <f t="shared" si="1"/>
        <v>-0.16560994166878015</v>
      </c>
      <c r="K34">
        <v>111.72</v>
      </c>
      <c r="L34">
        <v>111.72</v>
      </c>
      <c r="M34">
        <v>94.93</v>
      </c>
      <c r="N34" s="50">
        <f t="shared" si="2"/>
        <v>-0.15028643036161826</v>
      </c>
      <c r="O34">
        <v>131.74</v>
      </c>
      <c r="P34">
        <v>131.74</v>
      </c>
      <c r="Q34">
        <v>109.99</v>
      </c>
      <c r="R34" s="50">
        <f t="shared" si="3"/>
        <v>-0.16509792014574171</v>
      </c>
      <c r="S34">
        <v>157.28</v>
      </c>
      <c r="T34">
        <v>157.28</v>
      </c>
      <c r="U34">
        <v>120.22</v>
      </c>
      <c r="V34" s="50">
        <f t="shared" si="4"/>
        <v>-0.23563072227873857</v>
      </c>
      <c r="W34">
        <v>182.31</v>
      </c>
      <c r="X34">
        <v>182.31</v>
      </c>
      <c r="Y34">
        <v>145.33000000000001</v>
      </c>
      <c r="Z34" s="50">
        <f t="shared" si="7"/>
        <v>-0.20284131424496729</v>
      </c>
      <c r="AA34" s="39">
        <f t="shared" ref="AA34:AA75" si="8">G34+K34+O34+S34+W34</f>
        <v>740.76</v>
      </c>
      <c r="AB34" s="39">
        <f t="shared" ref="AB34:AB65" si="9">H34+L34+P34+T34+X34</f>
        <v>740.77</v>
      </c>
      <c r="AC34" s="39">
        <f t="shared" ref="AC34:AC65" si="10">I34+M34+Q34+U34+Y34</f>
        <v>602.07000000000005</v>
      </c>
      <c r="AD34" s="51">
        <f t="shared" si="6"/>
        <v>-0.18723760411463738</v>
      </c>
    </row>
    <row r="35" spans="1:30">
      <c r="A35" t="s">
        <v>108</v>
      </c>
      <c r="B35">
        <v>1</v>
      </c>
      <c r="C35" t="s">
        <v>121</v>
      </c>
      <c r="D35" t="s">
        <v>122</v>
      </c>
      <c r="E35" t="s">
        <v>125</v>
      </c>
      <c r="F35" t="s">
        <v>31</v>
      </c>
      <c r="G35">
        <v>0</v>
      </c>
      <c r="H35">
        <v>0</v>
      </c>
      <c r="I35">
        <v>0</v>
      </c>
      <c r="J35" s="50" t="e">
        <f t="shared" si="1"/>
        <v>#DIV/0!</v>
      </c>
      <c r="K35">
        <v>0</v>
      </c>
      <c r="L35">
        <v>0</v>
      </c>
      <c r="M35">
        <v>0</v>
      </c>
      <c r="N35" s="50" t="e">
        <f t="shared" si="2"/>
        <v>#DIV/0!</v>
      </c>
      <c r="O35">
        <v>0</v>
      </c>
      <c r="P35">
        <v>0</v>
      </c>
      <c r="Q35">
        <v>0</v>
      </c>
      <c r="R35" s="50" t="e">
        <f t="shared" si="3"/>
        <v>#DIV/0!</v>
      </c>
      <c r="S35">
        <v>0</v>
      </c>
      <c r="T35">
        <v>0</v>
      </c>
      <c r="U35">
        <v>0</v>
      </c>
      <c r="V35" s="50" t="e">
        <f t="shared" si="4"/>
        <v>#DIV/0!</v>
      </c>
      <c r="W35">
        <v>0</v>
      </c>
      <c r="X35">
        <v>0</v>
      </c>
      <c r="Y35">
        <v>0</v>
      </c>
      <c r="Z35" s="50" t="e">
        <f t="shared" si="7"/>
        <v>#DIV/0!</v>
      </c>
      <c r="AA35" s="39">
        <f t="shared" si="8"/>
        <v>0</v>
      </c>
      <c r="AB35" s="39">
        <f t="shared" si="9"/>
        <v>0</v>
      </c>
      <c r="AC35" s="39">
        <f t="shared" si="10"/>
        <v>0</v>
      </c>
      <c r="AD35" s="51" t="e">
        <f t="shared" si="6"/>
        <v>#DIV/0!</v>
      </c>
    </row>
    <row r="36" spans="1:30">
      <c r="A36" t="s">
        <v>108</v>
      </c>
      <c r="B36">
        <v>1</v>
      </c>
      <c r="C36" t="s">
        <v>121</v>
      </c>
      <c r="D36" t="s">
        <v>122</v>
      </c>
      <c r="E36" t="s">
        <v>126</v>
      </c>
      <c r="F36" t="s">
        <v>31</v>
      </c>
      <c r="G36">
        <v>0</v>
      </c>
      <c r="H36">
        <v>0</v>
      </c>
      <c r="I36">
        <v>0</v>
      </c>
      <c r="J36" s="50" t="e">
        <f t="shared" si="1"/>
        <v>#DIV/0!</v>
      </c>
      <c r="K36">
        <v>0</v>
      </c>
      <c r="L36">
        <v>0</v>
      </c>
      <c r="M36">
        <v>0</v>
      </c>
      <c r="N36" s="50" t="e">
        <f t="shared" si="2"/>
        <v>#DIV/0!</v>
      </c>
      <c r="O36">
        <v>0</v>
      </c>
      <c r="P36">
        <v>0</v>
      </c>
      <c r="Q36">
        <v>0</v>
      </c>
      <c r="R36" s="50" t="e">
        <f t="shared" si="3"/>
        <v>#DIV/0!</v>
      </c>
      <c r="S36">
        <v>0</v>
      </c>
      <c r="T36">
        <v>0</v>
      </c>
      <c r="U36">
        <v>0</v>
      </c>
      <c r="V36" s="50" t="e">
        <f t="shared" si="4"/>
        <v>#DIV/0!</v>
      </c>
      <c r="W36">
        <v>0</v>
      </c>
      <c r="X36">
        <v>0</v>
      </c>
      <c r="Y36">
        <v>0</v>
      </c>
      <c r="Z36" s="50" t="e">
        <f t="shared" si="7"/>
        <v>#DIV/0!</v>
      </c>
      <c r="AA36" s="39">
        <f t="shared" si="8"/>
        <v>0</v>
      </c>
      <c r="AB36" s="39">
        <f t="shared" si="9"/>
        <v>0</v>
      </c>
      <c r="AC36" s="39">
        <f t="shared" si="10"/>
        <v>0</v>
      </c>
      <c r="AD36" s="51" t="e">
        <f t="shared" si="6"/>
        <v>#DIV/0!</v>
      </c>
    </row>
    <row r="37" spans="1:30">
      <c r="A37" t="s">
        <v>108</v>
      </c>
      <c r="B37">
        <v>1</v>
      </c>
      <c r="C37" t="s">
        <v>121</v>
      </c>
      <c r="D37" t="s">
        <v>122</v>
      </c>
      <c r="E37" t="s">
        <v>127</v>
      </c>
      <c r="F37" t="s">
        <v>31</v>
      </c>
      <c r="G37" s="49">
        <v>11664.86</v>
      </c>
      <c r="H37" s="49">
        <v>17602.2</v>
      </c>
      <c r="I37" s="49">
        <v>20451.12</v>
      </c>
      <c r="J37" s="50">
        <f t="shared" si="1"/>
        <v>0.161850223267546</v>
      </c>
      <c r="K37" s="49">
        <v>6873.36</v>
      </c>
      <c r="L37" s="49">
        <v>9799.64</v>
      </c>
      <c r="M37" s="49">
        <v>12153.69</v>
      </c>
      <c r="N37" s="50">
        <f t="shared" si="2"/>
        <v>0.24021800800845758</v>
      </c>
      <c r="O37" s="49">
        <v>919138.07</v>
      </c>
      <c r="P37" s="49">
        <v>1420722.36</v>
      </c>
      <c r="Q37" s="49">
        <v>1938374.05</v>
      </c>
      <c r="R37" s="50">
        <f t="shared" si="3"/>
        <v>0.36435809316043982</v>
      </c>
      <c r="S37" s="49">
        <v>2078086.01</v>
      </c>
      <c r="T37" s="49">
        <v>2624796.64</v>
      </c>
      <c r="U37" s="49">
        <v>4843819.67</v>
      </c>
      <c r="V37" s="50">
        <f t="shared" si="4"/>
        <v>0.84540760079607524</v>
      </c>
      <c r="W37" s="49">
        <v>161205.01</v>
      </c>
      <c r="X37" s="49">
        <v>198340.87</v>
      </c>
      <c r="Y37" s="49">
        <v>317381.5</v>
      </c>
      <c r="Z37" s="50">
        <f t="shared" si="7"/>
        <v>0.60018205022494864</v>
      </c>
      <c r="AA37" s="39">
        <f t="shared" si="8"/>
        <v>3176967.3099999996</v>
      </c>
      <c r="AB37" s="39">
        <f t="shared" si="9"/>
        <v>4271261.71</v>
      </c>
      <c r="AC37" s="39">
        <f t="shared" si="10"/>
        <v>7132180.0300000003</v>
      </c>
      <c r="AD37" s="51">
        <f t="shared" si="6"/>
        <v>0.66980637437924639</v>
      </c>
    </row>
    <row r="38" spans="1:30">
      <c r="A38" t="s">
        <v>108</v>
      </c>
      <c r="B38">
        <v>1</v>
      </c>
      <c r="C38" t="s">
        <v>121</v>
      </c>
      <c r="D38" t="s">
        <v>122</v>
      </c>
      <c r="E38" t="s">
        <v>128</v>
      </c>
      <c r="F38" t="s">
        <v>31</v>
      </c>
      <c r="G38" s="49">
        <v>16391.849999999999</v>
      </c>
      <c r="H38" s="49">
        <v>24742.2</v>
      </c>
      <c r="I38" s="49">
        <v>25683.33</v>
      </c>
      <c r="J38" s="50">
        <f t="shared" si="1"/>
        <v>3.8037442102965821E-2</v>
      </c>
      <c r="K38" s="49">
        <v>10750.38</v>
      </c>
      <c r="L38" s="49">
        <v>15333.69</v>
      </c>
      <c r="M38" s="49">
        <v>16930.84</v>
      </c>
      <c r="N38" s="50">
        <f t="shared" si="2"/>
        <v>0.10415953368041218</v>
      </c>
      <c r="O38" s="49">
        <v>1785000.17</v>
      </c>
      <c r="P38" s="49">
        <v>2759110.47</v>
      </c>
      <c r="Q38" s="49">
        <v>3112145.91</v>
      </c>
      <c r="R38" s="50">
        <f t="shared" si="3"/>
        <v>0.12795262960239498</v>
      </c>
      <c r="S38" s="49">
        <v>4791204.1100000003</v>
      </c>
      <c r="T38" s="49">
        <v>6051697.5800000001</v>
      </c>
      <c r="U38" s="49">
        <v>8184523.3600000003</v>
      </c>
      <c r="V38" s="50">
        <f t="shared" si="4"/>
        <v>0.35243429662590647</v>
      </c>
      <c r="W38" s="49">
        <v>377983.19</v>
      </c>
      <c r="X38" s="49">
        <v>465036.54</v>
      </c>
      <c r="Y38" s="49">
        <v>581449.79</v>
      </c>
      <c r="Z38" s="50">
        <f t="shared" si="7"/>
        <v>0.25033140406558174</v>
      </c>
      <c r="AA38" s="39">
        <f t="shared" si="8"/>
        <v>6981329.7000000002</v>
      </c>
      <c r="AB38" s="39">
        <f t="shared" si="9"/>
        <v>9315920.4800000004</v>
      </c>
      <c r="AC38" s="39">
        <f t="shared" si="10"/>
        <v>11920733.23</v>
      </c>
      <c r="AD38" s="51">
        <f t="shared" si="6"/>
        <v>0.2796087359904128</v>
      </c>
    </row>
    <row r="39" spans="1:30">
      <c r="A39" t="s">
        <v>108</v>
      </c>
      <c r="B39">
        <v>0</v>
      </c>
      <c r="C39" t="s">
        <v>121</v>
      </c>
      <c r="D39" t="s">
        <v>122</v>
      </c>
      <c r="E39" t="s">
        <v>129</v>
      </c>
      <c r="F39" t="s">
        <v>113</v>
      </c>
      <c r="G39">
        <v>72.239999999999995</v>
      </c>
      <c r="H39">
        <v>72.23</v>
      </c>
      <c r="I39">
        <v>49</v>
      </c>
      <c r="J39" s="50">
        <f t="shared" si="1"/>
        <v>-0.32161151875951827</v>
      </c>
      <c r="K39">
        <v>43.48</v>
      </c>
      <c r="L39">
        <v>43.48</v>
      </c>
      <c r="M39">
        <v>30.61</v>
      </c>
      <c r="N39" s="50">
        <f t="shared" si="2"/>
        <v>-0.29599816007359703</v>
      </c>
      <c r="O39">
        <v>104.98</v>
      </c>
      <c r="P39">
        <v>104.98</v>
      </c>
      <c r="Q39">
        <v>72</v>
      </c>
      <c r="R39" s="50">
        <f t="shared" si="3"/>
        <v>-0.31415507715755386</v>
      </c>
      <c r="S39">
        <v>181.33</v>
      </c>
      <c r="T39">
        <v>181.33</v>
      </c>
      <c r="U39">
        <v>121.98</v>
      </c>
      <c r="V39" s="50">
        <f t="shared" si="4"/>
        <v>-0.32730381073181497</v>
      </c>
      <c r="W39">
        <v>244.03</v>
      </c>
      <c r="X39">
        <v>244.04</v>
      </c>
      <c r="Y39">
        <v>181.88</v>
      </c>
      <c r="Z39" s="50">
        <f t="shared" si="7"/>
        <v>-0.25471234223897721</v>
      </c>
      <c r="AA39" s="39">
        <f t="shared" si="8"/>
        <v>646.05999999999995</v>
      </c>
      <c r="AB39" s="39">
        <f t="shared" si="9"/>
        <v>646.05999999999995</v>
      </c>
      <c r="AC39" s="39">
        <f t="shared" si="10"/>
        <v>455.47</v>
      </c>
      <c r="AD39" s="51">
        <f t="shared" si="6"/>
        <v>-0.29500356004086298</v>
      </c>
    </row>
    <row r="40" spans="1:30">
      <c r="A40" t="s">
        <v>108</v>
      </c>
      <c r="B40">
        <v>1</v>
      </c>
      <c r="C40" t="s">
        <v>121</v>
      </c>
      <c r="D40" t="s">
        <v>122</v>
      </c>
      <c r="E40" t="s">
        <v>33</v>
      </c>
      <c r="F40" t="s">
        <v>31</v>
      </c>
      <c r="G40" s="49">
        <v>1039720</v>
      </c>
      <c r="H40" s="49">
        <v>1568930</v>
      </c>
      <c r="I40" s="49">
        <v>1884012</v>
      </c>
      <c r="J40" s="50">
        <f t="shared" si="1"/>
        <v>0.20082604067740434</v>
      </c>
      <c r="K40" s="49">
        <v>749925</v>
      </c>
      <c r="L40" s="49">
        <v>1069200</v>
      </c>
      <c r="M40" s="49">
        <v>1415088</v>
      </c>
      <c r="N40" s="50">
        <f t="shared" si="2"/>
        <v>0.32350168350168351</v>
      </c>
      <c r="O40" s="49">
        <v>59333760</v>
      </c>
      <c r="P40" s="49">
        <v>91712880</v>
      </c>
      <c r="Q40" s="49">
        <v>117812704</v>
      </c>
      <c r="R40" s="50">
        <f t="shared" si="3"/>
        <v>0.28458188206498369</v>
      </c>
      <c r="S40" s="49">
        <v>84601200</v>
      </c>
      <c r="T40" s="49">
        <v>106858400</v>
      </c>
      <c r="U40" s="49">
        <v>141299340</v>
      </c>
      <c r="V40" s="50">
        <f t="shared" si="4"/>
        <v>0.32230447021478892</v>
      </c>
      <c r="W40" s="49">
        <v>4255740</v>
      </c>
      <c r="X40" s="49">
        <v>5236110</v>
      </c>
      <c r="Y40" s="49">
        <v>6788564</v>
      </c>
      <c r="Z40" s="50">
        <f t="shared" si="7"/>
        <v>0.29648995150980406</v>
      </c>
      <c r="AA40" s="39">
        <f t="shared" si="8"/>
        <v>149980345</v>
      </c>
      <c r="AB40" s="39">
        <f t="shared" si="9"/>
        <v>206445520</v>
      </c>
      <c r="AC40" s="39">
        <f t="shared" si="10"/>
        <v>269199708</v>
      </c>
      <c r="AD40" s="51">
        <f t="shared" si="6"/>
        <v>0.30397456917447274</v>
      </c>
    </row>
    <row r="41" spans="1:30">
      <c r="A41" t="s">
        <v>108</v>
      </c>
      <c r="B41">
        <v>0</v>
      </c>
      <c r="C41" t="s">
        <v>121</v>
      </c>
      <c r="D41" t="s">
        <v>122</v>
      </c>
      <c r="E41" t="s">
        <v>77</v>
      </c>
      <c r="F41" t="s">
        <v>73</v>
      </c>
      <c r="G41">
        <v>0.27</v>
      </c>
      <c r="H41">
        <v>0.41</v>
      </c>
      <c r="I41">
        <v>0.36</v>
      </c>
      <c r="J41" s="50">
        <f t="shared" si="1"/>
        <v>-0.12195121951219511</v>
      </c>
      <c r="K41">
        <v>0.17</v>
      </c>
      <c r="L41">
        <v>0.24</v>
      </c>
      <c r="M41">
        <v>0.23</v>
      </c>
      <c r="N41" s="50">
        <f t="shared" si="2"/>
        <v>-4.1666666666666588E-2</v>
      </c>
      <c r="O41">
        <v>31.86</v>
      </c>
      <c r="P41">
        <v>49.25</v>
      </c>
      <c r="Q41">
        <v>46.22</v>
      </c>
      <c r="R41" s="50">
        <f t="shared" si="3"/>
        <v>-6.1522842639593935E-2</v>
      </c>
      <c r="S41">
        <v>102.05</v>
      </c>
      <c r="T41">
        <v>128.9</v>
      </c>
      <c r="U41">
        <v>102.15</v>
      </c>
      <c r="V41" s="50">
        <f t="shared" si="4"/>
        <v>-0.20752521334367727</v>
      </c>
      <c r="W41">
        <v>8.24</v>
      </c>
      <c r="X41">
        <v>10.14</v>
      </c>
      <c r="Y41">
        <v>7.42</v>
      </c>
      <c r="Z41" s="50">
        <f t="shared" si="7"/>
        <v>-0.26824457593688367</v>
      </c>
      <c r="AA41" s="39">
        <f t="shared" si="8"/>
        <v>142.59</v>
      </c>
      <c r="AB41" s="39">
        <f t="shared" si="9"/>
        <v>188.94</v>
      </c>
      <c r="AC41" s="39">
        <f t="shared" si="10"/>
        <v>156.38</v>
      </c>
      <c r="AD41" s="51">
        <f t="shared" si="6"/>
        <v>-0.17232984016089764</v>
      </c>
    </row>
    <row r="42" spans="1:30" s="59" customFormat="1">
      <c r="A42" s="59" t="s">
        <v>108</v>
      </c>
      <c r="B42" s="59">
        <v>0</v>
      </c>
      <c r="C42" s="59" t="s">
        <v>121</v>
      </c>
      <c r="D42" s="59" t="s">
        <v>122</v>
      </c>
      <c r="E42" s="59" t="s">
        <v>79</v>
      </c>
      <c r="F42" s="59" t="s">
        <v>73</v>
      </c>
      <c r="G42">
        <v>700.87</v>
      </c>
      <c r="H42" s="49">
        <v>1057.48</v>
      </c>
      <c r="I42">
        <v>532.41</v>
      </c>
      <c r="J42" s="60">
        <f t="shared" si="1"/>
        <v>-0.49652948519120932</v>
      </c>
      <c r="K42">
        <v>311.72000000000003</v>
      </c>
      <c r="L42">
        <v>444.34</v>
      </c>
      <c r="M42">
        <v>471.85</v>
      </c>
      <c r="N42" s="60">
        <f t="shared" si="2"/>
        <v>6.1912049331593035E-2</v>
      </c>
      <c r="O42" s="49">
        <v>67717.3</v>
      </c>
      <c r="P42" s="49">
        <v>104671.06</v>
      </c>
      <c r="Q42" s="49">
        <v>98433.36</v>
      </c>
      <c r="R42" s="60">
        <f t="shared" si="3"/>
        <v>-5.9593358469857832E-2</v>
      </c>
      <c r="S42" s="49">
        <v>168709.87</v>
      </c>
      <c r="T42" s="49">
        <v>213094.57</v>
      </c>
      <c r="U42" s="49">
        <v>229382.16</v>
      </c>
      <c r="V42" s="60">
        <f t="shared" si="4"/>
        <v>7.6433622874576279E-2</v>
      </c>
      <c r="W42" s="49">
        <v>12547.34</v>
      </c>
      <c r="X42" s="49">
        <v>15438.22</v>
      </c>
      <c r="Y42" s="49">
        <v>16380.66</v>
      </c>
      <c r="Z42" s="60">
        <f t="shared" si="7"/>
        <v>6.1045897778370856E-2</v>
      </c>
      <c r="AA42" s="222">
        <f t="shared" si="8"/>
        <v>249987.1</v>
      </c>
      <c r="AB42" s="222">
        <f t="shared" si="9"/>
        <v>334705.67</v>
      </c>
      <c r="AC42" s="222">
        <f t="shared" si="10"/>
        <v>345200.44</v>
      </c>
      <c r="AD42" s="223">
        <f t="shared" si="6"/>
        <v>3.1355220244700423E-2</v>
      </c>
    </row>
    <row r="43" spans="1:30" s="120" customFormat="1">
      <c r="A43" s="120" t="s">
        <v>108</v>
      </c>
      <c r="B43" s="120">
        <v>1</v>
      </c>
      <c r="C43" s="120" t="s">
        <v>121</v>
      </c>
      <c r="D43" s="120" t="s">
        <v>122</v>
      </c>
      <c r="E43" s="120" t="s">
        <v>130</v>
      </c>
      <c r="F43" s="120" t="s">
        <v>116</v>
      </c>
      <c r="G43">
        <v>0</v>
      </c>
      <c r="H43">
        <v>0</v>
      </c>
      <c r="I43">
        <v>0</v>
      </c>
      <c r="J43" s="50" t="e">
        <f t="shared" si="1"/>
        <v>#DIV/0!</v>
      </c>
      <c r="K43">
        <v>0</v>
      </c>
      <c r="L43">
        <v>0</v>
      </c>
      <c r="M43">
        <v>0</v>
      </c>
      <c r="N43" s="50" t="e">
        <f t="shared" si="2"/>
        <v>#DIV/0!</v>
      </c>
      <c r="O43">
        <v>0</v>
      </c>
      <c r="P43">
        <v>0</v>
      </c>
      <c r="Q43">
        <v>0</v>
      </c>
      <c r="R43" s="50" t="e">
        <f t="shared" si="3"/>
        <v>#DIV/0!</v>
      </c>
      <c r="S43">
        <v>0</v>
      </c>
      <c r="T43">
        <v>0</v>
      </c>
      <c r="U43">
        <v>0</v>
      </c>
      <c r="V43" s="50" t="e">
        <f t="shared" si="4"/>
        <v>#DIV/0!</v>
      </c>
      <c r="W43">
        <v>0</v>
      </c>
      <c r="X43">
        <v>0</v>
      </c>
      <c r="Y43">
        <v>0</v>
      </c>
      <c r="Z43" s="50" t="e">
        <f t="shared" si="7"/>
        <v>#DIV/0!</v>
      </c>
      <c r="AA43" s="39">
        <f t="shared" si="8"/>
        <v>0</v>
      </c>
      <c r="AB43" s="121">
        <f t="shared" si="9"/>
        <v>0</v>
      </c>
      <c r="AC43" s="121">
        <f t="shared" si="10"/>
        <v>0</v>
      </c>
      <c r="AD43" s="122" t="e">
        <f t="shared" si="6"/>
        <v>#DIV/0!</v>
      </c>
    </row>
    <row r="44" spans="1:30" s="120" customFormat="1">
      <c r="A44" s="120" t="s">
        <v>108</v>
      </c>
      <c r="B44" s="120">
        <v>1</v>
      </c>
      <c r="C44" s="120" t="s">
        <v>121</v>
      </c>
      <c r="D44" s="120" t="s">
        <v>122</v>
      </c>
      <c r="E44" s="120" t="s">
        <v>131</v>
      </c>
      <c r="F44" s="120" t="s">
        <v>116</v>
      </c>
      <c r="G44">
        <v>0</v>
      </c>
      <c r="H44">
        <v>0</v>
      </c>
      <c r="I44">
        <v>0</v>
      </c>
      <c r="J44" s="50" t="e">
        <f t="shared" si="1"/>
        <v>#DIV/0!</v>
      </c>
      <c r="K44">
        <v>0</v>
      </c>
      <c r="L44">
        <v>0</v>
      </c>
      <c r="M44">
        <v>0</v>
      </c>
      <c r="N44" s="50" t="e">
        <f t="shared" si="2"/>
        <v>#DIV/0!</v>
      </c>
      <c r="O44">
        <v>0</v>
      </c>
      <c r="P44">
        <v>0</v>
      </c>
      <c r="Q44">
        <v>0</v>
      </c>
      <c r="R44" s="50" t="e">
        <f t="shared" si="3"/>
        <v>#DIV/0!</v>
      </c>
      <c r="S44">
        <v>0</v>
      </c>
      <c r="T44">
        <v>0</v>
      </c>
      <c r="U44">
        <v>0</v>
      </c>
      <c r="V44" s="50" t="e">
        <f t="shared" si="4"/>
        <v>#DIV/0!</v>
      </c>
      <c r="W44">
        <v>0</v>
      </c>
      <c r="X44">
        <v>0</v>
      </c>
      <c r="Y44">
        <v>0</v>
      </c>
      <c r="Z44" s="50" t="e">
        <f t="shared" si="7"/>
        <v>#DIV/0!</v>
      </c>
      <c r="AA44" s="39">
        <f t="shared" si="8"/>
        <v>0</v>
      </c>
      <c r="AB44" s="121">
        <f t="shared" si="9"/>
        <v>0</v>
      </c>
      <c r="AC44" s="121">
        <f t="shared" si="10"/>
        <v>0</v>
      </c>
      <c r="AD44" s="122" t="e">
        <f t="shared" si="6"/>
        <v>#DIV/0!</v>
      </c>
    </row>
    <row r="45" spans="1:30" s="120" customFormat="1">
      <c r="A45" s="120" t="s">
        <v>108</v>
      </c>
      <c r="B45" s="120">
        <v>1</v>
      </c>
      <c r="C45" s="120" t="s">
        <v>121</v>
      </c>
      <c r="D45" s="120" t="s">
        <v>122</v>
      </c>
      <c r="E45" s="120" t="s">
        <v>132</v>
      </c>
      <c r="F45" s="120" t="s">
        <v>116</v>
      </c>
      <c r="G45">
        <v>243.79</v>
      </c>
      <c r="H45">
        <v>367.88</v>
      </c>
      <c r="I45">
        <v>329.55</v>
      </c>
      <c r="J45" s="50">
        <f t="shared" si="1"/>
        <v>-0.10419158421224307</v>
      </c>
      <c r="K45">
        <v>131.52000000000001</v>
      </c>
      <c r="L45">
        <v>187.52</v>
      </c>
      <c r="M45">
        <v>179.23</v>
      </c>
      <c r="N45" s="50">
        <f t="shared" si="2"/>
        <v>-4.4208617747440379E-2</v>
      </c>
      <c r="O45" s="49">
        <v>27540.76</v>
      </c>
      <c r="P45" s="49">
        <v>42570.07</v>
      </c>
      <c r="Q45" s="49">
        <v>45016.78</v>
      </c>
      <c r="R45" s="50">
        <f t="shared" si="3"/>
        <v>5.7474887873099553E-2</v>
      </c>
      <c r="S45" s="49">
        <v>65730.28</v>
      </c>
      <c r="T45" s="49">
        <v>83022.850000000006</v>
      </c>
      <c r="U45" s="49">
        <v>108980.43</v>
      </c>
      <c r="V45" s="50">
        <f t="shared" si="4"/>
        <v>0.31265585317776956</v>
      </c>
      <c r="W45" s="49">
        <v>5324.15</v>
      </c>
      <c r="X45" s="49">
        <v>6550.64</v>
      </c>
      <c r="Y45" s="49">
        <v>7909.68</v>
      </c>
      <c r="Z45" s="50">
        <f t="shared" si="7"/>
        <v>0.20746675134032705</v>
      </c>
      <c r="AA45" s="39">
        <f t="shared" si="8"/>
        <v>98970.5</v>
      </c>
      <c r="AB45" s="121">
        <f t="shared" si="9"/>
        <v>132698.96000000002</v>
      </c>
      <c r="AC45" s="121">
        <f t="shared" si="10"/>
        <v>162415.66999999998</v>
      </c>
      <c r="AD45" s="122">
        <f t="shared" si="6"/>
        <v>0.2239407904930073</v>
      </c>
    </row>
    <row r="46" spans="1:30" s="120" customFormat="1">
      <c r="A46" s="120" t="s">
        <v>108</v>
      </c>
      <c r="B46" s="120">
        <v>1</v>
      </c>
      <c r="C46" s="120" t="s">
        <v>121</v>
      </c>
      <c r="D46" s="120" t="s">
        <v>122</v>
      </c>
      <c r="E46" s="120" t="s">
        <v>133</v>
      </c>
      <c r="F46" s="120" t="s">
        <v>116</v>
      </c>
      <c r="G46">
        <v>342.59</v>
      </c>
      <c r="H46">
        <v>517.11</v>
      </c>
      <c r="I46">
        <v>413.87</v>
      </c>
      <c r="J46" s="50">
        <f t="shared" si="1"/>
        <v>-0.19964804393649321</v>
      </c>
      <c r="K46">
        <v>205.71</v>
      </c>
      <c r="L46">
        <v>293.41000000000003</v>
      </c>
      <c r="M46">
        <v>249.68</v>
      </c>
      <c r="N46" s="50">
        <f t="shared" si="2"/>
        <v>-0.14904059166354253</v>
      </c>
      <c r="O46" s="49">
        <v>53485.17</v>
      </c>
      <c r="P46" s="49">
        <v>82673.100000000006</v>
      </c>
      <c r="Q46" s="49">
        <v>72276.45</v>
      </c>
      <c r="R46" s="50">
        <f t="shared" si="3"/>
        <v>-0.12575614075194963</v>
      </c>
      <c r="S46" s="49">
        <v>151546.76</v>
      </c>
      <c r="T46" s="49">
        <v>191416.42</v>
      </c>
      <c r="U46" s="49">
        <v>184142.46</v>
      </c>
      <c r="V46" s="50">
        <f t="shared" si="4"/>
        <v>-3.8000710701830177E-2</v>
      </c>
      <c r="W46" s="49">
        <v>12483.72</v>
      </c>
      <c r="X46" s="49">
        <v>15358.84</v>
      </c>
      <c r="Y46" s="49">
        <v>14490.71</v>
      </c>
      <c r="Z46" s="50">
        <f t="shared" si="7"/>
        <v>-5.6523148883639712E-2</v>
      </c>
      <c r="AA46" s="39">
        <f t="shared" si="8"/>
        <v>218063.95</v>
      </c>
      <c r="AB46" s="121">
        <f t="shared" si="9"/>
        <v>290258.88000000006</v>
      </c>
      <c r="AC46" s="121">
        <f t="shared" si="10"/>
        <v>271573.17</v>
      </c>
      <c r="AD46" s="122">
        <f t="shared" si="6"/>
        <v>-6.4376014956028474E-2</v>
      </c>
    </row>
    <row r="47" spans="1:30" s="120" customFormat="1">
      <c r="A47" s="120" t="s">
        <v>108</v>
      </c>
      <c r="B47" s="120">
        <v>1</v>
      </c>
      <c r="C47" s="120" t="s">
        <v>121</v>
      </c>
      <c r="D47" s="120" t="s">
        <v>122</v>
      </c>
      <c r="E47" s="120" t="s">
        <v>134</v>
      </c>
      <c r="F47" s="120" t="s">
        <v>116</v>
      </c>
      <c r="G47">
        <v>285.35000000000002</v>
      </c>
      <c r="H47">
        <v>430.59</v>
      </c>
      <c r="I47">
        <v>289.83</v>
      </c>
      <c r="J47" s="50">
        <f t="shared" si="1"/>
        <v>-0.32690029958893613</v>
      </c>
      <c r="K47">
        <v>155.51</v>
      </c>
      <c r="L47">
        <v>221.71</v>
      </c>
      <c r="M47">
        <v>159.49</v>
      </c>
      <c r="N47" s="50">
        <f t="shared" si="2"/>
        <v>-0.28063686798069548</v>
      </c>
      <c r="O47" s="49">
        <v>59015.99</v>
      </c>
      <c r="P47" s="49">
        <v>91221.7</v>
      </c>
      <c r="Q47" s="49">
        <v>61670.9</v>
      </c>
      <c r="R47" s="50">
        <f t="shared" si="3"/>
        <v>-0.32394485084141161</v>
      </c>
      <c r="S47" s="49">
        <v>146283.71</v>
      </c>
      <c r="T47" s="49">
        <v>184768.58</v>
      </c>
      <c r="U47" s="49">
        <v>135061.63</v>
      </c>
      <c r="V47" s="50">
        <f t="shared" si="4"/>
        <v>-0.2690227418536203</v>
      </c>
      <c r="W47" s="49">
        <v>11775.5</v>
      </c>
      <c r="X47" s="49">
        <v>14488.15</v>
      </c>
      <c r="Y47" s="49">
        <v>11172.64</v>
      </c>
      <c r="Z47" s="50">
        <f t="shared" si="7"/>
        <v>-0.22884288194144872</v>
      </c>
      <c r="AA47" s="39">
        <f t="shared" si="8"/>
        <v>217516.06</v>
      </c>
      <c r="AB47" s="121">
        <f t="shared" si="9"/>
        <v>291130.73</v>
      </c>
      <c r="AC47" s="121">
        <f t="shared" si="10"/>
        <v>208354.49</v>
      </c>
      <c r="AD47" s="122">
        <f t="shared" si="6"/>
        <v>-0.28432670092916673</v>
      </c>
    </row>
    <row r="48" spans="1:30" s="120" customFormat="1">
      <c r="A48" s="120" t="s">
        <v>108</v>
      </c>
      <c r="B48" s="120">
        <v>1</v>
      </c>
      <c r="C48" s="120" t="s">
        <v>121</v>
      </c>
      <c r="D48" s="120" t="s">
        <v>122</v>
      </c>
      <c r="E48" s="120" t="s">
        <v>135</v>
      </c>
      <c r="F48" s="120" t="s">
        <v>116</v>
      </c>
      <c r="G48">
        <v>149.24</v>
      </c>
      <c r="H48">
        <v>224.99</v>
      </c>
      <c r="I48">
        <v>174.51</v>
      </c>
      <c r="J48" s="50">
        <f t="shared" si="1"/>
        <v>-0.22436552735677148</v>
      </c>
      <c r="K48">
        <v>50.88</v>
      </c>
      <c r="L48">
        <v>72.36</v>
      </c>
      <c r="M48">
        <v>59.99</v>
      </c>
      <c r="N48" s="50">
        <f t="shared" si="2"/>
        <v>-0.17095080154781644</v>
      </c>
      <c r="O48" s="49">
        <v>16230.05</v>
      </c>
      <c r="P48" s="49">
        <v>25086.21</v>
      </c>
      <c r="Q48" s="49">
        <v>19648.93</v>
      </c>
      <c r="R48" s="50">
        <f t="shared" si="3"/>
        <v>-0.21674378074647382</v>
      </c>
      <c r="S48" s="49">
        <v>15773.99</v>
      </c>
      <c r="T48" s="49">
        <v>19923.599999999999</v>
      </c>
      <c r="U48" s="49">
        <v>17515.009999999998</v>
      </c>
      <c r="V48" s="50">
        <f t="shared" si="4"/>
        <v>-0.12089130478427595</v>
      </c>
      <c r="W48">
        <v>828.95</v>
      </c>
      <c r="X48" s="49">
        <v>1020.96</v>
      </c>
      <c r="Y48">
        <v>956.75</v>
      </c>
      <c r="Z48" s="50">
        <f t="shared" si="7"/>
        <v>-6.2891788120984199E-2</v>
      </c>
      <c r="AA48" s="39">
        <f t="shared" si="8"/>
        <v>33033.109999999993</v>
      </c>
      <c r="AB48" s="121">
        <f t="shared" si="9"/>
        <v>46328.119999999995</v>
      </c>
      <c r="AC48" s="121">
        <f t="shared" si="10"/>
        <v>38355.19</v>
      </c>
      <c r="AD48" s="122">
        <f t="shared" si="6"/>
        <v>-0.17209698990591446</v>
      </c>
    </row>
    <row r="49" spans="1:32" s="120" customFormat="1">
      <c r="A49" s="120" t="s">
        <v>108</v>
      </c>
      <c r="B49" s="120">
        <v>0</v>
      </c>
      <c r="C49" s="120" t="s">
        <v>121</v>
      </c>
      <c r="D49" s="120" t="s">
        <v>122</v>
      </c>
      <c r="E49" s="120" t="s">
        <v>115</v>
      </c>
      <c r="F49" s="120" t="s">
        <v>116</v>
      </c>
      <c r="G49" s="49">
        <v>1708.97</v>
      </c>
      <c r="H49" s="49">
        <v>2578.5700000000002</v>
      </c>
      <c r="I49" s="49">
        <v>2043.77</v>
      </c>
      <c r="J49" s="50">
        <f t="shared" si="1"/>
        <v>-0.20740177695389311</v>
      </c>
      <c r="K49">
        <v>891.62</v>
      </c>
      <c r="L49" s="49">
        <v>1271</v>
      </c>
      <c r="M49" s="49">
        <v>1075.3900000000001</v>
      </c>
      <c r="N49" s="50">
        <f t="shared" si="2"/>
        <v>-0.15390243902439016</v>
      </c>
      <c r="O49" s="49">
        <v>252541.97</v>
      </c>
      <c r="P49" s="49">
        <v>390356.08</v>
      </c>
      <c r="Q49" s="49">
        <v>331994.06</v>
      </c>
      <c r="R49" s="50">
        <f t="shared" si="3"/>
        <v>-0.1495096989394914</v>
      </c>
      <c r="S49" s="49">
        <v>604058.74</v>
      </c>
      <c r="T49" s="49">
        <v>762976.45</v>
      </c>
      <c r="U49" s="49">
        <v>720666.53</v>
      </c>
      <c r="V49" s="50">
        <f t="shared" si="4"/>
        <v>-5.5453769248054681E-2</v>
      </c>
      <c r="W49" s="49">
        <v>46882.31</v>
      </c>
      <c r="X49" s="49">
        <v>57683.59</v>
      </c>
      <c r="Y49" s="49">
        <v>54455.78</v>
      </c>
      <c r="Z49" s="50">
        <f t="shared" si="7"/>
        <v>-5.5957162166917797E-2</v>
      </c>
      <c r="AA49" s="39">
        <f t="shared" si="8"/>
        <v>906083.6100000001</v>
      </c>
      <c r="AB49" s="121">
        <f t="shared" si="9"/>
        <v>1214865.6900000002</v>
      </c>
      <c r="AC49" s="121">
        <f t="shared" si="10"/>
        <v>1110235.53</v>
      </c>
      <c r="AD49" s="122">
        <f t="shared" si="6"/>
        <v>-8.6124878545216083E-2</v>
      </c>
    </row>
    <row r="50" spans="1:32" s="120" customFormat="1">
      <c r="A50" s="120" t="s">
        <v>108</v>
      </c>
      <c r="B50" s="120">
        <v>0</v>
      </c>
      <c r="C50" s="120" t="s">
        <v>121</v>
      </c>
      <c r="D50" s="120" t="s">
        <v>122</v>
      </c>
      <c r="E50" s="120" t="s">
        <v>136</v>
      </c>
      <c r="F50" s="120" t="s">
        <v>116</v>
      </c>
      <c r="G50">
        <v>191.46</v>
      </c>
      <c r="H50">
        <v>288.89999999999998</v>
      </c>
      <c r="I50">
        <v>257.95</v>
      </c>
      <c r="J50" s="50">
        <f t="shared" si="1"/>
        <v>-0.10713049498096223</v>
      </c>
      <c r="K50">
        <v>104.34</v>
      </c>
      <c r="L50">
        <v>148.76</v>
      </c>
      <c r="M50">
        <v>141.94999999999999</v>
      </c>
      <c r="N50" s="50">
        <f t="shared" si="2"/>
        <v>-4.577843506318905E-2</v>
      </c>
      <c r="O50" s="49">
        <v>25834.5</v>
      </c>
      <c r="P50" s="49">
        <v>39932.68</v>
      </c>
      <c r="Q50" s="49">
        <v>39407.14</v>
      </c>
      <c r="R50" s="50">
        <f t="shared" si="3"/>
        <v>-1.3160649372894604E-2</v>
      </c>
      <c r="S50" s="49">
        <v>65005.45</v>
      </c>
      <c r="T50" s="49">
        <v>82107.320000000007</v>
      </c>
      <c r="U50" s="49">
        <v>89934.18</v>
      </c>
      <c r="V50" s="50">
        <f t="shared" si="4"/>
        <v>9.5324753018366515E-2</v>
      </c>
      <c r="W50" s="49">
        <v>4912.62</v>
      </c>
      <c r="X50" s="49">
        <v>6044.31</v>
      </c>
      <c r="Y50" s="49">
        <v>6499.57</v>
      </c>
      <c r="Z50" s="50">
        <f t="shared" si="7"/>
        <v>7.5320425325636722E-2</v>
      </c>
      <c r="AA50" s="39">
        <f t="shared" si="8"/>
        <v>96048.37</v>
      </c>
      <c r="AB50" s="121">
        <f t="shared" si="9"/>
        <v>128521.97</v>
      </c>
      <c r="AC50" s="121">
        <f t="shared" si="10"/>
        <v>136240.79</v>
      </c>
      <c r="AD50" s="122">
        <f t="shared" si="6"/>
        <v>6.0058369786893301E-2</v>
      </c>
    </row>
    <row r="51" spans="1:32" s="120" customFormat="1">
      <c r="A51" s="120" t="s">
        <v>108</v>
      </c>
      <c r="B51" s="120">
        <v>0</v>
      </c>
      <c r="C51" s="120" t="s">
        <v>121</v>
      </c>
      <c r="D51" s="120" t="s">
        <v>122</v>
      </c>
      <c r="E51" s="120" t="s">
        <v>137</v>
      </c>
      <c r="F51" s="120" t="s">
        <v>116</v>
      </c>
      <c r="G51">
        <v>191.46</v>
      </c>
      <c r="H51">
        <v>288.89999999999998</v>
      </c>
      <c r="I51">
        <v>257.95</v>
      </c>
      <c r="J51" s="50">
        <f t="shared" si="1"/>
        <v>-0.10713049498096223</v>
      </c>
      <c r="K51">
        <v>104.34</v>
      </c>
      <c r="L51">
        <v>148.76</v>
      </c>
      <c r="M51">
        <v>141.94999999999999</v>
      </c>
      <c r="N51" s="50">
        <f t="shared" si="2"/>
        <v>-4.577843506318905E-2</v>
      </c>
      <c r="O51" s="49">
        <v>25834.5</v>
      </c>
      <c r="P51" s="49">
        <v>39932.68</v>
      </c>
      <c r="Q51" s="49">
        <v>39407.14</v>
      </c>
      <c r="R51" s="50">
        <f t="shared" si="3"/>
        <v>-1.3160649372894604E-2</v>
      </c>
      <c r="S51" s="49">
        <v>65005.45</v>
      </c>
      <c r="T51" s="49">
        <v>82107.320000000007</v>
      </c>
      <c r="U51" s="49">
        <v>89934.18</v>
      </c>
      <c r="V51" s="50">
        <f t="shared" si="4"/>
        <v>9.5324753018366515E-2</v>
      </c>
      <c r="W51" s="49">
        <v>4912.62</v>
      </c>
      <c r="X51" s="49">
        <v>6044.31</v>
      </c>
      <c r="Y51" s="49">
        <v>6499.57</v>
      </c>
      <c r="Z51" s="50">
        <f t="shared" si="7"/>
        <v>7.5320425325636722E-2</v>
      </c>
      <c r="AA51" s="39">
        <f t="shared" si="8"/>
        <v>96048.37</v>
      </c>
      <c r="AB51" s="121">
        <f t="shared" si="9"/>
        <v>128521.97</v>
      </c>
      <c r="AC51" s="121">
        <f t="shared" si="10"/>
        <v>136240.79</v>
      </c>
      <c r="AD51" s="122">
        <f t="shared" si="6"/>
        <v>6.0058369786893301E-2</v>
      </c>
    </row>
    <row r="52" spans="1:32">
      <c r="A52" t="s">
        <v>108</v>
      </c>
      <c r="B52">
        <v>1</v>
      </c>
      <c r="C52" t="s">
        <v>121</v>
      </c>
      <c r="D52" t="s">
        <v>122</v>
      </c>
      <c r="E52" t="s">
        <v>30</v>
      </c>
      <c r="F52" t="s">
        <v>31</v>
      </c>
      <c r="G52" s="49">
        <v>39552.300000000003</v>
      </c>
      <c r="H52" s="49">
        <v>59683.88</v>
      </c>
      <c r="I52" s="49">
        <v>64613.24</v>
      </c>
      <c r="J52" s="50">
        <f t="shared" si="1"/>
        <v>8.2591145213749523E-2</v>
      </c>
      <c r="K52" s="49">
        <v>23299.38</v>
      </c>
      <c r="L52" s="49">
        <v>33218.65</v>
      </c>
      <c r="M52" s="49">
        <v>38232.49</v>
      </c>
      <c r="N52" s="50">
        <f t="shared" si="2"/>
        <v>0.15093449011323448</v>
      </c>
      <c r="O52" s="49">
        <v>3975862.52</v>
      </c>
      <c r="P52" s="49">
        <v>6145535.5999999996</v>
      </c>
      <c r="Q52" s="49">
        <v>7165153.6600000001</v>
      </c>
      <c r="R52" s="50">
        <f t="shared" si="3"/>
        <v>0.16591199308974805</v>
      </c>
      <c r="S52" s="49">
        <v>9046676.6300000008</v>
      </c>
      <c r="T52" s="49">
        <v>11426710.42</v>
      </c>
      <c r="U52" s="49">
        <v>17462730.07</v>
      </c>
      <c r="V52" s="50">
        <f t="shared" si="4"/>
        <v>0.52823773668362561</v>
      </c>
      <c r="W52" s="49">
        <v>731982.87</v>
      </c>
      <c r="X52" s="49">
        <v>900605.61</v>
      </c>
      <c r="Y52" s="49">
        <v>1176579.77</v>
      </c>
      <c r="Z52" s="50">
        <f t="shared" si="7"/>
        <v>0.30643175762584918</v>
      </c>
      <c r="AA52" s="39">
        <f t="shared" si="8"/>
        <v>13817373.700000001</v>
      </c>
      <c r="AB52" s="39">
        <f t="shared" si="9"/>
        <v>18565754.16</v>
      </c>
      <c r="AC52" s="39">
        <f t="shared" si="10"/>
        <v>25907309.23</v>
      </c>
      <c r="AD52" s="51">
        <f t="shared" si="6"/>
        <v>0.39543532714751839</v>
      </c>
    </row>
    <row r="53" spans="1:32">
      <c r="A53" t="s">
        <v>108</v>
      </c>
      <c r="B53">
        <v>0</v>
      </c>
      <c r="C53" t="s">
        <v>121</v>
      </c>
      <c r="D53" t="s">
        <v>122</v>
      </c>
      <c r="E53" t="s">
        <v>117</v>
      </c>
      <c r="F53" t="s">
        <v>56</v>
      </c>
      <c r="G53" s="49">
        <v>133068.82</v>
      </c>
      <c r="H53" s="49">
        <v>200778.35</v>
      </c>
      <c r="I53" s="49">
        <v>169792.45</v>
      </c>
      <c r="J53" s="50">
        <f t="shared" si="1"/>
        <v>-0.15432889054023999</v>
      </c>
      <c r="K53" s="49">
        <v>52919.76</v>
      </c>
      <c r="L53" s="49">
        <v>75436.42</v>
      </c>
      <c r="M53" s="49">
        <v>69378.28</v>
      </c>
      <c r="N53" s="50">
        <f t="shared" si="2"/>
        <v>-8.0307893720301143E-2</v>
      </c>
      <c r="O53" s="49">
        <v>10582598.140000001</v>
      </c>
      <c r="P53" s="49">
        <v>16357594.07</v>
      </c>
      <c r="Q53" s="49">
        <v>14627358.119999999</v>
      </c>
      <c r="R53" s="50">
        <f t="shared" si="3"/>
        <v>-0.10577569920097675</v>
      </c>
      <c r="S53" s="49">
        <v>25878577.75</v>
      </c>
      <c r="T53" s="49">
        <v>32686794.489999998</v>
      </c>
      <c r="U53" s="49">
        <v>31553214.510000002</v>
      </c>
      <c r="V53" s="50">
        <f t="shared" si="4"/>
        <v>-3.4680059567994574E-2</v>
      </c>
      <c r="W53" s="49">
        <v>1968904.84</v>
      </c>
      <c r="X53" s="49">
        <v>2422537.2599999998</v>
      </c>
      <c r="Y53" s="49">
        <v>2395295.75</v>
      </c>
      <c r="Z53" s="50">
        <f t="shared" si="7"/>
        <v>-1.1245032408706803E-2</v>
      </c>
      <c r="AA53" s="39">
        <f t="shared" si="8"/>
        <v>38616069.310000002</v>
      </c>
      <c r="AB53" s="39">
        <f t="shared" si="9"/>
        <v>51743140.589999996</v>
      </c>
      <c r="AC53" s="39">
        <f t="shared" si="10"/>
        <v>48815039.109999999</v>
      </c>
      <c r="AD53" s="51">
        <f t="shared" si="6"/>
        <v>-5.6589171948443512E-2</v>
      </c>
    </row>
    <row r="54" spans="1:32">
      <c r="A54" t="s">
        <v>108</v>
      </c>
      <c r="B54">
        <v>0</v>
      </c>
      <c r="C54" t="s">
        <v>121</v>
      </c>
      <c r="D54" t="s">
        <v>122</v>
      </c>
      <c r="E54" t="s">
        <v>118</v>
      </c>
      <c r="F54" t="s">
        <v>61</v>
      </c>
      <c r="G54" s="49">
        <v>221779.26</v>
      </c>
      <c r="H54" s="49">
        <v>334657.08</v>
      </c>
      <c r="I54" s="49">
        <v>333700.34999999998</v>
      </c>
      <c r="J54" s="50">
        <f t="shared" si="1"/>
        <v>-2.8588368726579446E-3</v>
      </c>
      <c r="K54" s="49">
        <v>139394.57999999999</v>
      </c>
      <c r="L54" s="49">
        <v>198734.74</v>
      </c>
      <c r="M54" s="49">
        <v>216881.38</v>
      </c>
      <c r="N54" s="50">
        <f t="shared" si="2"/>
        <v>9.1310859892940785E-2</v>
      </c>
      <c r="O54" s="49">
        <v>23924686.359999999</v>
      </c>
      <c r="P54" s="49">
        <v>36980632.229999997</v>
      </c>
      <c r="Q54" s="49">
        <v>32793729.649999999</v>
      </c>
      <c r="R54" s="50">
        <f t="shared" si="3"/>
        <v>-0.11321879393407003</v>
      </c>
      <c r="S54" s="49">
        <v>41262935.25</v>
      </c>
      <c r="T54" s="49">
        <v>52118533.789999999</v>
      </c>
      <c r="U54" s="49">
        <v>50070783.640000001</v>
      </c>
      <c r="V54" s="50">
        <f t="shared" si="4"/>
        <v>-3.929024861387987E-2</v>
      </c>
      <c r="W54" s="49">
        <v>908977.78</v>
      </c>
      <c r="X54" s="49">
        <v>1118428.55</v>
      </c>
      <c r="Y54" s="49">
        <v>1166133.81</v>
      </c>
      <c r="Z54" s="50">
        <f t="shared" si="7"/>
        <v>4.2653828892332914E-2</v>
      </c>
      <c r="AA54" s="39">
        <f t="shared" si="8"/>
        <v>66457773.230000004</v>
      </c>
      <c r="AB54" s="39">
        <f t="shared" si="9"/>
        <v>90750986.390000001</v>
      </c>
      <c r="AC54" s="39">
        <f t="shared" si="10"/>
        <v>84581228.829999998</v>
      </c>
      <c r="AD54" s="51">
        <f t="shared" si="6"/>
        <v>-6.7985570244775417E-2</v>
      </c>
    </row>
    <row r="55" spans="1:32">
      <c r="A55" t="s">
        <v>108</v>
      </c>
      <c r="B55">
        <v>0</v>
      </c>
      <c r="C55" t="s">
        <v>121</v>
      </c>
      <c r="D55" t="s">
        <v>122</v>
      </c>
      <c r="E55" t="s">
        <v>138</v>
      </c>
      <c r="F55" t="s">
        <v>31</v>
      </c>
      <c r="G55">
        <v>0</v>
      </c>
      <c r="H55">
        <v>0</v>
      </c>
      <c r="I55">
        <v>0</v>
      </c>
      <c r="J55" s="50" t="e">
        <f t="shared" si="1"/>
        <v>#DIV/0!</v>
      </c>
      <c r="K55">
        <v>0</v>
      </c>
      <c r="L55">
        <v>0</v>
      </c>
      <c r="M55">
        <v>0</v>
      </c>
      <c r="N55" s="50" t="e">
        <f t="shared" si="2"/>
        <v>#DIV/0!</v>
      </c>
      <c r="O55">
        <v>0</v>
      </c>
      <c r="P55">
        <v>0</v>
      </c>
      <c r="Q55">
        <v>0</v>
      </c>
      <c r="R55" s="50" t="e">
        <f t="shared" si="3"/>
        <v>#DIV/0!</v>
      </c>
      <c r="S55">
        <v>0</v>
      </c>
      <c r="T55">
        <v>0</v>
      </c>
      <c r="U55">
        <v>0</v>
      </c>
      <c r="V55" s="50" t="e">
        <f t="shared" si="4"/>
        <v>#DIV/0!</v>
      </c>
      <c r="W55">
        <v>0</v>
      </c>
      <c r="X55">
        <v>0</v>
      </c>
      <c r="Y55">
        <v>0</v>
      </c>
      <c r="Z55" s="50" t="e">
        <f t="shared" si="7"/>
        <v>#DIV/0!</v>
      </c>
      <c r="AA55" s="39">
        <f t="shared" si="8"/>
        <v>0</v>
      </c>
      <c r="AB55" s="39">
        <f t="shared" si="9"/>
        <v>0</v>
      </c>
      <c r="AC55" s="39">
        <f t="shared" si="10"/>
        <v>0</v>
      </c>
      <c r="AD55" s="51" t="e">
        <f t="shared" si="6"/>
        <v>#DIV/0!</v>
      </c>
    </row>
    <row r="56" spans="1:32">
      <c r="A56" t="s">
        <v>108</v>
      </c>
      <c r="B56">
        <v>0</v>
      </c>
      <c r="C56" t="s">
        <v>121</v>
      </c>
      <c r="D56" t="s">
        <v>122</v>
      </c>
      <c r="E56" t="s">
        <v>139</v>
      </c>
      <c r="F56" t="s">
        <v>31</v>
      </c>
      <c r="G56">
        <v>0</v>
      </c>
      <c r="H56">
        <v>0</v>
      </c>
      <c r="I56">
        <v>0</v>
      </c>
      <c r="J56" s="50" t="e">
        <f t="shared" si="1"/>
        <v>#DIV/0!</v>
      </c>
      <c r="K56">
        <v>0</v>
      </c>
      <c r="L56">
        <v>0</v>
      </c>
      <c r="M56">
        <v>0</v>
      </c>
      <c r="N56" s="50" t="e">
        <f t="shared" si="2"/>
        <v>#DIV/0!</v>
      </c>
      <c r="O56">
        <v>0</v>
      </c>
      <c r="P56">
        <v>0</v>
      </c>
      <c r="Q56">
        <v>0</v>
      </c>
      <c r="R56" s="50" t="e">
        <f t="shared" si="3"/>
        <v>#DIV/0!</v>
      </c>
      <c r="S56">
        <v>0</v>
      </c>
      <c r="T56">
        <v>0</v>
      </c>
      <c r="U56">
        <v>0</v>
      </c>
      <c r="V56" s="50" t="e">
        <f t="shared" si="4"/>
        <v>#DIV/0!</v>
      </c>
      <c r="W56">
        <v>0</v>
      </c>
      <c r="X56">
        <v>0</v>
      </c>
      <c r="Y56">
        <v>0</v>
      </c>
      <c r="Z56" s="50" t="e">
        <f t="shared" si="7"/>
        <v>#DIV/0!</v>
      </c>
      <c r="AA56" s="39">
        <f t="shared" si="8"/>
        <v>0</v>
      </c>
      <c r="AB56" s="39">
        <f t="shared" si="9"/>
        <v>0</v>
      </c>
      <c r="AC56" s="39">
        <f t="shared" si="10"/>
        <v>0</v>
      </c>
      <c r="AD56" s="51" t="e">
        <f t="shared" si="6"/>
        <v>#DIV/0!</v>
      </c>
    </row>
    <row r="57" spans="1:32" s="120" customFormat="1">
      <c r="A57" s="120" t="s">
        <v>108</v>
      </c>
      <c r="B57" s="120">
        <v>0</v>
      </c>
      <c r="C57" s="120" t="s">
        <v>121</v>
      </c>
      <c r="D57" s="120" t="s">
        <v>122</v>
      </c>
      <c r="E57" s="120" t="s">
        <v>140</v>
      </c>
      <c r="F57" s="120" t="s">
        <v>31</v>
      </c>
      <c r="G57" s="49">
        <v>307953.40000000002</v>
      </c>
      <c r="H57" s="49">
        <v>464699.47</v>
      </c>
      <c r="I57" s="49">
        <v>469061.37</v>
      </c>
      <c r="J57" s="50">
        <f t="shared" si="1"/>
        <v>9.3864966103792274E-3</v>
      </c>
      <c r="K57" s="49">
        <v>183559.79</v>
      </c>
      <c r="L57" s="49">
        <v>261709</v>
      </c>
      <c r="M57" s="49">
        <v>281383.73</v>
      </c>
      <c r="N57" s="50">
        <f t="shared" si="2"/>
        <v>7.5177888418052036E-2</v>
      </c>
      <c r="O57" s="49">
        <v>26709719.289999999</v>
      </c>
      <c r="P57" s="49">
        <v>41285522.439999998</v>
      </c>
      <c r="Q57" s="49">
        <v>49270125.350000001</v>
      </c>
      <c r="R57" s="50">
        <f t="shared" si="3"/>
        <v>0.19339958508709632</v>
      </c>
      <c r="S57" s="49">
        <v>64271992.789999999</v>
      </c>
      <c r="T57" s="49">
        <v>81180908.950000003</v>
      </c>
      <c r="U57" s="49">
        <v>120930616.45</v>
      </c>
      <c r="V57" s="50">
        <f t="shared" si="4"/>
        <v>0.48964353829152341</v>
      </c>
      <c r="W57" s="49">
        <v>5748517.6600000001</v>
      </c>
      <c r="X57" s="49">
        <v>7072770.1399999997</v>
      </c>
      <c r="Y57" s="49">
        <v>9591260.9000000004</v>
      </c>
      <c r="Z57" s="50">
        <f t="shared" si="7"/>
        <v>0.35608265363477526</v>
      </c>
      <c r="AA57" s="39">
        <f t="shared" si="8"/>
        <v>97221742.929999992</v>
      </c>
      <c r="AB57" s="121">
        <f t="shared" si="9"/>
        <v>130265610</v>
      </c>
      <c r="AC57" s="121">
        <f t="shared" si="10"/>
        <v>180542447.80000001</v>
      </c>
      <c r="AD57" s="122">
        <f t="shared" si="6"/>
        <v>0.38595633797746015</v>
      </c>
    </row>
    <row r="58" spans="1:32" s="120" customFormat="1">
      <c r="A58" s="120" t="s">
        <v>108</v>
      </c>
      <c r="B58" s="120">
        <v>0</v>
      </c>
      <c r="C58" s="120" t="s">
        <v>121</v>
      </c>
      <c r="D58" s="120" t="s">
        <v>122</v>
      </c>
      <c r="E58" s="120" t="s">
        <v>141</v>
      </c>
      <c r="F58" s="120" t="s">
        <v>31</v>
      </c>
      <c r="G58" s="49">
        <v>446783.75</v>
      </c>
      <c r="H58" s="49">
        <v>674384.58</v>
      </c>
      <c r="I58" s="49">
        <v>597409.86</v>
      </c>
      <c r="J58" s="50">
        <f t="shared" si="1"/>
        <v>-0.11414068809224549</v>
      </c>
      <c r="K58" s="49">
        <v>296873.12</v>
      </c>
      <c r="L58" s="49">
        <v>423441.95</v>
      </c>
      <c r="M58" s="49">
        <v>398215.76</v>
      </c>
      <c r="N58" s="50">
        <f t="shared" si="2"/>
        <v>-5.9574139973613861E-2</v>
      </c>
      <c r="O58" s="49">
        <v>55121570.090000004</v>
      </c>
      <c r="P58" s="49">
        <v>85202513.780000001</v>
      </c>
      <c r="Q58" s="49">
        <v>82438408.379999995</v>
      </c>
      <c r="R58" s="50">
        <f t="shared" si="3"/>
        <v>-3.2441594471463095E-2</v>
      </c>
      <c r="S58" s="49">
        <v>156990515.44999999</v>
      </c>
      <c r="T58" s="49">
        <v>198292349.84</v>
      </c>
      <c r="U58" s="49">
        <v>212813004.5</v>
      </c>
      <c r="V58" s="50">
        <f t="shared" si="4"/>
        <v>7.3228516741652205E-2</v>
      </c>
      <c r="W58" s="49">
        <v>14376449.35</v>
      </c>
      <c r="X58" s="49">
        <v>17687490.77</v>
      </c>
      <c r="Y58" s="49">
        <v>18490986.68</v>
      </c>
      <c r="Z58" s="50">
        <f t="shared" si="7"/>
        <v>4.542735430640172E-2</v>
      </c>
      <c r="AA58" s="39">
        <f t="shared" si="8"/>
        <v>227232191.75999999</v>
      </c>
      <c r="AB58" s="121">
        <f t="shared" si="9"/>
        <v>302280180.91999996</v>
      </c>
      <c r="AC58" s="121">
        <f t="shared" si="10"/>
        <v>314738025.18000001</v>
      </c>
      <c r="AD58" s="122">
        <f t="shared" si="6"/>
        <v>4.1212904604212487E-2</v>
      </c>
    </row>
    <row r="59" spans="1:32" s="120" customFormat="1">
      <c r="A59" s="120" t="s">
        <v>108</v>
      </c>
      <c r="B59" s="120">
        <v>0</v>
      </c>
      <c r="C59" s="120" t="s">
        <v>121</v>
      </c>
      <c r="D59" s="120" t="s">
        <v>122</v>
      </c>
      <c r="E59" s="120" t="s">
        <v>142</v>
      </c>
      <c r="F59" s="120" t="s">
        <v>143</v>
      </c>
      <c r="G59" s="49">
        <v>3870080.76</v>
      </c>
      <c r="H59" s="49">
        <v>5839306.8200000003</v>
      </c>
      <c r="I59" s="49">
        <v>5029872.91</v>
      </c>
      <c r="J59" s="50">
        <f t="shared" si="1"/>
        <v>-0.13861815022763269</v>
      </c>
      <c r="K59" s="49">
        <v>2303943.7799999998</v>
      </c>
      <c r="L59" s="49">
        <v>3284247.9</v>
      </c>
      <c r="M59" s="49">
        <v>3064386.5</v>
      </c>
      <c r="N59" s="50">
        <f t="shared" si="2"/>
        <v>-6.6944215751801164E-2</v>
      </c>
      <c r="O59" s="49">
        <v>460298028.54000002</v>
      </c>
      <c r="P59" s="49">
        <v>711485819.82000005</v>
      </c>
      <c r="Q59" s="49">
        <v>637652507.24000001</v>
      </c>
      <c r="R59" s="50">
        <f t="shared" si="3"/>
        <v>-0.10377341406281189</v>
      </c>
      <c r="S59" s="49">
        <v>1098741403.3399999</v>
      </c>
      <c r="T59" s="49">
        <v>1387801699.9100001</v>
      </c>
      <c r="U59" s="49">
        <v>1360443492.75</v>
      </c>
      <c r="V59" s="50">
        <f t="shared" si="4"/>
        <v>-1.9713340286133304E-2</v>
      </c>
      <c r="W59" s="49">
        <v>84597212.689999998</v>
      </c>
      <c r="X59" s="49">
        <v>104088289.83</v>
      </c>
      <c r="Y59" s="49">
        <v>104087070.45</v>
      </c>
      <c r="Z59" s="50">
        <f t="shared" si="7"/>
        <v>-1.1714862469032378E-5</v>
      </c>
      <c r="AA59" s="39">
        <f t="shared" si="8"/>
        <v>1649810669.1100001</v>
      </c>
      <c r="AB59" s="121">
        <f t="shared" si="9"/>
        <v>2212499364.2800002</v>
      </c>
      <c r="AC59" s="121">
        <f t="shared" si="10"/>
        <v>2110277329.8500001</v>
      </c>
      <c r="AD59" s="122">
        <f t="shared" si="6"/>
        <v>-4.6202062735175312E-2</v>
      </c>
      <c r="AE59" s="120">
        <f>AB59/AB49</f>
        <v>1821.188451111826</v>
      </c>
      <c r="AF59" s="120">
        <f>AC59/AC49</f>
        <v>1900.7474295566817</v>
      </c>
    </row>
    <row r="60" spans="1:32">
      <c r="A60" t="s">
        <v>108</v>
      </c>
      <c r="B60">
        <v>0</v>
      </c>
      <c r="C60" t="s">
        <v>121</v>
      </c>
      <c r="D60" t="s">
        <v>122</v>
      </c>
      <c r="E60" t="s">
        <v>22</v>
      </c>
      <c r="F60" t="s">
        <v>119</v>
      </c>
      <c r="G60" s="49">
        <v>4006050.32</v>
      </c>
      <c r="H60" s="49">
        <v>6044477</v>
      </c>
      <c r="I60" s="49">
        <v>5063541.3899999997</v>
      </c>
      <c r="J60" s="50">
        <f t="shared" si="1"/>
        <v>-0.16228626728168546</v>
      </c>
      <c r="K60" s="49">
        <v>1653374.92</v>
      </c>
      <c r="L60" s="49">
        <v>2356889.64</v>
      </c>
      <c r="M60" s="49">
        <v>2218971.2999999998</v>
      </c>
      <c r="N60" s="50">
        <f t="shared" si="2"/>
        <v>-5.8517097134849434E-2</v>
      </c>
      <c r="O60" s="49">
        <v>328150356.72000003</v>
      </c>
      <c r="P60" s="49">
        <v>507224315.38999999</v>
      </c>
      <c r="Q60" s="49">
        <v>454617325.85000002</v>
      </c>
      <c r="R60" s="50">
        <f t="shared" si="3"/>
        <v>-0.10371543308122155</v>
      </c>
      <c r="S60" s="49">
        <v>786070186.74000001</v>
      </c>
      <c r="T60" s="49">
        <v>992871991.87</v>
      </c>
      <c r="U60" s="49">
        <v>964656794.04999995</v>
      </c>
      <c r="V60" s="50">
        <f t="shared" si="4"/>
        <v>-2.8417759843198762E-2</v>
      </c>
      <c r="W60" s="49">
        <v>57497081.189999998</v>
      </c>
      <c r="X60" s="49">
        <v>70744337.609999999</v>
      </c>
      <c r="Y60" s="49">
        <v>70313064.379999995</v>
      </c>
      <c r="Z60" s="50">
        <f t="shared" si="7"/>
        <v>-6.0962226033909736E-3</v>
      </c>
      <c r="AA60" s="39">
        <f t="shared" si="8"/>
        <v>1177377049.8900001</v>
      </c>
      <c r="AB60" s="39">
        <f t="shared" si="9"/>
        <v>1579242011.51</v>
      </c>
      <c r="AC60" s="39">
        <f t="shared" si="10"/>
        <v>1496869696.9699998</v>
      </c>
      <c r="AD60" s="51">
        <f t="shared" si="6"/>
        <v>-5.2159399217881437E-2</v>
      </c>
    </row>
    <row r="61" spans="1:32">
      <c r="A61" t="s">
        <v>108</v>
      </c>
      <c r="B61">
        <v>0</v>
      </c>
      <c r="C61" t="s">
        <v>121</v>
      </c>
      <c r="D61" t="s">
        <v>122</v>
      </c>
      <c r="E61" t="s">
        <v>144</v>
      </c>
      <c r="F61" t="s">
        <v>119</v>
      </c>
      <c r="G61" s="49">
        <v>2111198.16</v>
      </c>
      <c r="H61" s="49">
        <v>3185782.84</v>
      </c>
      <c r="I61" s="49">
        <v>2626281.15</v>
      </c>
      <c r="J61" s="50">
        <f t="shared" si="1"/>
        <v>-0.17562455386946588</v>
      </c>
      <c r="K61" s="49">
        <v>936271.9</v>
      </c>
      <c r="L61" s="49">
        <v>1334882.71</v>
      </c>
      <c r="M61" s="49">
        <v>1272798.93</v>
      </c>
      <c r="N61" s="50">
        <f t="shared" si="2"/>
        <v>-4.6508790274165761E-2</v>
      </c>
      <c r="O61" s="49">
        <v>166373247.80000001</v>
      </c>
      <c r="P61" s="49">
        <v>257165055.94999999</v>
      </c>
      <c r="Q61" s="49">
        <v>238245508.06999999</v>
      </c>
      <c r="R61" s="50">
        <f t="shared" si="3"/>
        <v>-7.356966835991309E-2</v>
      </c>
      <c r="S61" s="49">
        <v>440381776.63</v>
      </c>
      <c r="T61" s="49">
        <v>556239060.91999996</v>
      </c>
      <c r="U61" s="49">
        <v>517726163.25999999</v>
      </c>
      <c r="V61" s="50">
        <f t="shared" si="4"/>
        <v>-6.923803156919793E-2</v>
      </c>
      <c r="W61" s="49">
        <v>29629879.030000001</v>
      </c>
      <c r="X61" s="49">
        <v>36455541.43</v>
      </c>
      <c r="Y61" s="49">
        <v>35610848.549999997</v>
      </c>
      <c r="Z61" s="50">
        <f t="shared" si="7"/>
        <v>-2.3170493342471329E-2</v>
      </c>
      <c r="AA61" s="39">
        <f t="shared" si="8"/>
        <v>639432373.51999998</v>
      </c>
      <c r="AB61" s="39">
        <f t="shared" si="9"/>
        <v>854380323.8499999</v>
      </c>
      <c r="AC61" s="39">
        <f t="shared" si="10"/>
        <v>795481599.95999992</v>
      </c>
      <c r="AD61" s="51">
        <f t="shared" si="6"/>
        <v>-6.8937359915536386E-2</v>
      </c>
    </row>
    <row r="62" spans="1:32">
      <c r="A62" t="s">
        <v>108</v>
      </c>
      <c r="B62">
        <v>0</v>
      </c>
      <c r="C62" t="s">
        <v>121</v>
      </c>
      <c r="D62" t="s">
        <v>122</v>
      </c>
      <c r="E62" t="s">
        <v>145</v>
      </c>
      <c r="F62" t="s">
        <v>119</v>
      </c>
      <c r="G62" s="49">
        <v>318950.98</v>
      </c>
      <c r="H62" s="49">
        <v>480842.76</v>
      </c>
      <c r="I62" s="49">
        <v>407878.45</v>
      </c>
      <c r="J62" s="50">
        <f t="shared" si="1"/>
        <v>-0.15174255717191207</v>
      </c>
      <c r="K62" s="49">
        <v>82198.3</v>
      </c>
      <c r="L62" s="49">
        <v>116904.26</v>
      </c>
      <c r="M62" s="49">
        <v>108219.84</v>
      </c>
      <c r="N62" s="50">
        <f t="shared" si="2"/>
        <v>-7.4286599992164512E-2</v>
      </c>
      <c r="O62" s="49">
        <v>21498278.199999999</v>
      </c>
      <c r="P62" s="49">
        <v>33229123.41</v>
      </c>
      <c r="Q62" s="49">
        <v>27448967.890000001</v>
      </c>
      <c r="R62" s="50">
        <f t="shared" si="3"/>
        <v>-0.17394848033398663</v>
      </c>
      <c r="S62" s="49">
        <v>19260940.129999999</v>
      </c>
      <c r="T62" s="49">
        <v>24327845.030000001</v>
      </c>
      <c r="U62" s="49">
        <v>25373931.289999999</v>
      </c>
      <c r="V62" s="50">
        <f t="shared" si="4"/>
        <v>4.2999544707310142E-2</v>
      </c>
      <c r="W62" s="49">
        <v>1095265.1200000001</v>
      </c>
      <c r="X62" s="49">
        <v>1348970.6</v>
      </c>
      <c r="Y62" s="49">
        <v>1426735.61</v>
      </c>
      <c r="Z62" s="50">
        <f t="shared" si="7"/>
        <v>5.7647668525911536E-2</v>
      </c>
      <c r="AA62" s="39">
        <f t="shared" si="8"/>
        <v>42255632.729999997</v>
      </c>
      <c r="AB62" s="39">
        <f t="shared" si="9"/>
        <v>59503686.060000002</v>
      </c>
      <c r="AC62" s="39">
        <f t="shared" si="10"/>
        <v>54765733.079999998</v>
      </c>
      <c r="AD62" s="51">
        <f t="shared" si="6"/>
        <v>-7.9624529062326199E-2</v>
      </c>
    </row>
    <row r="63" spans="1:32">
      <c r="A63" t="s">
        <v>108</v>
      </c>
      <c r="B63">
        <v>0</v>
      </c>
      <c r="C63" t="s">
        <v>121</v>
      </c>
      <c r="D63" t="s">
        <v>122</v>
      </c>
      <c r="E63" t="s">
        <v>146</v>
      </c>
      <c r="F63" t="s">
        <v>119</v>
      </c>
      <c r="G63">
        <v>0</v>
      </c>
      <c r="H63">
        <v>0</v>
      </c>
      <c r="I63">
        <v>0</v>
      </c>
      <c r="J63" s="50" t="e">
        <f t="shared" si="1"/>
        <v>#DIV/0!</v>
      </c>
      <c r="K63">
        <v>0</v>
      </c>
      <c r="L63">
        <v>0</v>
      </c>
      <c r="M63">
        <v>0</v>
      </c>
      <c r="N63" s="50" t="e">
        <f t="shared" si="2"/>
        <v>#DIV/0!</v>
      </c>
      <c r="O63">
        <v>0</v>
      </c>
      <c r="P63">
        <v>0</v>
      </c>
      <c r="Q63">
        <v>0</v>
      </c>
      <c r="R63" s="50" t="e">
        <f t="shared" si="3"/>
        <v>#DIV/0!</v>
      </c>
      <c r="S63">
        <v>0</v>
      </c>
      <c r="T63">
        <v>0</v>
      </c>
      <c r="U63">
        <v>0</v>
      </c>
      <c r="V63" s="50" t="e">
        <f t="shared" si="4"/>
        <v>#DIV/0!</v>
      </c>
      <c r="W63">
        <v>0</v>
      </c>
      <c r="X63">
        <v>0</v>
      </c>
      <c r="Y63">
        <v>0</v>
      </c>
      <c r="Z63" s="50" t="e">
        <f t="shared" si="7"/>
        <v>#DIV/0!</v>
      </c>
      <c r="AA63" s="39">
        <f t="shared" si="8"/>
        <v>0</v>
      </c>
      <c r="AB63" s="39">
        <f t="shared" si="9"/>
        <v>0</v>
      </c>
      <c r="AC63" s="39">
        <f t="shared" si="10"/>
        <v>0</v>
      </c>
      <c r="AD63" s="51" t="e">
        <f t="shared" si="6"/>
        <v>#DIV/0!</v>
      </c>
    </row>
    <row r="64" spans="1:32">
      <c r="A64" t="s">
        <v>108</v>
      </c>
      <c r="B64">
        <v>0</v>
      </c>
      <c r="C64" t="s">
        <v>121</v>
      </c>
      <c r="D64" t="s">
        <v>122</v>
      </c>
      <c r="E64" t="s">
        <v>147</v>
      </c>
      <c r="F64" t="s">
        <v>119</v>
      </c>
      <c r="G64">
        <v>0</v>
      </c>
      <c r="H64">
        <v>0</v>
      </c>
      <c r="I64">
        <v>0</v>
      </c>
      <c r="J64" s="50" t="e">
        <f t="shared" si="1"/>
        <v>#DIV/0!</v>
      </c>
      <c r="K64">
        <v>0</v>
      </c>
      <c r="L64">
        <v>0</v>
      </c>
      <c r="M64">
        <v>0</v>
      </c>
      <c r="N64" s="50" t="e">
        <f t="shared" si="2"/>
        <v>#DIV/0!</v>
      </c>
      <c r="O64">
        <v>0</v>
      </c>
      <c r="P64">
        <v>0</v>
      </c>
      <c r="Q64">
        <v>0</v>
      </c>
      <c r="R64" s="50" t="e">
        <f t="shared" si="3"/>
        <v>#DIV/0!</v>
      </c>
      <c r="S64">
        <v>0</v>
      </c>
      <c r="T64">
        <v>0</v>
      </c>
      <c r="U64">
        <v>0</v>
      </c>
      <c r="V64" s="50" t="e">
        <f t="shared" si="4"/>
        <v>#DIV/0!</v>
      </c>
      <c r="W64">
        <v>0</v>
      </c>
      <c r="X64">
        <v>0</v>
      </c>
      <c r="Y64">
        <v>0</v>
      </c>
      <c r="Z64" s="50" t="e">
        <f t="shared" si="7"/>
        <v>#DIV/0!</v>
      </c>
      <c r="AA64" s="39">
        <f t="shared" si="8"/>
        <v>0</v>
      </c>
      <c r="AB64" s="39">
        <f t="shared" si="9"/>
        <v>0</v>
      </c>
      <c r="AC64" s="39">
        <f t="shared" si="10"/>
        <v>0</v>
      </c>
      <c r="AD64" s="51" t="e">
        <f t="shared" si="6"/>
        <v>#DIV/0!</v>
      </c>
    </row>
    <row r="65" spans="1:30">
      <c r="A65" t="s">
        <v>108</v>
      </c>
      <c r="B65">
        <v>0</v>
      </c>
      <c r="C65" t="s">
        <v>121</v>
      </c>
      <c r="D65" t="s">
        <v>122</v>
      </c>
      <c r="E65" t="s">
        <v>148</v>
      </c>
      <c r="F65" t="s">
        <v>119</v>
      </c>
      <c r="G65" s="49">
        <v>325562.23</v>
      </c>
      <c r="H65" s="49">
        <v>491271.06</v>
      </c>
      <c r="I65" s="49">
        <v>487646.85</v>
      </c>
      <c r="J65" s="50">
        <f t="shared" si="1"/>
        <v>-7.3772104548556578E-3</v>
      </c>
      <c r="K65" s="49">
        <v>136009.82999999999</v>
      </c>
      <c r="L65" s="49">
        <v>193915.01</v>
      </c>
      <c r="M65" s="49">
        <v>208369.35</v>
      </c>
      <c r="N65" s="50">
        <f t="shared" si="2"/>
        <v>7.4539562460894576E-2</v>
      </c>
      <c r="O65" s="49">
        <v>19786942.329999998</v>
      </c>
      <c r="P65" s="49">
        <v>30584905.920000002</v>
      </c>
      <c r="Q65" s="49">
        <v>36497955.969999999</v>
      </c>
      <c r="R65" s="50">
        <f t="shared" si="3"/>
        <v>0.19333229487337905</v>
      </c>
      <c r="S65" s="49">
        <v>47629171.490000002</v>
      </c>
      <c r="T65" s="49">
        <v>60159632</v>
      </c>
      <c r="U65" s="49">
        <v>89582068.060000002</v>
      </c>
      <c r="V65" s="50">
        <f t="shared" si="4"/>
        <v>0.48907274000612244</v>
      </c>
      <c r="W65" s="49">
        <v>3911689.53</v>
      </c>
      <c r="X65" s="49">
        <v>4812802.6399999997</v>
      </c>
      <c r="Y65" s="49">
        <v>6523025</v>
      </c>
      <c r="Z65" s="50">
        <f t="shared" si="7"/>
        <v>0.35534853346905587</v>
      </c>
      <c r="AA65" s="39">
        <f t="shared" si="8"/>
        <v>71789375.409999996</v>
      </c>
      <c r="AB65" s="39">
        <f t="shared" si="9"/>
        <v>96242526.63000001</v>
      </c>
      <c r="AC65" s="39">
        <f t="shared" si="10"/>
        <v>133299065.23</v>
      </c>
      <c r="AD65" s="51">
        <f t="shared" si="6"/>
        <v>0.38503289447566313</v>
      </c>
    </row>
    <row r="66" spans="1:30">
      <c r="A66" t="s">
        <v>108</v>
      </c>
      <c r="B66">
        <v>0</v>
      </c>
      <c r="C66" t="s">
        <v>121</v>
      </c>
      <c r="D66" t="s">
        <v>122</v>
      </c>
      <c r="E66" t="s">
        <v>149</v>
      </c>
      <c r="F66" t="s">
        <v>119</v>
      </c>
      <c r="G66" s="49">
        <v>471995.69</v>
      </c>
      <c r="H66" s="49">
        <v>712439.99</v>
      </c>
      <c r="I66" s="49">
        <v>620754.31999999995</v>
      </c>
      <c r="J66" s="50">
        <f t="shared" si="1"/>
        <v>-0.12869248117304594</v>
      </c>
      <c r="K66" s="49">
        <v>219796.55</v>
      </c>
      <c r="L66" s="49">
        <v>313504.57</v>
      </c>
      <c r="M66" s="49">
        <v>294579.78999999998</v>
      </c>
      <c r="N66" s="50">
        <f t="shared" si="2"/>
        <v>-6.0365244436468748E-2</v>
      </c>
      <c r="O66" s="49">
        <v>40818859.659999996</v>
      </c>
      <c r="P66" s="49">
        <v>63094528.090000004</v>
      </c>
      <c r="Q66" s="49">
        <v>61027331.840000004</v>
      </c>
      <c r="R66" s="50">
        <f t="shared" si="3"/>
        <v>-3.2763479061944753E-2</v>
      </c>
      <c r="S66" s="49">
        <v>116286137.28</v>
      </c>
      <c r="T66" s="49">
        <v>146879264.31999999</v>
      </c>
      <c r="U66" s="49">
        <v>157539340.43000001</v>
      </c>
      <c r="V66" s="50">
        <f t="shared" si="4"/>
        <v>7.2577134419568798E-2</v>
      </c>
      <c r="W66" s="49">
        <v>9780025.8499999996</v>
      </c>
      <c r="X66" s="49">
        <v>12032464.529999999</v>
      </c>
      <c r="Y66" s="49">
        <v>12570351.390000001</v>
      </c>
      <c r="Z66" s="50">
        <f t="shared" si="7"/>
        <v>4.470296659997728E-2</v>
      </c>
      <c r="AA66" s="39">
        <f t="shared" si="8"/>
        <v>167576815.03</v>
      </c>
      <c r="AB66" s="39">
        <f t="shared" ref="AB66:AB75" si="11">H66+L66+P66+T66+X66</f>
        <v>223032201.5</v>
      </c>
      <c r="AC66" s="39">
        <f t="shared" ref="AC66:AC75" si="12">I66+M66+Q66+U66+Y66</f>
        <v>232052357.76999998</v>
      </c>
      <c r="AD66" s="51">
        <f t="shared" si="6"/>
        <v>4.0443291189949451E-2</v>
      </c>
    </row>
    <row r="67" spans="1:30">
      <c r="A67" t="s">
        <v>108</v>
      </c>
      <c r="B67">
        <v>0</v>
      </c>
      <c r="C67" t="s">
        <v>121</v>
      </c>
      <c r="D67" t="s">
        <v>122</v>
      </c>
      <c r="E67" t="s">
        <v>150</v>
      </c>
      <c r="F67" t="s">
        <v>119</v>
      </c>
      <c r="G67" s="49">
        <v>514384.07</v>
      </c>
      <c r="H67" s="49">
        <v>776201.86</v>
      </c>
      <c r="I67" s="49">
        <v>583765.61</v>
      </c>
      <c r="J67" s="50">
        <f t="shared" ref="J67:J75" si="13">(I67-H67)/H67</f>
        <v>-0.24792036700350087</v>
      </c>
      <c r="K67" s="49">
        <v>211128.1</v>
      </c>
      <c r="L67" s="49">
        <v>301014.32</v>
      </c>
      <c r="M67" s="49">
        <v>246005.21</v>
      </c>
      <c r="N67" s="50">
        <f t="shared" ref="N67:N75" si="14">(M67-L67)/L67</f>
        <v>-0.18274582418537436</v>
      </c>
      <c r="O67" s="49">
        <v>62264969.020000003</v>
      </c>
      <c r="P67" s="49">
        <v>96243683.719999999</v>
      </c>
      <c r="Q67" s="49">
        <v>69477973.459999993</v>
      </c>
      <c r="R67" s="50">
        <f t="shared" ref="R67:R75" si="15">(Q67-P67)/P67</f>
        <v>-0.27810355158338496</v>
      </c>
      <c r="S67" s="49">
        <v>146507216.91</v>
      </c>
      <c r="T67" s="49">
        <v>185050883.28999999</v>
      </c>
      <c r="U67" s="49">
        <v>154596625.24000001</v>
      </c>
      <c r="V67" s="50">
        <f t="shared" ref="V67:V69" si="16">(U67-T67)/T67</f>
        <v>-0.16457234631122514</v>
      </c>
      <c r="W67" s="49">
        <v>12199400.91</v>
      </c>
      <c r="X67" s="49">
        <v>15009705.73</v>
      </c>
      <c r="Y67" s="49">
        <v>13056133.800000001</v>
      </c>
      <c r="Z67" s="50">
        <f t="shared" ref="Z67:Z69" si="17">(Y67-X67)/X67</f>
        <v>-0.13015391275095969</v>
      </c>
      <c r="AA67" s="39">
        <f t="shared" si="8"/>
        <v>221697099.00999999</v>
      </c>
      <c r="AB67" s="39">
        <f t="shared" si="11"/>
        <v>297381488.92000002</v>
      </c>
      <c r="AC67" s="39">
        <f t="shared" si="12"/>
        <v>237960503.31999999</v>
      </c>
      <c r="AD67" s="51">
        <f t="shared" ref="AD67:AD75" si="18">(AC67-AB67)/AB67</f>
        <v>-0.19981400259915014</v>
      </c>
    </row>
    <row r="68" spans="1:30">
      <c r="A68" t="s">
        <v>108</v>
      </c>
      <c r="B68">
        <v>0</v>
      </c>
      <c r="C68" t="s">
        <v>121</v>
      </c>
      <c r="D68" t="s">
        <v>122</v>
      </c>
      <c r="E68" t="s">
        <v>151</v>
      </c>
      <c r="F68" t="s">
        <v>119</v>
      </c>
      <c r="G68" s="49">
        <v>263959.19</v>
      </c>
      <c r="H68" s="49">
        <v>397938.48</v>
      </c>
      <c r="I68" s="49">
        <v>337215.02</v>
      </c>
      <c r="J68" s="50">
        <f t="shared" si="13"/>
        <v>-0.15259509459854187</v>
      </c>
      <c r="K68" s="49">
        <v>67970.23</v>
      </c>
      <c r="L68" s="49">
        <v>96668.78</v>
      </c>
      <c r="M68" s="49">
        <v>88998.19</v>
      </c>
      <c r="N68" s="50">
        <f t="shared" si="14"/>
        <v>-7.9349196296880919E-2</v>
      </c>
      <c r="O68" s="49">
        <v>17408059.719999999</v>
      </c>
      <c r="P68" s="49">
        <v>26907018.289999999</v>
      </c>
      <c r="Q68" s="49">
        <v>21919588.620000001</v>
      </c>
      <c r="R68" s="50">
        <f t="shared" si="15"/>
        <v>-0.18535794699532268</v>
      </c>
      <c r="S68" s="49">
        <v>16004944.300000001</v>
      </c>
      <c r="T68" s="49">
        <v>20215306.32</v>
      </c>
      <c r="U68" s="49">
        <v>19838665.780000001</v>
      </c>
      <c r="V68" s="50">
        <f t="shared" si="16"/>
        <v>-1.863145351536771E-2</v>
      </c>
      <c r="W68" s="49">
        <v>880820.75</v>
      </c>
      <c r="X68" s="49">
        <v>1084852.68</v>
      </c>
      <c r="Y68" s="49">
        <v>1125970.03</v>
      </c>
      <c r="Z68" s="50">
        <f t="shared" si="17"/>
        <v>3.7901321311203377E-2</v>
      </c>
      <c r="AA68" s="39">
        <f t="shared" si="8"/>
        <v>34625754.189999998</v>
      </c>
      <c r="AB68" s="39">
        <f t="shared" si="11"/>
        <v>48701784.550000004</v>
      </c>
      <c r="AC68" s="39">
        <f t="shared" si="12"/>
        <v>43310437.640000001</v>
      </c>
      <c r="AD68" s="51">
        <f t="shared" si="18"/>
        <v>-0.11070121885297535</v>
      </c>
    </row>
    <row r="69" spans="1:30">
      <c r="A69" t="s">
        <v>108</v>
      </c>
      <c r="B69">
        <v>0</v>
      </c>
      <c r="C69" t="s">
        <v>121</v>
      </c>
      <c r="D69" t="s">
        <v>122</v>
      </c>
      <c r="E69" t="s">
        <v>120</v>
      </c>
      <c r="F69" t="s">
        <v>73</v>
      </c>
      <c r="G69">
        <v>701.15</v>
      </c>
      <c r="H69" s="49">
        <v>1057.8900000000001</v>
      </c>
      <c r="I69">
        <v>532.77</v>
      </c>
      <c r="J69" s="50">
        <f t="shared" si="13"/>
        <v>-0.49638431216856199</v>
      </c>
      <c r="K69">
        <v>311.89</v>
      </c>
      <c r="L69">
        <v>444.58</v>
      </c>
      <c r="M69">
        <v>472.07</v>
      </c>
      <c r="N69" s="50">
        <f t="shared" si="14"/>
        <v>6.1833640739574453E-2</v>
      </c>
      <c r="O69" s="49">
        <v>67749.16</v>
      </c>
      <c r="P69" s="49">
        <v>104720.3</v>
      </c>
      <c r="Q69" s="49">
        <v>98479.59</v>
      </c>
      <c r="R69" s="50">
        <f t="shared" si="15"/>
        <v>-5.9594080612832528E-2</v>
      </c>
      <c r="S69" s="49">
        <v>168811.91</v>
      </c>
      <c r="T69" s="49">
        <v>213223.47</v>
      </c>
      <c r="U69" s="49">
        <v>229484.32</v>
      </c>
      <c r="V69" s="50">
        <f t="shared" si="16"/>
        <v>7.626200811758671E-2</v>
      </c>
      <c r="W69" s="49">
        <v>12555.58</v>
      </c>
      <c r="X69" s="49">
        <v>15448.36</v>
      </c>
      <c r="Y69" s="49">
        <v>16388.080000000002</v>
      </c>
      <c r="Z69" s="50">
        <f t="shared" si="17"/>
        <v>6.0829757980782502E-2</v>
      </c>
      <c r="AA69" s="39">
        <f t="shared" si="8"/>
        <v>250129.68999999997</v>
      </c>
      <c r="AB69" s="39">
        <f t="shared" si="11"/>
        <v>334894.59999999998</v>
      </c>
      <c r="AC69" s="39">
        <f t="shared" si="12"/>
        <v>345356.83</v>
      </c>
      <c r="AD69" s="51">
        <f t="shared" si="18"/>
        <v>3.1240366371987009E-2</v>
      </c>
    </row>
    <row r="70" spans="1:30">
      <c r="A70" t="s">
        <v>108</v>
      </c>
      <c r="B70">
        <v>1</v>
      </c>
      <c r="C70" t="s">
        <v>152</v>
      </c>
      <c r="D70" t="s">
        <v>153</v>
      </c>
      <c r="E70" t="s">
        <v>154</v>
      </c>
      <c r="F70" t="s">
        <v>31</v>
      </c>
      <c r="G70">
        <v>0</v>
      </c>
      <c r="H70">
        <v>0</v>
      </c>
      <c r="I70">
        <v>0</v>
      </c>
      <c r="J70" s="50" t="e">
        <f t="shared" si="13"/>
        <v>#DIV/0!</v>
      </c>
      <c r="K70">
        <v>0</v>
      </c>
      <c r="L70">
        <v>0</v>
      </c>
      <c r="M70">
        <v>0</v>
      </c>
      <c r="N70" s="50" t="e">
        <f t="shared" si="14"/>
        <v>#DIV/0!</v>
      </c>
      <c r="O70">
        <v>0</v>
      </c>
      <c r="P70">
        <v>0</v>
      </c>
      <c r="Q70">
        <v>0</v>
      </c>
      <c r="R70" s="50" t="e">
        <f t="shared" si="15"/>
        <v>#DIV/0!</v>
      </c>
      <c r="S70">
        <v>0</v>
      </c>
      <c r="T70">
        <v>0</v>
      </c>
      <c r="U70">
        <v>0</v>
      </c>
      <c r="V70" s="50"/>
      <c r="W70">
        <v>0</v>
      </c>
      <c r="X70">
        <v>0</v>
      </c>
      <c r="Y70">
        <v>0</v>
      </c>
      <c r="Z70" s="50"/>
      <c r="AA70" s="39">
        <f t="shared" si="8"/>
        <v>0</v>
      </c>
      <c r="AB70" s="39">
        <f t="shared" si="11"/>
        <v>0</v>
      </c>
      <c r="AC70" s="39">
        <f t="shared" si="12"/>
        <v>0</v>
      </c>
      <c r="AD70" s="51" t="e">
        <f t="shared" si="18"/>
        <v>#DIV/0!</v>
      </c>
    </row>
    <row r="71" spans="1:30">
      <c r="A71" t="s">
        <v>108</v>
      </c>
      <c r="B71">
        <v>1</v>
      </c>
      <c r="C71" t="s">
        <v>152</v>
      </c>
      <c r="D71" t="s">
        <v>152</v>
      </c>
      <c r="E71" t="s">
        <v>114</v>
      </c>
      <c r="F71" t="s">
        <v>31</v>
      </c>
      <c r="G71">
        <v>0</v>
      </c>
      <c r="H71">
        <v>0</v>
      </c>
      <c r="I71">
        <v>0</v>
      </c>
      <c r="J71" s="50" t="e">
        <f t="shared" si="13"/>
        <v>#DIV/0!</v>
      </c>
      <c r="K71">
        <v>0</v>
      </c>
      <c r="L71">
        <v>0</v>
      </c>
      <c r="M71">
        <v>0</v>
      </c>
      <c r="N71" s="50" t="e">
        <f t="shared" si="14"/>
        <v>#DIV/0!</v>
      </c>
      <c r="O71">
        <v>0</v>
      </c>
      <c r="P71">
        <v>0</v>
      </c>
      <c r="Q71">
        <v>0</v>
      </c>
      <c r="R71" s="50" t="e">
        <f t="shared" si="15"/>
        <v>#DIV/0!</v>
      </c>
      <c r="S71">
        <v>0</v>
      </c>
      <c r="T71">
        <v>0</v>
      </c>
      <c r="U71">
        <v>0</v>
      </c>
      <c r="V71" s="50"/>
      <c r="W71">
        <v>0</v>
      </c>
      <c r="X71">
        <v>0</v>
      </c>
      <c r="Y71">
        <v>0</v>
      </c>
      <c r="Z71" s="50"/>
      <c r="AA71" s="39">
        <f t="shared" si="8"/>
        <v>0</v>
      </c>
      <c r="AB71" s="39">
        <f t="shared" si="11"/>
        <v>0</v>
      </c>
      <c r="AC71" s="39">
        <f t="shared" si="12"/>
        <v>0</v>
      </c>
      <c r="AD71" s="51" t="e">
        <f t="shared" si="18"/>
        <v>#DIV/0!</v>
      </c>
    </row>
    <row r="72" spans="1:30">
      <c r="A72" t="s">
        <v>108</v>
      </c>
      <c r="B72">
        <v>1</v>
      </c>
      <c r="C72" t="s">
        <v>152</v>
      </c>
      <c r="D72" t="s">
        <v>152</v>
      </c>
      <c r="E72" t="s">
        <v>30</v>
      </c>
      <c r="F72" t="s">
        <v>31</v>
      </c>
      <c r="G72" s="49">
        <v>1039720</v>
      </c>
      <c r="H72" s="49">
        <v>1568930</v>
      </c>
      <c r="I72" s="49">
        <v>1884012</v>
      </c>
      <c r="J72" s="50">
        <f t="shared" si="13"/>
        <v>0.20082604067740434</v>
      </c>
      <c r="K72" s="49">
        <v>749925</v>
      </c>
      <c r="L72" s="49">
        <v>1069200</v>
      </c>
      <c r="M72" s="49">
        <v>1415088</v>
      </c>
      <c r="N72" s="50">
        <f t="shared" si="14"/>
        <v>0.32350168350168351</v>
      </c>
      <c r="O72" s="49">
        <v>59333760</v>
      </c>
      <c r="P72" s="49">
        <v>91712880</v>
      </c>
      <c r="Q72" s="49">
        <v>117812704</v>
      </c>
      <c r="R72" s="50">
        <f t="shared" si="15"/>
        <v>0.28458188206498369</v>
      </c>
      <c r="S72" s="49">
        <v>84601200</v>
      </c>
      <c r="T72" s="49">
        <v>106858400</v>
      </c>
      <c r="U72" s="49">
        <v>141299340</v>
      </c>
      <c r="V72" s="50"/>
      <c r="W72" s="49">
        <v>4255740</v>
      </c>
      <c r="X72" s="49">
        <v>5236110</v>
      </c>
      <c r="Y72" s="49">
        <v>6788564</v>
      </c>
      <c r="Z72" s="50"/>
      <c r="AA72" s="39">
        <f t="shared" si="8"/>
        <v>149980345</v>
      </c>
      <c r="AB72" s="39">
        <f t="shared" si="11"/>
        <v>206445520</v>
      </c>
      <c r="AC72" s="39">
        <f t="shared" si="12"/>
        <v>269199708</v>
      </c>
      <c r="AD72" s="51">
        <f t="shared" si="18"/>
        <v>0.30397456917447274</v>
      </c>
    </row>
    <row r="73" spans="1:30">
      <c r="A73" t="s">
        <v>108</v>
      </c>
      <c r="B73">
        <v>1</v>
      </c>
      <c r="C73" t="s">
        <v>152</v>
      </c>
      <c r="D73" t="s">
        <v>152</v>
      </c>
      <c r="E73" t="s">
        <v>142</v>
      </c>
      <c r="F73" t="s">
        <v>143</v>
      </c>
      <c r="G73" s="49">
        <v>39552.300000000003</v>
      </c>
      <c r="H73" s="49">
        <v>59683.88</v>
      </c>
      <c r="I73" s="49">
        <v>64613.24</v>
      </c>
      <c r="J73" s="50">
        <f t="shared" si="13"/>
        <v>8.2591145213749523E-2</v>
      </c>
      <c r="K73" s="49">
        <v>23299.38</v>
      </c>
      <c r="L73" s="49">
        <v>33218.65</v>
      </c>
      <c r="M73" s="49">
        <v>38232.49</v>
      </c>
      <c r="N73" s="50">
        <f t="shared" si="14"/>
        <v>0.15093449011323448</v>
      </c>
      <c r="O73" s="49">
        <v>3975862.52</v>
      </c>
      <c r="P73" s="49">
        <v>6145535.5999999996</v>
      </c>
      <c r="Q73" s="49">
        <v>7165153.6600000001</v>
      </c>
      <c r="R73" s="50">
        <f t="shared" si="15"/>
        <v>0.16591199308974805</v>
      </c>
      <c r="S73" s="49">
        <v>9046676.6300000008</v>
      </c>
      <c r="T73" s="49">
        <v>11426710.42</v>
      </c>
      <c r="U73" s="49">
        <v>17462730.07</v>
      </c>
      <c r="V73" s="50"/>
      <c r="W73" s="49">
        <v>731982.87</v>
      </c>
      <c r="X73" s="49">
        <v>900605.61</v>
      </c>
      <c r="Y73" s="49">
        <v>1176579.77</v>
      </c>
      <c r="Z73" s="50"/>
      <c r="AA73" s="39">
        <f t="shared" si="8"/>
        <v>13817373.700000001</v>
      </c>
      <c r="AB73" s="39">
        <f t="shared" si="11"/>
        <v>18565754.16</v>
      </c>
      <c r="AC73" s="39">
        <f t="shared" si="12"/>
        <v>25907309.23</v>
      </c>
      <c r="AD73" s="51">
        <f t="shared" si="18"/>
        <v>0.39543532714751839</v>
      </c>
    </row>
    <row r="74" spans="1:30">
      <c r="A74" t="s">
        <v>108</v>
      </c>
      <c r="B74">
        <v>1</v>
      </c>
      <c r="C74" t="s">
        <v>152</v>
      </c>
      <c r="D74" t="s">
        <v>153</v>
      </c>
      <c r="E74" t="s">
        <v>22</v>
      </c>
      <c r="F74" t="s">
        <v>119</v>
      </c>
      <c r="G74" s="49">
        <v>3870080.76</v>
      </c>
      <c r="H74" s="49">
        <v>5839306.8200000003</v>
      </c>
      <c r="I74" s="49">
        <v>5029872.91</v>
      </c>
      <c r="J74" s="50">
        <f t="shared" si="13"/>
        <v>-0.13861815022763269</v>
      </c>
      <c r="K74" s="49">
        <v>2303943.7799999998</v>
      </c>
      <c r="L74" s="49">
        <v>3284247.9</v>
      </c>
      <c r="M74" s="49">
        <v>3064386.5</v>
      </c>
      <c r="N74" s="50">
        <f t="shared" si="14"/>
        <v>-6.6944215751801164E-2</v>
      </c>
      <c r="O74" s="49">
        <v>460298028.54000002</v>
      </c>
      <c r="P74" s="49">
        <v>711485819.82000005</v>
      </c>
      <c r="Q74" s="49">
        <v>637652507.24000001</v>
      </c>
      <c r="R74" s="50">
        <f t="shared" si="15"/>
        <v>-0.10377341406281189</v>
      </c>
      <c r="S74" s="49">
        <v>1098741403.3399999</v>
      </c>
      <c r="T74" s="49">
        <v>1387801699.9100001</v>
      </c>
      <c r="U74" s="49">
        <v>1360443492.75</v>
      </c>
      <c r="V74" s="50"/>
      <c r="W74" s="49">
        <v>84597212.689999998</v>
      </c>
      <c r="X74" s="49">
        <v>104088289.83</v>
      </c>
      <c r="Y74" s="49">
        <v>104087070.45</v>
      </c>
      <c r="Z74" s="50"/>
      <c r="AA74" s="39">
        <f t="shared" si="8"/>
        <v>1649810669.1100001</v>
      </c>
      <c r="AB74" s="39">
        <f t="shared" si="11"/>
        <v>2212499364.2800002</v>
      </c>
      <c r="AC74" s="39">
        <f t="shared" si="12"/>
        <v>2110277329.8500001</v>
      </c>
      <c r="AD74" s="51">
        <f t="shared" si="18"/>
        <v>-4.6202062735175312E-2</v>
      </c>
    </row>
    <row r="75" spans="1:30">
      <c r="A75" t="s">
        <v>108</v>
      </c>
      <c r="B75">
        <v>1</v>
      </c>
      <c r="C75" t="s">
        <v>152</v>
      </c>
      <c r="D75" t="s">
        <v>152</v>
      </c>
      <c r="E75" t="s">
        <v>22</v>
      </c>
      <c r="F75" t="s">
        <v>119</v>
      </c>
      <c r="G75" s="49">
        <v>4006050.32</v>
      </c>
      <c r="H75" s="49">
        <v>6044477</v>
      </c>
      <c r="I75" s="49">
        <v>5063541.3899999997</v>
      </c>
      <c r="J75" s="50">
        <f t="shared" si="13"/>
        <v>-0.16228626728168546</v>
      </c>
      <c r="K75" s="49">
        <v>1653374.92</v>
      </c>
      <c r="L75" s="49">
        <v>2356889.64</v>
      </c>
      <c r="M75" s="49">
        <v>2218971.2999999998</v>
      </c>
      <c r="N75" s="50">
        <f t="shared" si="14"/>
        <v>-5.8517097134849434E-2</v>
      </c>
      <c r="O75" s="49">
        <v>328150356.72000003</v>
      </c>
      <c r="P75" s="49">
        <v>507224315.38999999</v>
      </c>
      <c r="Q75" s="49">
        <v>454617325.85000002</v>
      </c>
      <c r="R75" s="50">
        <f t="shared" si="15"/>
        <v>-0.10371543308122155</v>
      </c>
      <c r="S75" s="49">
        <v>786070186.74000001</v>
      </c>
      <c r="T75" s="49">
        <v>992871991.87</v>
      </c>
      <c r="U75" s="49">
        <v>964656794.04999995</v>
      </c>
      <c r="V75" s="50"/>
      <c r="W75" s="49">
        <v>57497081.189999998</v>
      </c>
      <c r="X75" s="49">
        <v>70744337.609999999</v>
      </c>
      <c r="Y75" s="49">
        <v>70313064.379999995</v>
      </c>
      <c r="Z75" s="50"/>
      <c r="AA75" s="39">
        <f t="shared" si="8"/>
        <v>1177377049.8900001</v>
      </c>
      <c r="AB75" s="39">
        <f t="shared" si="11"/>
        <v>1579242011.51</v>
      </c>
      <c r="AC75" s="39">
        <f t="shared" si="12"/>
        <v>1496869696.9699998</v>
      </c>
      <c r="AD75" s="51">
        <f t="shared" si="18"/>
        <v>-5.2159399217881437E-2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4A45D-5CC0-4082-AA1F-D189641A549E}">
  <sheetPr>
    <tabColor rgb="FF92D050"/>
  </sheetPr>
  <dimension ref="A1:R91"/>
  <sheetViews>
    <sheetView zoomScaleNormal="100" workbookViewId="0">
      <pane xSplit="3" ySplit="2" topLeftCell="I3" activePane="bottomRight" state="frozen"/>
      <selection pane="bottomRight" activeCell="I15" sqref="I15"/>
      <selection pane="bottomLeft" activeCell="A3" sqref="A3"/>
      <selection pane="topRight" activeCell="D1" sqref="D1"/>
    </sheetView>
  </sheetViews>
  <sheetFormatPr defaultColWidth="8.85546875" defaultRowHeight="15"/>
  <cols>
    <col min="1" max="1" width="8.85546875" style="40"/>
    <col min="2" max="2" width="31.140625" customWidth="1"/>
    <col min="3" max="3" width="6.5703125" customWidth="1"/>
    <col min="4" max="4" width="7.7109375" bestFit="1" customWidth="1"/>
    <col min="8" max="8" width="10" customWidth="1"/>
    <col min="9" max="10" width="10.28515625" customWidth="1"/>
    <col min="12" max="12" width="9.7109375" customWidth="1"/>
    <col min="13" max="15" width="12.85546875" bestFit="1" customWidth="1"/>
    <col min="16" max="18" width="10.28515625" bestFit="1" customWidth="1"/>
  </cols>
  <sheetData>
    <row r="1" spans="1:18">
      <c r="D1" s="308" t="s">
        <v>0</v>
      </c>
      <c r="E1" s="309"/>
      <c r="F1" s="310"/>
      <c r="G1" s="308" t="s">
        <v>1</v>
      </c>
      <c r="H1" s="309"/>
      <c r="I1" s="310"/>
      <c r="J1" s="308" t="s">
        <v>155</v>
      </c>
      <c r="K1" s="309"/>
      <c r="L1" s="310"/>
      <c r="M1" s="305" t="s">
        <v>156</v>
      </c>
      <c r="N1" s="305"/>
      <c r="O1" s="305"/>
      <c r="P1" s="305" t="s">
        <v>157</v>
      </c>
      <c r="Q1" s="305"/>
      <c r="R1" s="305"/>
    </row>
    <row r="2" spans="1:18">
      <c r="B2" s="46" t="s">
        <v>158</v>
      </c>
      <c r="C2" s="150" t="s">
        <v>159</v>
      </c>
      <c r="D2" s="150" t="s">
        <v>6</v>
      </c>
      <c r="E2" s="150" t="s">
        <v>18</v>
      </c>
      <c r="F2" s="150" t="s">
        <v>160</v>
      </c>
      <c r="G2" s="150" t="s">
        <v>6</v>
      </c>
      <c r="H2" s="150" t="s">
        <v>18</v>
      </c>
      <c r="I2" s="150" t="s">
        <v>160</v>
      </c>
      <c r="J2" s="150" t="s">
        <v>6</v>
      </c>
      <c r="K2" s="150" t="s">
        <v>18</v>
      </c>
      <c r="L2" s="150" t="s">
        <v>160</v>
      </c>
      <c r="M2" s="150" t="s">
        <v>6</v>
      </c>
      <c r="N2" s="150" t="s">
        <v>18</v>
      </c>
      <c r="O2" s="150" t="s">
        <v>160</v>
      </c>
      <c r="P2" s="150" t="s">
        <v>6</v>
      </c>
      <c r="Q2" s="150" t="s">
        <v>18</v>
      </c>
      <c r="R2" s="150" t="s">
        <v>160</v>
      </c>
    </row>
    <row r="3" spans="1:18">
      <c r="A3" s="306" t="s">
        <v>161</v>
      </c>
      <c r="B3" t="s">
        <v>162</v>
      </c>
      <c r="C3" t="s">
        <v>163</v>
      </c>
      <c r="D3" s="23">
        <f>'[1]Projection (without)'!$B$7+'[1]Projection (without)'!$B$8+9</f>
        <v>45</v>
      </c>
      <c r="E3" s="23">
        <f>'[1]Projection (without)'!$B$7+'[1]Projection (without)'!$B$8+9</f>
        <v>45</v>
      </c>
      <c r="F3" s="23">
        <f>'[1]Projection (with)'!$B$7+'[1]Projection (with)'!$B$8+9</f>
        <v>39</v>
      </c>
      <c r="G3" s="23">
        <f>'[2]Projection (without)'!$B$7+'[2]Projection (without)'!$B$8+9</f>
        <v>45</v>
      </c>
      <c r="H3" s="23">
        <f>'[2]Projection (without)'!$B$7+'[2]Projection (without)'!$B$8+9</f>
        <v>45</v>
      </c>
      <c r="I3" s="23">
        <f>'[2]Projection (with)'!$B$7+'[2]Projection (with)'!$B$8+9</f>
        <v>39</v>
      </c>
      <c r="J3" s="151">
        <f>'[3]Projection (without)'!$B$7+'[3]Projection (without)'!$B$8+9</f>
        <v>57</v>
      </c>
      <c r="K3" s="151">
        <f>'[3]Projection (without)'!$B$7+'[3]Projection (without)'!$B$8+9</f>
        <v>57</v>
      </c>
      <c r="L3" s="23">
        <f>'[3]Projection (with)'!$B$7+'[3]Projection (with)'!$B$8+9</f>
        <v>45</v>
      </c>
      <c r="M3" s="23">
        <f>'[4]Projection (without)'!$B$7+'[4]Projection (without)'!$B$8+9</f>
        <v>54</v>
      </c>
      <c r="N3" s="23">
        <f>'[4]Projection (without)'!$B$7+'[4]Projection (without)'!$B$8+9</f>
        <v>54</v>
      </c>
      <c r="O3" s="23">
        <f>'[4]Projection (with)'!$B$7+'[4]Projection (with)'!$B$8+9</f>
        <v>45</v>
      </c>
      <c r="P3" s="151">
        <f>'[5]Projection (without)'!$B$7+'[5]Projection (without)'!$B$8+9</f>
        <v>57</v>
      </c>
      <c r="Q3" s="151">
        <f>'[5]Projection (without)'!$B$7+'[5]Projection (without)'!$B$8+9</f>
        <v>57</v>
      </c>
      <c r="R3" s="23">
        <f>'[5]Projection (with)'!$B$7+'[5]Projection (with)'!$B$8+9</f>
        <v>49</v>
      </c>
    </row>
    <row r="4" spans="1:18">
      <c r="A4" s="306"/>
      <c r="B4" t="s">
        <v>164</v>
      </c>
      <c r="C4" t="s">
        <v>165</v>
      </c>
      <c r="D4" s="108">
        <f>'[1]Projection (without)'!$V$30</f>
        <v>0.06</v>
      </c>
      <c r="E4" s="108">
        <f>'[1]Projection (without)'!$V$30</f>
        <v>0.06</v>
      </c>
      <c r="F4" s="108">
        <f>'[1]Projection (with)'!$V$30</f>
        <v>4.6426856249999988E-2</v>
      </c>
      <c r="G4" s="108">
        <f>'[2]Projection (without)'!$V$30</f>
        <v>0.06</v>
      </c>
      <c r="H4" s="108">
        <f>'[2]Projection (without)'!$V$30</f>
        <v>0.06</v>
      </c>
      <c r="I4" s="108">
        <f>'[2]Projection (with)'!$V$30</f>
        <v>4.6426856249999988E-2</v>
      </c>
      <c r="J4" s="108">
        <f>'[3]Projection (without)'!$V$30</f>
        <v>0.06</v>
      </c>
      <c r="K4" s="108">
        <f>'[3]Projection (without)'!$V$30</f>
        <v>0.06</v>
      </c>
      <c r="L4" s="108">
        <f>'[3]Projection (with)'!$V$30</f>
        <v>4.5246599999999998E-2</v>
      </c>
      <c r="M4" s="108">
        <f>'[4]Projection (without)'!$V$30</f>
        <v>7.0000000000000007E-2</v>
      </c>
      <c r="N4" s="108">
        <f>'[4]Projection (without)'!$V$30</f>
        <v>7.0000000000000007E-2</v>
      </c>
      <c r="O4" s="108">
        <f>'[4]Projection (with)'!$V$30</f>
        <v>4.1334300000000011E-2</v>
      </c>
      <c r="P4" s="108">
        <f>'[5]Projection (without)'!$V$30</f>
        <v>0.06</v>
      </c>
      <c r="Q4" s="108">
        <f>'[5]Projection (without)'!$V$30</f>
        <v>0.06</v>
      </c>
      <c r="R4" s="108">
        <f>'[5]Projection (with)'!$V$30</f>
        <v>4.8261420000000006E-2</v>
      </c>
    </row>
    <row r="5" spans="1:18">
      <c r="A5" s="306"/>
      <c r="B5" t="s">
        <v>166</v>
      </c>
      <c r="C5" t="s">
        <v>165</v>
      </c>
      <c r="D5" s="108">
        <f>'[1]Projection (without)'!$V$29</f>
        <v>0.09</v>
      </c>
      <c r="E5" s="108">
        <f>'[1]Projection (without)'!$V$29</f>
        <v>0.09</v>
      </c>
      <c r="F5" s="108">
        <f>'[1]Projection (with)'!$V$29</f>
        <v>6.9640284374999986E-2</v>
      </c>
      <c r="G5" s="108">
        <f>'[2]Projection (without)'!$V$29</f>
        <v>0.09</v>
      </c>
      <c r="H5" s="108">
        <f>'[2]Projection (without)'!$V$29</f>
        <v>0.09</v>
      </c>
      <c r="I5" s="108">
        <f>'[2]Projection (with)'!$V$29</f>
        <v>6.9640284374999986E-2</v>
      </c>
      <c r="J5" s="108">
        <f>'[3]Projection (without)'!$V$29</f>
        <v>0.09</v>
      </c>
      <c r="K5" s="108">
        <f>'[3]Projection (without)'!$V$29</f>
        <v>0.09</v>
      </c>
      <c r="L5" s="108">
        <f>'[3]Projection (with)'!$V$29</f>
        <v>6.9640284374999986E-2</v>
      </c>
      <c r="M5" s="108">
        <f>'[4]Projection (without)'!$V$29</f>
        <v>0.1</v>
      </c>
      <c r="N5" s="108">
        <f>'[4]Projection (without)'!$V$29</f>
        <v>0.1</v>
      </c>
      <c r="O5" s="108">
        <f>'[4]Projection (with)'!$V$29</f>
        <v>5.9049000000000018E-2</v>
      </c>
      <c r="P5" s="108">
        <f>'[5]Projection (without)'!$V$29</f>
        <v>0.09</v>
      </c>
      <c r="Q5" s="108">
        <f>'[5]Projection (without)'!$V$29</f>
        <v>0.09</v>
      </c>
      <c r="R5" s="108">
        <f>'[5]Projection (with)'!$V$29</f>
        <v>6.7324680900000017E-2</v>
      </c>
    </row>
    <row r="6" spans="1:18">
      <c r="A6" s="306"/>
      <c r="B6" t="s">
        <v>167</v>
      </c>
      <c r="C6" t="s">
        <v>165</v>
      </c>
      <c r="D6" s="108">
        <f>'[1]Projection (without)'!$V$33</f>
        <v>0.09</v>
      </c>
      <c r="E6" s="108">
        <f>'[1]Projection (without)'!$V$33</f>
        <v>0.09</v>
      </c>
      <c r="F6" s="108">
        <f>'[1]Projection (with)'!$V$33</f>
        <v>6.9640284374999986E-2</v>
      </c>
      <c r="G6" s="108">
        <f>'[2]Projection (without)'!$V$33</f>
        <v>0.09</v>
      </c>
      <c r="H6" s="108">
        <f>'[2]Projection (without)'!$V$33</f>
        <v>0.09</v>
      </c>
      <c r="I6" s="108">
        <f>'[2]Projection (with)'!$V$33</f>
        <v>6.9640284374999986E-2</v>
      </c>
      <c r="J6" s="108">
        <f>'[3]Projection (without)'!$V$33</f>
        <v>0.09</v>
      </c>
      <c r="K6" s="108">
        <f>'[3]Projection (without)'!$V$33</f>
        <v>0.09</v>
      </c>
      <c r="L6" s="108">
        <f>'[3]Projection (with)'!$V$33</f>
        <v>6.9640284374999986E-2</v>
      </c>
      <c r="M6" s="108">
        <f>'[4]Projection (without)'!$V$33</f>
        <v>0.1</v>
      </c>
      <c r="N6" s="108">
        <f>'[4]Projection (without)'!$V$33</f>
        <v>0.1</v>
      </c>
      <c r="O6" s="108">
        <f>'[4]Projection (with)'!$V$33</f>
        <v>5.9049000000000018E-2</v>
      </c>
      <c r="P6" s="108">
        <f>'[5]Projection (without)'!$V$33</f>
        <v>0.09</v>
      </c>
      <c r="Q6" s="108">
        <f>'[5]Projection (without)'!$V$33</f>
        <v>0.09</v>
      </c>
      <c r="R6" s="108">
        <f>'[5]Projection (with)'!$V$33</f>
        <v>6.7324680900000017E-2</v>
      </c>
    </row>
    <row r="7" spans="1:18">
      <c r="A7" s="306"/>
      <c r="B7" t="s">
        <v>168</v>
      </c>
      <c r="C7" t="s">
        <v>165</v>
      </c>
      <c r="D7" s="108">
        <f>'[1]Projection (without)'!$V$22</f>
        <v>0.67500000000000004</v>
      </c>
      <c r="E7" s="108">
        <f>'[1]Projection (without)'!$V$22</f>
        <v>0.67500000000000004</v>
      </c>
      <c r="F7" s="108">
        <f>'[1]Projection (with)'!$V$22</f>
        <v>0.7430000000000001</v>
      </c>
      <c r="G7" s="108">
        <f>'[2]Projection (without)'!$V$22</f>
        <v>0.67500000000000004</v>
      </c>
      <c r="H7" s="108">
        <f>'[2]Projection (without)'!$V$22</f>
        <v>0.67500000000000004</v>
      </c>
      <c r="I7" s="108">
        <f>'[2]Projection (with)'!$V$22</f>
        <v>0.7430000000000001</v>
      </c>
      <c r="J7" s="108">
        <f>'[3]Projection (without)'!$V$22</f>
        <v>0.6</v>
      </c>
      <c r="K7" s="108">
        <f>'[3]Projection (without)'!$V$22</f>
        <v>0.6</v>
      </c>
      <c r="L7" s="108">
        <f>'[3]Projection (with)'!$V$22</f>
        <v>0.63749999999999973</v>
      </c>
      <c r="M7" s="108">
        <f>'[4]Projection (without)'!$V$22</f>
        <v>0.6</v>
      </c>
      <c r="N7" s="108">
        <f>'[4]Projection (without)'!$V$22</f>
        <v>0.6</v>
      </c>
      <c r="O7" s="108">
        <f>'[4]Projection (with)'!$V$22</f>
        <v>0.64</v>
      </c>
      <c r="P7" s="108">
        <f>'[5]Projection (without)'!$V$22</f>
        <v>0.59</v>
      </c>
      <c r="Q7" s="108">
        <f>'[5]Projection (without)'!$V$22</f>
        <v>0.59</v>
      </c>
      <c r="R7" s="108">
        <f>'[5]Projection (with)'!$V$22</f>
        <v>0.64</v>
      </c>
    </row>
    <row r="8" spans="1:18">
      <c r="A8" s="306"/>
      <c r="B8" t="s">
        <v>169</v>
      </c>
      <c r="C8" t="s">
        <v>170</v>
      </c>
      <c r="D8" s="23">
        <f>'[1]Projection (without)'!$V$59</f>
        <v>400</v>
      </c>
      <c r="E8" s="23">
        <f>'[1]Projection (without)'!$V$59</f>
        <v>400</v>
      </c>
      <c r="F8" s="23">
        <f>'[1]Projection (with)'!$V$59</f>
        <v>441</v>
      </c>
      <c r="G8" s="23">
        <f>'[2]Projection (without)'!$V$59</f>
        <v>435</v>
      </c>
      <c r="H8" s="23">
        <f>'[2]Projection (without)'!$V$59</f>
        <v>435</v>
      </c>
      <c r="I8" s="23">
        <f>'[2]Projection (with)'!$V$59</f>
        <v>479.58750000000003</v>
      </c>
      <c r="J8" s="23">
        <f>'[3]Projection (without)'!$V$59</f>
        <v>350</v>
      </c>
      <c r="K8" s="23">
        <f>'[3]Projection (without)'!$V$59</f>
        <v>350</v>
      </c>
      <c r="L8" s="23">
        <f>'[3]Projection (with)'!$V$59</f>
        <v>348.27519999999998</v>
      </c>
      <c r="M8" s="23">
        <f>'[4]Projection (without)'!$V$59</f>
        <v>322</v>
      </c>
      <c r="N8" s="23">
        <f>'[4]Projection (without)'!$V$59</f>
        <v>322</v>
      </c>
      <c r="O8" s="23">
        <f>'[4]Projection (with)'!$V$59</f>
        <v>355.00500000000005</v>
      </c>
      <c r="P8" s="23">
        <f>'[5]Projection (without)'!$V$59</f>
        <v>322</v>
      </c>
      <c r="Q8" s="23">
        <f>'[5]Projection (without)'!$V$59</f>
        <v>322</v>
      </c>
      <c r="R8" s="23">
        <f>'[5]Projection (with)'!$V$59</f>
        <v>355.00500000000005</v>
      </c>
    </row>
    <row r="9" spans="1:18">
      <c r="A9" s="306"/>
      <c r="B9" t="s">
        <v>171</v>
      </c>
      <c r="C9" t="s">
        <v>170</v>
      </c>
      <c r="D9" s="23">
        <f>'[1]Projection (without)'!$V$63</f>
        <v>400</v>
      </c>
      <c r="E9" s="23">
        <f>'[1]Projection (without)'!$V$63</f>
        <v>400</v>
      </c>
      <c r="F9" s="23">
        <f>'[1]Projection (with)'!$V$63</f>
        <v>441</v>
      </c>
      <c r="G9" s="23">
        <f>'[2]Projection (without)'!$V$63</f>
        <v>435</v>
      </c>
      <c r="H9" s="23">
        <f>'[2]Projection (without)'!$V$63</f>
        <v>435</v>
      </c>
      <c r="I9" s="23">
        <f>'[2]Projection (with)'!$V$63</f>
        <v>479.58750000000003</v>
      </c>
      <c r="J9" s="23">
        <f>'[3]Projection (without)'!$V$63</f>
        <v>350</v>
      </c>
      <c r="K9" s="23">
        <f>'[3]Projection (without)'!$V$63</f>
        <v>350</v>
      </c>
      <c r="L9" s="23">
        <f>'[3]Projection (with)'!$V$63</f>
        <v>348.27519999999998</v>
      </c>
      <c r="M9" s="23">
        <f>'[4]Projection (without)'!$V$63</f>
        <v>322</v>
      </c>
      <c r="N9" s="23">
        <f>'[4]Projection (without)'!$V$63</f>
        <v>322</v>
      </c>
      <c r="O9" s="23">
        <f>'[4]Projection (with)'!$V$63</f>
        <v>355.00500000000005</v>
      </c>
      <c r="P9" s="23">
        <f>'[5]Projection (without)'!$V$63</f>
        <v>322</v>
      </c>
      <c r="Q9" s="23">
        <f>'[5]Projection (without)'!$V$63</f>
        <v>322</v>
      </c>
      <c r="R9" s="23">
        <f>'[5]Projection (with)'!$V$63</f>
        <v>355.00500000000005</v>
      </c>
    </row>
    <row r="10" spans="1:18">
      <c r="A10" s="306"/>
      <c r="B10" t="s">
        <v>172</v>
      </c>
      <c r="C10" t="s">
        <v>170</v>
      </c>
      <c r="D10" s="23">
        <f>'[1]Projection (without)'!$V$58</f>
        <v>277.24799999999999</v>
      </c>
      <c r="E10" s="23">
        <f>'[1]Projection (without)'!$V$58</f>
        <v>277.24799999999999</v>
      </c>
      <c r="F10" s="23">
        <f>'[1]Projection (with)'!$V$58</f>
        <v>305.66592000000003</v>
      </c>
      <c r="G10" s="23">
        <f>'[2]Projection (without)'!$V$58</f>
        <v>299.13599999999997</v>
      </c>
      <c r="H10" s="23">
        <f>'[2]Projection (without)'!$V$58</f>
        <v>299.13599999999997</v>
      </c>
      <c r="I10" s="23">
        <f>'[2]Projection (with)'!$V$58</f>
        <v>329.79743999999994</v>
      </c>
      <c r="J10" s="23">
        <f>'[3]Projection (without)'!$V$58</f>
        <v>204.28799999999998</v>
      </c>
      <c r="K10" s="23">
        <f>'[3]Projection (without)'!$V$58</f>
        <v>204.28799999999998</v>
      </c>
      <c r="L10" s="23">
        <f>'[3]Projection (with)'!$V$58</f>
        <v>220.9579008</v>
      </c>
      <c r="M10" s="23">
        <f>'[4]Projection (without)'!$V$58</f>
        <v>204.28799999999998</v>
      </c>
      <c r="N10" s="23">
        <f>'[4]Projection (without)'!$V$58</f>
        <v>204.28799999999998</v>
      </c>
      <c r="O10" s="23">
        <f>'[4]Projection (with)'!$V$58</f>
        <v>225.22752</v>
      </c>
      <c r="P10" s="23">
        <f>'[5]Projection (without)'!$V$58</f>
        <v>204.28799999999998</v>
      </c>
      <c r="Q10" s="23">
        <f>'[5]Projection (without)'!$V$58</f>
        <v>204.28799999999998</v>
      </c>
      <c r="R10" s="23">
        <f>'[5]Projection (with)'!$V$58</f>
        <v>225.22752</v>
      </c>
    </row>
    <row r="11" spans="1:18">
      <c r="A11" s="306"/>
      <c r="B11" t="s">
        <v>173</v>
      </c>
      <c r="C11" t="s">
        <v>170</v>
      </c>
      <c r="D11" s="23">
        <f>'[1]Projection (without)'!$V$62</f>
        <v>277.24799999999999</v>
      </c>
      <c r="E11" s="23">
        <f>'[1]Projection (without)'!$V$62</f>
        <v>277.24799999999999</v>
      </c>
      <c r="F11" s="23">
        <f>'[1]Projection (with)'!$V$62</f>
        <v>305.66592000000003</v>
      </c>
      <c r="G11" s="23">
        <f>'[2]Projection (without)'!$V$62</f>
        <v>299.13599999999997</v>
      </c>
      <c r="H11" s="23">
        <f>'[2]Projection (without)'!$V$62</f>
        <v>299.13599999999997</v>
      </c>
      <c r="I11" s="23">
        <f>'[2]Projection (with)'!$V$62</f>
        <v>329.79743999999994</v>
      </c>
      <c r="J11" s="23">
        <f>'[3]Projection (without)'!$V$62</f>
        <v>204.28799999999998</v>
      </c>
      <c r="K11" s="23">
        <f>'[3]Projection (without)'!$V$62</f>
        <v>204.28799999999998</v>
      </c>
      <c r="L11" s="23">
        <f>'[3]Projection (with)'!$V$62</f>
        <v>220.9579008</v>
      </c>
      <c r="M11" s="23">
        <f>'[4]Projection (without)'!$V$62</f>
        <v>204.28799999999998</v>
      </c>
      <c r="N11" s="23">
        <f>'[4]Projection (without)'!$V$62</f>
        <v>204.28799999999998</v>
      </c>
      <c r="O11" s="23">
        <f>'[4]Projection (with)'!$V$62</f>
        <v>225.22752</v>
      </c>
      <c r="P11" s="23">
        <f>'[5]Projection (without)'!$V$62</f>
        <v>204.28799999999998</v>
      </c>
      <c r="Q11" s="23">
        <f>'[5]Projection (without)'!$V$62</f>
        <v>204.28799999999998</v>
      </c>
      <c r="R11" s="23">
        <f>'[5]Projection (with)'!$V$62</f>
        <v>225.22752</v>
      </c>
    </row>
    <row r="12" spans="1:18">
      <c r="A12" s="306"/>
      <c r="B12" t="s">
        <v>174</v>
      </c>
      <c r="C12" t="s">
        <v>165</v>
      </c>
      <c r="D12">
        <v>4</v>
      </c>
      <c r="E12">
        <v>4</v>
      </c>
      <c r="F12">
        <v>4</v>
      </c>
      <c r="G12">
        <v>4</v>
      </c>
      <c r="H12">
        <v>4</v>
      </c>
      <c r="I12">
        <v>4</v>
      </c>
      <c r="J12">
        <v>4</v>
      </c>
      <c r="K12">
        <v>4</v>
      </c>
      <c r="L12">
        <v>4</v>
      </c>
      <c r="M12">
        <v>4</v>
      </c>
      <c r="N12">
        <v>4</v>
      </c>
      <c r="O12">
        <v>4</v>
      </c>
      <c r="P12">
        <v>4</v>
      </c>
      <c r="Q12">
        <v>4</v>
      </c>
      <c r="R12">
        <v>4</v>
      </c>
    </row>
    <row r="13" spans="1:18">
      <c r="A13" s="306"/>
      <c r="B13" t="s">
        <v>175</v>
      </c>
      <c r="C13" t="s">
        <v>165</v>
      </c>
      <c r="D13">
        <v>3.5</v>
      </c>
      <c r="E13">
        <v>3.5</v>
      </c>
      <c r="F13">
        <v>3.5</v>
      </c>
      <c r="G13">
        <v>3.5</v>
      </c>
      <c r="H13">
        <v>3.5</v>
      </c>
      <c r="I13">
        <v>3.5</v>
      </c>
      <c r="J13">
        <v>3.5</v>
      </c>
      <c r="K13">
        <v>3.5</v>
      </c>
      <c r="L13">
        <v>3.5</v>
      </c>
      <c r="M13">
        <v>3.5</v>
      </c>
      <c r="N13">
        <v>3.5</v>
      </c>
      <c r="O13">
        <v>3.5</v>
      </c>
      <c r="P13">
        <v>3.5</v>
      </c>
      <c r="Q13">
        <v>3.5</v>
      </c>
      <c r="R13">
        <v>3.5</v>
      </c>
    </row>
    <row r="14" spans="1:18" s="54" customFormat="1">
      <c r="A14" s="306"/>
      <c r="B14" s="54" t="s">
        <v>176</v>
      </c>
      <c r="C14" s="54" t="s">
        <v>170</v>
      </c>
      <c r="D14" s="151">
        <f>'[1]Projection (without)'!$C$85</f>
        <v>1870</v>
      </c>
      <c r="E14" s="151">
        <f>'[1]Projection (with)'!$C$85</f>
        <v>1870</v>
      </c>
      <c r="F14" s="151">
        <f>'[1]Projection (with)'!$V$85</f>
        <v>2787.2593273115854</v>
      </c>
      <c r="G14" s="221">
        <f>'[2]Projection (without)'!$C$85</f>
        <v>2475</v>
      </c>
      <c r="H14" s="221">
        <f>'[2]Projection (with)'!$C$85</f>
        <v>2475</v>
      </c>
      <c r="I14" s="221">
        <f>'[2]Projection (with)'!$V$85</f>
        <v>3804.1821332156246</v>
      </c>
      <c r="J14" s="151">
        <v>720</v>
      </c>
      <c r="K14" s="151">
        <v>720</v>
      </c>
      <c r="L14" s="151">
        <v>1019.2423918648391</v>
      </c>
      <c r="M14" s="151">
        <v>400</v>
      </c>
      <c r="N14" s="151">
        <v>400</v>
      </c>
      <c r="O14" s="240">
        <v>546</v>
      </c>
      <c r="P14" s="151">
        <v>270</v>
      </c>
      <c r="Q14" s="151">
        <v>270</v>
      </c>
      <c r="R14" s="151">
        <v>356</v>
      </c>
    </row>
    <row r="15" spans="1:18">
      <c r="A15" s="306"/>
      <c r="B15" t="s">
        <v>177</v>
      </c>
      <c r="C15" t="s">
        <v>116</v>
      </c>
      <c r="D15" s="23">
        <f>'Animal &amp; HH Numbers Baseline'!O21</f>
        <v>556.26741153969454</v>
      </c>
      <c r="E15" s="23">
        <f>'Animal &amp; HH Numbers WOP'!O21</f>
        <v>838.92734241091625</v>
      </c>
      <c r="F15" s="23">
        <f>'Animal &amp; HH Numbers WP'!O21</f>
        <v>689.75764233737698</v>
      </c>
      <c r="G15" s="23">
        <f>'Animal &amp; HH Numbers Baseline'!P21</f>
        <v>302.52480956358136</v>
      </c>
      <c r="H15" s="23">
        <f>'Animal &amp; HH Numbers WOP'!P21</f>
        <v>432.35506076880915</v>
      </c>
      <c r="I15" s="23">
        <f>'Animal &amp; HH Numbers WP'!P21</f>
        <v>369.23807015838196</v>
      </c>
      <c r="J15" s="23">
        <f>'Animal &amp; HH Numbers Baseline'!R21</f>
        <v>82407.97208381792</v>
      </c>
      <c r="K15" s="23">
        <f>'Animal &amp; HH Numbers WOP'!R21</f>
        <v>127378.96507676777</v>
      </c>
      <c r="L15" s="23">
        <v>115616</v>
      </c>
      <c r="M15" s="203">
        <f>'Animal &amp; HH Numbers Baseline'!U21</f>
        <v>211503.40312877917</v>
      </c>
      <c r="N15" s="203">
        <f>'Animal &amp; HH Numbers WOP'!U21</f>
        <v>267146.26004328596</v>
      </c>
      <c r="O15" s="203">
        <f>'Animal &amp; HH Numbers WP'!U21</f>
        <v>257175.68632563105</v>
      </c>
      <c r="P15" s="203">
        <f>'Animal &amp; HH Numbers Baseline'!T21</f>
        <v>15761.910658258377</v>
      </c>
      <c r="Q15" s="203">
        <f>'Animal &amp; HH Numbers WOP'!T21</f>
        <v>19392.701243222316</v>
      </c>
      <c r="R15" s="203">
        <f>'Animal &amp; HH Numbers WP'!T21</f>
        <v>18950.542830926293</v>
      </c>
    </row>
    <row r="16" spans="1:18">
      <c r="A16" s="306"/>
      <c r="B16" t="s">
        <v>178</v>
      </c>
      <c r="C16" t="s">
        <v>116</v>
      </c>
      <c r="D16" s="23">
        <f>'Animal &amp; HH Numbers Baseline'!O22</f>
        <v>132.13671638988993</v>
      </c>
      <c r="E16" s="23">
        <f>'Animal &amp; HH Numbers WOP'!O22</f>
        <v>199.28024186972345</v>
      </c>
      <c r="F16" s="23">
        <f>'Animal &amp; HH Numbers WP'!O22</f>
        <v>163.8462150982744</v>
      </c>
      <c r="G16" s="23">
        <f>'Animal &amp; HH Numbers Baseline'!P22</f>
        <v>44.647095181150185</v>
      </c>
      <c r="H16" s="23">
        <f>'Animal &amp; HH Numbers WOP'!P22</f>
        <v>63.807651273440491</v>
      </c>
      <c r="I16" s="23">
        <f>'Animal &amp; HH Numbers WP'!P22</f>
        <v>54.492744864948882</v>
      </c>
      <c r="J16" s="23">
        <f>'Animal &amp; HH Numbers Baseline'!R22</f>
        <v>13861.719656927891</v>
      </c>
      <c r="K16" s="23">
        <f>'Animal &amp; HH Numbers WOP'!R22</f>
        <v>21426.221995705244</v>
      </c>
      <c r="L16" s="23">
        <f>'Animal &amp; HH Numbers WP'!R22</f>
        <v>17765.439911124209</v>
      </c>
      <c r="M16" s="203">
        <f>'Animal &amp; HH Numbers Baseline'!U22</f>
        <v>13221.081167708511</v>
      </c>
      <c r="N16" s="203">
        <f>'Animal &amp; HH Numbers WOP'!U22</f>
        <v>16699.317057945987</v>
      </c>
      <c r="O16" s="203">
        <f>'Animal &amp; HH Numbers WP'!U22</f>
        <v>16076.056332777069</v>
      </c>
      <c r="P16" s="203">
        <f>'Animal &amp; HH Numbers Baseline'!T22</f>
        <v>708.42787243978933</v>
      </c>
      <c r="Q16" s="203">
        <f>'Animal &amp; HH Numbers WOP'!T22</f>
        <v>871.61578189750173</v>
      </c>
      <c r="R16" s="203">
        <f>'Animal &amp; HH Numbers WP'!T22</f>
        <v>851.74272525508843</v>
      </c>
    </row>
    <row r="17" spans="1:18">
      <c r="A17" s="306"/>
      <c r="B17" t="s">
        <v>179</v>
      </c>
      <c r="C17" t="s">
        <v>165</v>
      </c>
      <c r="D17" s="50">
        <f>1/('[1]Projection (without)'!$B$9/12)</f>
        <v>0.11764705882352941</v>
      </c>
      <c r="E17" s="50">
        <f>1/('[1]Projection (without)'!$B$9/12)</f>
        <v>0.11764705882352941</v>
      </c>
      <c r="F17" s="50">
        <f>1/('[1]Projection (with)'!$B$9/12)</f>
        <v>0.11764705882352941</v>
      </c>
      <c r="G17" s="50">
        <f>1/('[2]Projection (without)'!$B$9/12)</f>
        <v>0.11764705882352941</v>
      </c>
      <c r="H17" s="50">
        <f>1/('[2]Projection (without)'!$B$9/12)</f>
        <v>0.11764705882352941</v>
      </c>
      <c r="I17" s="50">
        <f>1/('[2]Projection (with)'!$B$9/12)</f>
        <v>0.11764705882352941</v>
      </c>
      <c r="J17" s="50">
        <f>1/('[3]Projection (without)'!$B$9/12)</f>
        <v>0.125</v>
      </c>
      <c r="K17" s="50">
        <f>1/('[3]Projection (without)'!$B$9/12)</f>
        <v>0.125</v>
      </c>
      <c r="L17" s="50">
        <f>1/('[3]Projection (with)'!$B$9/12)</f>
        <v>0.125</v>
      </c>
      <c r="M17" s="50">
        <f>1/('[4]Projection (without)'!$B$9/12)</f>
        <v>0.125</v>
      </c>
      <c r="N17" s="50">
        <f>1/('[4]Projection (without)'!$B$9/12)</f>
        <v>0.125</v>
      </c>
      <c r="O17" s="50">
        <f>1/('[4]Projection (with)'!$B$9/12)</f>
        <v>0.125</v>
      </c>
      <c r="P17" s="50">
        <f>1/('[5]Projection (without)'!$B$9/12)</f>
        <v>0.13043478260869565</v>
      </c>
      <c r="Q17" s="50">
        <f>1/('[5]Projection (without)'!$B$9/12)</f>
        <v>0.13043478260869565</v>
      </c>
      <c r="R17" s="50">
        <f>1/('[5]Projection (with)'!$B$9/12)</f>
        <v>0.125</v>
      </c>
    </row>
    <row r="18" spans="1:18">
      <c r="A18" s="306"/>
      <c r="B18" t="s">
        <v>180</v>
      </c>
      <c r="C18" t="s">
        <v>170</v>
      </c>
      <c r="D18">
        <v>28</v>
      </c>
      <c r="E18">
        <v>28</v>
      </c>
      <c r="F18">
        <v>28</v>
      </c>
      <c r="G18">
        <v>32.5</v>
      </c>
      <c r="H18">
        <v>32.5</v>
      </c>
      <c r="I18">
        <v>32.5</v>
      </c>
      <c r="J18">
        <f>(20+23)/2</f>
        <v>21.5</v>
      </c>
      <c r="K18">
        <f>(20+23)/2</f>
        <v>21.5</v>
      </c>
      <c r="L18">
        <v>25.8</v>
      </c>
      <c r="M18">
        <v>21.5</v>
      </c>
      <c r="N18">
        <v>21.5</v>
      </c>
      <c r="O18">
        <v>25.8</v>
      </c>
      <c r="P18">
        <v>21.5</v>
      </c>
      <c r="Q18">
        <v>21.5</v>
      </c>
      <c r="R18">
        <v>25.8</v>
      </c>
    </row>
    <row r="20" spans="1:18">
      <c r="A20" s="307" t="s">
        <v>181</v>
      </c>
      <c r="B20" t="s">
        <v>182</v>
      </c>
      <c r="C20" t="s">
        <v>165</v>
      </c>
      <c r="D20" s="241">
        <v>0</v>
      </c>
      <c r="E20" s="241">
        <v>0</v>
      </c>
      <c r="F20" s="241">
        <v>0</v>
      </c>
      <c r="G20" s="241">
        <v>0</v>
      </c>
      <c r="H20" s="241">
        <v>0</v>
      </c>
      <c r="I20" s="241">
        <v>0</v>
      </c>
      <c r="J20" s="241">
        <v>0</v>
      </c>
      <c r="K20" s="241">
        <v>0</v>
      </c>
      <c r="L20" s="241">
        <v>0</v>
      </c>
      <c r="M20">
        <v>0</v>
      </c>
      <c r="N20">
        <v>0</v>
      </c>
      <c r="O20">
        <v>0</v>
      </c>
      <c r="P20">
        <v>0</v>
      </c>
      <c r="Q20">
        <v>0</v>
      </c>
      <c r="R20">
        <v>0</v>
      </c>
    </row>
    <row r="21" spans="1:18">
      <c r="A21" s="307"/>
      <c r="B21" t="s">
        <v>183</v>
      </c>
      <c r="C21" t="s">
        <v>165</v>
      </c>
      <c r="D21" s="241">
        <v>0</v>
      </c>
      <c r="E21" s="241">
        <v>0</v>
      </c>
      <c r="F21" s="241">
        <v>0</v>
      </c>
      <c r="G21" s="241">
        <v>0</v>
      </c>
      <c r="H21" s="241">
        <v>0</v>
      </c>
      <c r="I21" s="241">
        <v>0</v>
      </c>
      <c r="J21" s="241">
        <v>0</v>
      </c>
      <c r="K21" s="241">
        <v>0</v>
      </c>
      <c r="L21" s="241">
        <v>0</v>
      </c>
      <c r="M21">
        <v>0</v>
      </c>
      <c r="N21">
        <v>0</v>
      </c>
      <c r="O21">
        <v>0</v>
      </c>
      <c r="P21">
        <v>0</v>
      </c>
      <c r="Q21">
        <v>0</v>
      </c>
      <c r="R21">
        <v>0</v>
      </c>
    </row>
    <row r="22" spans="1:18">
      <c r="A22" s="307"/>
      <c r="B22" t="s">
        <v>184</v>
      </c>
      <c r="C22" t="s">
        <v>165</v>
      </c>
      <c r="D22" s="241">
        <v>0</v>
      </c>
      <c r="E22" s="241">
        <v>0</v>
      </c>
      <c r="F22" s="241">
        <v>0</v>
      </c>
      <c r="G22" s="241">
        <v>0</v>
      </c>
      <c r="H22" s="241">
        <v>0</v>
      </c>
      <c r="I22" s="241">
        <v>0</v>
      </c>
      <c r="J22" s="241">
        <v>0</v>
      </c>
      <c r="K22" s="241">
        <v>0</v>
      </c>
      <c r="L22" s="241">
        <v>0</v>
      </c>
      <c r="M22">
        <v>0</v>
      </c>
      <c r="N22">
        <v>0</v>
      </c>
      <c r="O22">
        <v>0</v>
      </c>
      <c r="P22">
        <v>0</v>
      </c>
      <c r="Q22">
        <v>0</v>
      </c>
      <c r="R22">
        <v>0</v>
      </c>
    </row>
    <row r="23" spans="1:18">
      <c r="A23" s="307"/>
      <c r="B23" t="s">
        <v>185</v>
      </c>
      <c r="C23" t="s">
        <v>165</v>
      </c>
      <c r="D23" s="241">
        <v>0</v>
      </c>
      <c r="E23" s="241">
        <v>0</v>
      </c>
      <c r="F23" s="241">
        <v>0</v>
      </c>
      <c r="G23" s="241">
        <v>0</v>
      </c>
      <c r="H23" s="241">
        <v>0</v>
      </c>
      <c r="I23" s="241">
        <v>0</v>
      </c>
      <c r="J23" s="241">
        <v>0</v>
      </c>
      <c r="K23" s="241">
        <v>0</v>
      </c>
      <c r="L23" s="241">
        <v>0</v>
      </c>
      <c r="M23">
        <v>0</v>
      </c>
      <c r="N23">
        <v>0</v>
      </c>
      <c r="O23">
        <v>0</v>
      </c>
      <c r="P23">
        <v>0</v>
      </c>
      <c r="Q23">
        <v>0</v>
      </c>
      <c r="R23">
        <v>0</v>
      </c>
    </row>
    <row r="24" spans="1:18">
      <c r="A24" s="307"/>
      <c r="B24" t="s">
        <v>186</v>
      </c>
      <c r="C24" t="s">
        <v>165</v>
      </c>
      <c r="D24" s="241">
        <v>15</v>
      </c>
      <c r="E24" s="241">
        <v>15</v>
      </c>
      <c r="F24" s="243">
        <v>6</v>
      </c>
      <c r="G24" s="241">
        <v>15</v>
      </c>
      <c r="H24" s="241">
        <v>15</v>
      </c>
      <c r="I24" s="243">
        <v>6</v>
      </c>
      <c r="J24" s="241">
        <v>15</v>
      </c>
      <c r="K24" s="241">
        <v>15</v>
      </c>
      <c r="L24" s="241">
        <v>10</v>
      </c>
      <c r="M24" s="241">
        <v>5</v>
      </c>
      <c r="N24" s="241">
        <v>5</v>
      </c>
      <c r="O24" s="241">
        <v>3</v>
      </c>
      <c r="P24">
        <v>2</v>
      </c>
      <c r="Q24">
        <v>2</v>
      </c>
      <c r="R24">
        <v>1</v>
      </c>
    </row>
    <row r="25" spans="1:18">
      <c r="A25" s="307"/>
      <c r="B25" t="s">
        <v>187</v>
      </c>
      <c r="C25" t="s">
        <v>165</v>
      </c>
      <c r="D25" s="241">
        <v>2</v>
      </c>
      <c r="E25" s="241">
        <v>2</v>
      </c>
      <c r="F25" s="243">
        <v>0</v>
      </c>
      <c r="G25" s="241">
        <v>2</v>
      </c>
      <c r="H25" s="241">
        <v>2</v>
      </c>
      <c r="I25" s="243">
        <v>0</v>
      </c>
      <c r="J25" s="241">
        <v>2</v>
      </c>
      <c r="K25" s="241">
        <v>2</v>
      </c>
      <c r="L25" s="241">
        <v>2</v>
      </c>
      <c r="M25" s="241">
        <v>5</v>
      </c>
      <c r="N25" s="241">
        <v>5</v>
      </c>
      <c r="O25" s="241">
        <v>3</v>
      </c>
      <c r="P25">
        <v>1</v>
      </c>
      <c r="Q25">
        <v>1</v>
      </c>
      <c r="R25">
        <v>0</v>
      </c>
    </row>
    <row r="26" spans="1:18">
      <c r="A26" s="307"/>
      <c r="B26" t="s">
        <v>188</v>
      </c>
      <c r="C26" t="s">
        <v>165</v>
      </c>
      <c r="D26" s="241">
        <v>5</v>
      </c>
      <c r="E26" s="241">
        <v>5</v>
      </c>
      <c r="F26" s="243">
        <v>2</v>
      </c>
      <c r="G26" s="241">
        <v>5</v>
      </c>
      <c r="H26" s="241">
        <v>5</v>
      </c>
      <c r="I26" s="243">
        <v>2</v>
      </c>
      <c r="J26" s="241">
        <v>5</v>
      </c>
      <c r="K26" s="241">
        <v>5</v>
      </c>
      <c r="L26" s="241">
        <v>2</v>
      </c>
      <c r="M26" s="241">
        <v>5</v>
      </c>
      <c r="N26" s="241">
        <v>5</v>
      </c>
      <c r="O26" s="241">
        <v>3</v>
      </c>
      <c r="P26">
        <v>0</v>
      </c>
      <c r="Q26">
        <v>0</v>
      </c>
      <c r="R26">
        <v>0</v>
      </c>
    </row>
    <row r="27" spans="1:18">
      <c r="A27" s="307"/>
      <c r="B27" t="s">
        <v>189</v>
      </c>
      <c r="C27" t="s">
        <v>165</v>
      </c>
      <c r="D27" s="241">
        <v>8</v>
      </c>
      <c r="E27" s="241">
        <v>8</v>
      </c>
      <c r="F27" s="243">
        <v>4</v>
      </c>
      <c r="G27" s="241">
        <v>8</v>
      </c>
      <c r="H27" s="241">
        <v>8</v>
      </c>
      <c r="I27" s="243">
        <v>4</v>
      </c>
      <c r="J27" s="241">
        <v>8</v>
      </c>
      <c r="K27" s="241">
        <v>8</v>
      </c>
      <c r="L27" s="241">
        <v>3</v>
      </c>
      <c r="M27" s="241">
        <v>8</v>
      </c>
      <c r="N27" s="241">
        <v>8</v>
      </c>
      <c r="O27" s="241">
        <v>4</v>
      </c>
      <c r="P27">
        <v>0</v>
      </c>
      <c r="Q27">
        <v>0</v>
      </c>
      <c r="R27">
        <v>0</v>
      </c>
    </row>
    <row r="28" spans="1:18">
      <c r="A28" s="307"/>
      <c r="B28" t="s">
        <v>190</v>
      </c>
      <c r="C28" t="s">
        <v>165</v>
      </c>
      <c r="D28" s="241">
        <v>5</v>
      </c>
      <c r="E28" s="241">
        <v>5</v>
      </c>
      <c r="F28" s="243">
        <v>1</v>
      </c>
      <c r="G28" s="241">
        <v>5</v>
      </c>
      <c r="H28" s="241">
        <v>5</v>
      </c>
      <c r="I28" s="243">
        <v>1</v>
      </c>
      <c r="J28" s="241">
        <v>5</v>
      </c>
      <c r="K28" s="241">
        <v>5</v>
      </c>
      <c r="L28" s="241">
        <v>3</v>
      </c>
      <c r="M28" s="241">
        <v>3</v>
      </c>
      <c r="N28" s="241">
        <v>3</v>
      </c>
      <c r="O28" s="241">
        <v>1</v>
      </c>
      <c r="P28">
        <v>1</v>
      </c>
      <c r="Q28">
        <v>1</v>
      </c>
      <c r="R28">
        <v>1</v>
      </c>
    </row>
    <row r="29" spans="1:18">
      <c r="A29" s="307"/>
      <c r="B29" t="s">
        <v>191</v>
      </c>
      <c r="C29" t="s">
        <v>165</v>
      </c>
      <c r="D29" s="241">
        <v>1</v>
      </c>
      <c r="E29" s="241">
        <v>1</v>
      </c>
      <c r="F29" s="243">
        <v>1</v>
      </c>
      <c r="G29" s="241">
        <v>1</v>
      </c>
      <c r="H29" s="241">
        <v>1</v>
      </c>
      <c r="I29" s="243">
        <v>1</v>
      </c>
      <c r="J29" s="241">
        <v>1</v>
      </c>
      <c r="K29" s="241">
        <v>1</v>
      </c>
      <c r="L29" s="241">
        <v>1</v>
      </c>
      <c r="M29" s="241">
        <v>0</v>
      </c>
      <c r="N29" s="241">
        <v>0</v>
      </c>
      <c r="O29" s="241">
        <v>0</v>
      </c>
      <c r="P29">
        <v>0</v>
      </c>
      <c r="Q29">
        <v>0</v>
      </c>
      <c r="R29">
        <v>0</v>
      </c>
    </row>
    <row r="30" spans="1:18">
      <c r="A30" s="307"/>
      <c r="B30" t="s">
        <v>192</v>
      </c>
      <c r="C30" t="s">
        <v>165</v>
      </c>
      <c r="D30" s="241">
        <v>0</v>
      </c>
      <c r="E30" s="241">
        <v>0</v>
      </c>
      <c r="F30" s="243">
        <v>0</v>
      </c>
      <c r="G30" s="241">
        <v>0</v>
      </c>
      <c r="H30" s="241">
        <v>0</v>
      </c>
      <c r="I30" s="243">
        <v>0</v>
      </c>
      <c r="J30" s="241">
        <v>0</v>
      </c>
      <c r="K30" s="241">
        <v>0</v>
      </c>
      <c r="L30" s="241">
        <v>0</v>
      </c>
      <c r="M30" s="241">
        <v>0</v>
      </c>
      <c r="N30" s="241">
        <v>0</v>
      </c>
      <c r="O30" s="241">
        <v>0</v>
      </c>
      <c r="P30">
        <v>0</v>
      </c>
      <c r="Q30">
        <v>0</v>
      </c>
      <c r="R30">
        <v>0</v>
      </c>
    </row>
    <row r="31" spans="1:18" s="109" customFormat="1">
      <c r="A31" s="307"/>
      <c r="B31" s="109" t="s">
        <v>193</v>
      </c>
      <c r="C31" s="109" t="s">
        <v>165</v>
      </c>
      <c r="D31" s="253">
        <v>2</v>
      </c>
      <c r="E31" s="253">
        <v>2</v>
      </c>
      <c r="F31" s="254">
        <v>10</v>
      </c>
      <c r="G31" s="253">
        <v>2</v>
      </c>
      <c r="H31" s="253">
        <v>2</v>
      </c>
      <c r="I31" s="254">
        <v>10</v>
      </c>
      <c r="J31" s="253">
        <v>2</v>
      </c>
      <c r="K31" s="253">
        <v>2</v>
      </c>
      <c r="L31" s="253">
        <v>2</v>
      </c>
      <c r="M31" s="109">
        <v>2</v>
      </c>
      <c r="N31" s="109">
        <v>2</v>
      </c>
      <c r="O31" s="109">
        <v>2</v>
      </c>
      <c r="P31" s="109">
        <v>0</v>
      </c>
      <c r="Q31" s="109">
        <v>0</v>
      </c>
      <c r="R31" s="109">
        <v>0</v>
      </c>
    </row>
    <row r="32" spans="1:18">
      <c r="A32" s="307"/>
      <c r="B32" t="s">
        <v>194</v>
      </c>
      <c r="C32" t="s">
        <v>165</v>
      </c>
      <c r="D32" s="241">
        <v>0</v>
      </c>
      <c r="E32" s="241">
        <v>0</v>
      </c>
      <c r="F32" s="241">
        <v>0</v>
      </c>
      <c r="G32" s="241">
        <v>0</v>
      </c>
      <c r="H32" s="241">
        <v>0</v>
      </c>
      <c r="I32" s="241">
        <v>0</v>
      </c>
      <c r="J32" s="241">
        <v>0</v>
      </c>
      <c r="K32" s="241">
        <v>0</v>
      </c>
      <c r="L32" s="241">
        <v>0</v>
      </c>
      <c r="M32">
        <v>0</v>
      </c>
      <c r="N32">
        <v>0</v>
      </c>
      <c r="O32">
        <v>0</v>
      </c>
      <c r="P32">
        <v>0</v>
      </c>
      <c r="Q32">
        <v>0</v>
      </c>
      <c r="R32">
        <v>0</v>
      </c>
    </row>
    <row r="33" spans="1:18">
      <c r="A33" s="307"/>
      <c r="B33" t="s">
        <v>195</v>
      </c>
      <c r="C33" t="s">
        <v>165</v>
      </c>
      <c r="D33" s="241">
        <v>30</v>
      </c>
      <c r="E33" s="241">
        <v>30</v>
      </c>
      <c r="F33" s="243">
        <v>25</v>
      </c>
      <c r="G33" s="241">
        <v>30</v>
      </c>
      <c r="H33" s="241">
        <v>30</v>
      </c>
      <c r="I33" s="243">
        <v>25</v>
      </c>
      <c r="J33" s="241">
        <v>30</v>
      </c>
      <c r="K33" s="241">
        <v>30</v>
      </c>
      <c r="L33" s="241">
        <v>25</v>
      </c>
      <c r="M33">
        <v>60</v>
      </c>
      <c r="N33">
        <v>60</v>
      </c>
      <c r="O33">
        <v>55</v>
      </c>
      <c r="P33">
        <v>90</v>
      </c>
      <c r="Q33">
        <v>90</v>
      </c>
      <c r="R33">
        <v>70</v>
      </c>
    </row>
    <row r="34" spans="1:18">
      <c r="A34" s="307"/>
      <c r="B34" t="s">
        <v>196</v>
      </c>
      <c r="C34" t="s">
        <v>165</v>
      </c>
      <c r="D34" s="241">
        <v>9</v>
      </c>
      <c r="E34" s="241">
        <v>9</v>
      </c>
      <c r="F34" s="243">
        <v>19</v>
      </c>
      <c r="G34" s="241">
        <v>9</v>
      </c>
      <c r="H34" s="241">
        <v>9</v>
      </c>
      <c r="I34" s="243">
        <v>19</v>
      </c>
      <c r="J34" s="241">
        <v>9</v>
      </c>
      <c r="K34" s="241">
        <v>9</v>
      </c>
      <c r="L34" s="241">
        <v>19</v>
      </c>
      <c r="M34">
        <v>5</v>
      </c>
      <c r="N34">
        <v>5</v>
      </c>
      <c r="O34">
        <v>25</v>
      </c>
      <c r="P34">
        <v>2</v>
      </c>
      <c r="Q34">
        <v>2</v>
      </c>
      <c r="R34">
        <v>27</v>
      </c>
    </row>
    <row r="35" spans="1:18">
      <c r="A35" s="307"/>
      <c r="B35" t="s">
        <v>197</v>
      </c>
      <c r="C35" t="s">
        <v>165</v>
      </c>
      <c r="D35" s="241">
        <v>5</v>
      </c>
      <c r="E35" s="241">
        <v>5</v>
      </c>
      <c r="F35" s="243">
        <v>7</v>
      </c>
      <c r="G35" s="241">
        <v>5</v>
      </c>
      <c r="H35" s="241">
        <v>5</v>
      </c>
      <c r="I35" s="243">
        <v>7</v>
      </c>
      <c r="J35" s="241">
        <v>5</v>
      </c>
      <c r="K35" s="241">
        <v>5</v>
      </c>
      <c r="L35" s="241">
        <v>5</v>
      </c>
      <c r="M35">
        <v>0</v>
      </c>
      <c r="N35">
        <v>0</v>
      </c>
      <c r="O35">
        <v>0</v>
      </c>
      <c r="P35">
        <v>0</v>
      </c>
      <c r="Q35">
        <v>0</v>
      </c>
      <c r="R35">
        <v>0</v>
      </c>
    </row>
    <row r="36" spans="1:18">
      <c r="A36" s="307"/>
      <c r="B36" t="s">
        <v>198</v>
      </c>
      <c r="C36" t="s">
        <v>165</v>
      </c>
      <c r="D36" s="241">
        <v>0</v>
      </c>
      <c r="E36" s="241">
        <v>0</v>
      </c>
      <c r="F36" s="243">
        <v>0</v>
      </c>
      <c r="G36" s="241">
        <v>0</v>
      </c>
      <c r="H36" s="241">
        <v>0</v>
      </c>
      <c r="I36" s="243">
        <v>0</v>
      </c>
      <c r="J36" s="241">
        <v>0</v>
      </c>
      <c r="K36" s="241">
        <v>0</v>
      </c>
      <c r="L36" s="241">
        <v>0</v>
      </c>
      <c r="M36">
        <v>5</v>
      </c>
      <c r="N36">
        <v>5</v>
      </c>
      <c r="O36">
        <v>2</v>
      </c>
      <c r="P36">
        <v>4</v>
      </c>
      <c r="Q36">
        <v>4</v>
      </c>
      <c r="R36">
        <v>1</v>
      </c>
    </row>
    <row r="37" spans="1:18">
      <c r="A37" s="307"/>
      <c r="B37" t="s">
        <v>199</v>
      </c>
      <c r="C37" t="s">
        <v>165</v>
      </c>
      <c r="D37" s="241">
        <v>0</v>
      </c>
      <c r="E37" s="241">
        <v>0</v>
      </c>
      <c r="F37" s="243">
        <v>0</v>
      </c>
      <c r="G37" s="241">
        <v>0</v>
      </c>
      <c r="H37" s="241">
        <v>0</v>
      </c>
      <c r="I37" s="243">
        <v>0</v>
      </c>
      <c r="J37" s="241">
        <v>0</v>
      </c>
      <c r="K37" s="241">
        <v>0</v>
      </c>
      <c r="L37" s="241">
        <v>0</v>
      </c>
      <c r="M37">
        <v>0</v>
      </c>
      <c r="N37">
        <v>0</v>
      </c>
      <c r="O37">
        <v>0</v>
      </c>
      <c r="P37">
        <v>0</v>
      </c>
      <c r="Q37">
        <v>0</v>
      </c>
      <c r="R37">
        <v>0</v>
      </c>
    </row>
    <row r="38" spans="1:18">
      <c r="A38" s="307"/>
      <c r="B38" t="s">
        <v>200</v>
      </c>
      <c r="C38" t="s">
        <v>165</v>
      </c>
      <c r="D38" s="241">
        <v>6</v>
      </c>
      <c r="E38" s="241">
        <v>6</v>
      </c>
      <c r="F38" s="243">
        <v>0</v>
      </c>
      <c r="G38" s="241">
        <v>6</v>
      </c>
      <c r="H38" s="241">
        <v>6</v>
      </c>
      <c r="I38" s="243">
        <v>0</v>
      </c>
      <c r="J38" s="241">
        <v>6</v>
      </c>
      <c r="K38" s="241">
        <v>6</v>
      </c>
      <c r="L38" s="241">
        <v>6</v>
      </c>
      <c r="M38">
        <v>2</v>
      </c>
      <c r="N38">
        <v>2</v>
      </c>
      <c r="O38">
        <v>2</v>
      </c>
      <c r="P38">
        <v>0</v>
      </c>
      <c r="Q38">
        <v>0</v>
      </c>
      <c r="R38">
        <v>0</v>
      </c>
    </row>
    <row r="39" spans="1:18">
      <c r="A39" s="307"/>
      <c r="B39" t="s">
        <v>201</v>
      </c>
      <c r="C39" t="s">
        <v>165</v>
      </c>
      <c r="D39" s="241">
        <v>5</v>
      </c>
      <c r="E39" s="241">
        <v>5</v>
      </c>
      <c r="F39" s="243">
        <v>16</v>
      </c>
      <c r="G39" s="241">
        <v>5</v>
      </c>
      <c r="H39" s="241">
        <v>5</v>
      </c>
      <c r="I39" s="243">
        <v>16</v>
      </c>
      <c r="J39" s="241">
        <v>5</v>
      </c>
      <c r="K39" s="241">
        <v>5</v>
      </c>
      <c r="L39" s="241">
        <v>15</v>
      </c>
      <c r="M39">
        <v>0</v>
      </c>
      <c r="N39">
        <v>0</v>
      </c>
      <c r="O39">
        <v>0</v>
      </c>
      <c r="P39">
        <v>0</v>
      </c>
      <c r="Q39">
        <v>0</v>
      </c>
      <c r="R39">
        <v>0</v>
      </c>
    </row>
    <row r="40" spans="1:18">
      <c r="A40" s="307"/>
      <c r="B40" t="s">
        <v>202</v>
      </c>
      <c r="C40" t="s">
        <v>165</v>
      </c>
      <c r="D40" s="241">
        <v>0</v>
      </c>
      <c r="E40" s="241">
        <v>0</v>
      </c>
      <c r="F40" s="241">
        <v>0</v>
      </c>
      <c r="G40" s="241">
        <v>0</v>
      </c>
      <c r="H40" s="241">
        <v>0</v>
      </c>
      <c r="I40" s="241">
        <v>0</v>
      </c>
      <c r="J40" s="241">
        <v>0</v>
      </c>
      <c r="K40" s="241">
        <v>0</v>
      </c>
      <c r="L40" s="241">
        <v>0</v>
      </c>
      <c r="M40">
        <v>0</v>
      </c>
      <c r="N40">
        <v>0</v>
      </c>
      <c r="O40">
        <v>0</v>
      </c>
      <c r="P40">
        <v>0</v>
      </c>
      <c r="Q40">
        <v>0</v>
      </c>
      <c r="R40">
        <v>0</v>
      </c>
    </row>
    <row r="41" spans="1:18">
      <c r="A41" s="307"/>
      <c r="B41" t="s">
        <v>203</v>
      </c>
      <c r="C41" t="s">
        <v>165</v>
      </c>
      <c r="D41" s="241">
        <v>4</v>
      </c>
      <c r="E41" s="241">
        <v>4</v>
      </c>
      <c r="F41" s="243">
        <v>6</v>
      </c>
      <c r="G41" s="241">
        <v>4</v>
      </c>
      <c r="H41" s="241">
        <v>4</v>
      </c>
      <c r="I41" s="243">
        <v>6</v>
      </c>
      <c r="J41" s="241">
        <v>4</v>
      </c>
      <c r="K41" s="241">
        <v>4</v>
      </c>
      <c r="L41" s="241">
        <v>4</v>
      </c>
      <c r="M41">
        <v>0</v>
      </c>
      <c r="N41">
        <v>0</v>
      </c>
      <c r="O41">
        <v>0</v>
      </c>
      <c r="P41">
        <v>0</v>
      </c>
      <c r="Q41">
        <v>0</v>
      </c>
      <c r="R41">
        <v>0</v>
      </c>
    </row>
    <row r="42" spans="1:18">
      <c r="A42" s="307"/>
      <c r="B42" t="s">
        <v>204</v>
      </c>
      <c r="C42" t="s">
        <v>165</v>
      </c>
      <c r="D42" s="241">
        <v>0</v>
      </c>
      <c r="E42" s="241">
        <v>0</v>
      </c>
      <c r="F42" s="241">
        <v>0</v>
      </c>
      <c r="G42" s="241">
        <v>0</v>
      </c>
      <c r="H42" s="241">
        <v>0</v>
      </c>
      <c r="I42" s="241">
        <v>0</v>
      </c>
      <c r="J42" s="241">
        <v>0</v>
      </c>
      <c r="K42" s="241">
        <v>0</v>
      </c>
      <c r="L42" s="241">
        <v>0</v>
      </c>
      <c r="M42">
        <v>0</v>
      </c>
      <c r="N42">
        <v>0</v>
      </c>
      <c r="O42">
        <v>0</v>
      </c>
      <c r="P42">
        <v>0</v>
      </c>
      <c r="Q42">
        <v>0</v>
      </c>
      <c r="R42">
        <v>0</v>
      </c>
    </row>
    <row r="43" spans="1:18">
      <c r="A43" s="307"/>
      <c r="B43" t="s">
        <v>205</v>
      </c>
      <c r="C43" t="s">
        <v>165</v>
      </c>
      <c r="D43" s="241">
        <v>0</v>
      </c>
      <c r="E43" s="241">
        <v>0</v>
      </c>
      <c r="F43" s="241">
        <v>0</v>
      </c>
      <c r="G43" s="241">
        <v>0</v>
      </c>
      <c r="H43" s="241">
        <v>0</v>
      </c>
      <c r="I43" s="241">
        <v>0</v>
      </c>
      <c r="J43" s="241">
        <v>0</v>
      </c>
      <c r="K43" s="241">
        <v>0</v>
      </c>
      <c r="L43" s="241">
        <v>0</v>
      </c>
      <c r="M43">
        <v>0</v>
      </c>
      <c r="N43">
        <v>0</v>
      </c>
      <c r="O43">
        <v>0</v>
      </c>
      <c r="P43">
        <v>0</v>
      </c>
      <c r="Q43">
        <v>0</v>
      </c>
      <c r="R43">
        <v>0</v>
      </c>
    </row>
    <row r="44" spans="1:18">
      <c r="A44" s="307"/>
      <c r="B44" t="s">
        <v>206</v>
      </c>
      <c r="C44" t="s">
        <v>165</v>
      </c>
      <c r="D44" s="241">
        <v>3</v>
      </c>
      <c r="E44" s="241">
        <v>3</v>
      </c>
      <c r="F44" s="243">
        <v>3</v>
      </c>
      <c r="G44" s="241">
        <v>3</v>
      </c>
      <c r="H44" s="241">
        <v>3</v>
      </c>
      <c r="I44" s="243">
        <v>3</v>
      </c>
      <c r="J44" s="241">
        <v>3</v>
      </c>
      <c r="K44" s="241">
        <v>3</v>
      </c>
      <c r="L44" s="241">
        <v>3</v>
      </c>
      <c r="M44">
        <v>0</v>
      </c>
      <c r="N44">
        <v>0</v>
      </c>
      <c r="O44">
        <v>0</v>
      </c>
      <c r="P44">
        <v>0</v>
      </c>
      <c r="Q44">
        <v>0</v>
      </c>
      <c r="R44">
        <v>0</v>
      </c>
    </row>
    <row r="45" spans="1:18">
      <c r="A45" s="307"/>
      <c r="B45" t="s">
        <v>207</v>
      </c>
      <c r="C45" t="s">
        <v>165</v>
      </c>
      <c r="D45" s="241">
        <v>0</v>
      </c>
      <c r="E45" s="241">
        <v>0</v>
      </c>
      <c r="F45" s="241">
        <v>0</v>
      </c>
      <c r="G45" s="241">
        <v>0</v>
      </c>
      <c r="H45" s="241">
        <v>0</v>
      </c>
      <c r="I45" s="241">
        <v>0</v>
      </c>
      <c r="J45" s="241">
        <v>0</v>
      </c>
      <c r="K45" s="241">
        <v>0</v>
      </c>
      <c r="L45" s="241">
        <v>0</v>
      </c>
      <c r="M45">
        <v>0</v>
      </c>
      <c r="N45">
        <v>0</v>
      </c>
      <c r="O45">
        <v>0</v>
      </c>
      <c r="P45">
        <v>0</v>
      </c>
      <c r="Q45">
        <v>0</v>
      </c>
      <c r="R45">
        <v>0</v>
      </c>
    </row>
    <row r="46" spans="1:18">
      <c r="A46" s="307"/>
      <c r="B46" t="s">
        <v>208</v>
      </c>
      <c r="C46" t="s">
        <v>165</v>
      </c>
      <c r="D46" s="241">
        <v>0</v>
      </c>
      <c r="E46" s="241">
        <v>0</v>
      </c>
      <c r="F46" s="241">
        <v>0</v>
      </c>
      <c r="G46" s="241">
        <v>0</v>
      </c>
      <c r="H46" s="241">
        <v>0</v>
      </c>
      <c r="I46" s="241">
        <v>0</v>
      </c>
      <c r="J46" s="241">
        <v>0</v>
      </c>
      <c r="K46" s="241">
        <v>0</v>
      </c>
      <c r="L46" s="241">
        <v>0</v>
      </c>
      <c r="M46">
        <v>0</v>
      </c>
      <c r="N46">
        <v>0</v>
      </c>
      <c r="O46">
        <v>0</v>
      </c>
      <c r="P46">
        <v>0</v>
      </c>
      <c r="Q46">
        <v>0</v>
      </c>
      <c r="R46">
        <v>0</v>
      </c>
    </row>
    <row r="47" spans="1:18">
      <c r="A47" s="307"/>
      <c r="B47" t="s">
        <v>209</v>
      </c>
      <c r="C47" t="s">
        <v>165</v>
      </c>
      <c r="D47" s="241">
        <v>0</v>
      </c>
      <c r="E47" s="241">
        <v>0</v>
      </c>
      <c r="F47" s="241">
        <v>0</v>
      </c>
      <c r="G47" s="241">
        <v>0</v>
      </c>
      <c r="H47" s="241">
        <v>0</v>
      </c>
      <c r="I47" s="241">
        <v>0</v>
      </c>
      <c r="J47" s="241">
        <v>0</v>
      </c>
      <c r="K47" s="241">
        <v>0</v>
      </c>
      <c r="L47" s="241">
        <v>0</v>
      </c>
      <c r="M47">
        <v>0</v>
      </c>
      <c r="N47">
        <v>0</v>
      </c>
      <c r="O47">
        <v>0</v>
      </c>
      <c r="P47">
        <v>0</v>
      </c>
      <c r="Q47">
        <v>0</v>
      </c>
      <c r="R47">
        <v>0</v>
      </c>
    </row>
    <row r="48" spans="1:18">
      <c r="A48" s="307"/>
      <c r="B48" t="s">
        <v>210</v>
      </c>
      <c r="C48" t="s">
        <v>165</v>
      </c>
      <c r="D48" s="241">
        <v>0</v>
      </c>
      <c r="E48" s="241">
        <v>0</v>
      </c>
      <c r="F48" s="241">
        <v>0</v>
      </c>
      <c r="G48" s="241">
        <v>0</v>
      </c>
      <c r="H48" s="241">
        <v>0</v>
      </c>
      <c r="I48" s="241">
        <v>0</v>
      </c>
      <c r="J48" s="241">
        <v>0</v>
      </c>
      <c r="K48" s="241">
        <v>0</v>
      </c>
      <c r="L48" s="241">
        <v>0</v>
      </c>
      <c r="M48">
        <v>0</v>
      </c>
      <c r="N48">
        <v>0</v>
      </c>
      <c r="O48">
        <v>0</v>
      </c>
      <c r="P48">
        <v>0</v>
      </c>
      <c r="Q48">
        <v>0</v>
      </c>
      <c r="R48">
        <v>0</v>
      </c>
    </row>
    <row r="49" spans="1:18">
      <c r="A49" s="149"/>
      <c r="C49">
        <f>100-89.93</f>
        <v>10.069999999999993</v>
      </c>
      <c r="D49" s="40">
        <f t="shared" ref="D49:I49" si="0">SUM(D20:D48)</f>
        <v>100</v>
      </c>
      <c r="E49" s="40">
        <f t="shared" si="0"/>
        <v>100</v>
      </c>
      <c r="F49" s="40">
        <f t="shared" si="0"/>
        <v>100</v>
      </c>
      <c r="G49" s="40">
        <f t="shared" si="0"/>
        <v>100</v>
      </c>
      <c r="H49" s="40">
        <f t="shared" si="0"/>
        <v>100</v>
      </c>
      <c r="I49" s="40">
        <f t="shared" si="0"/>
        <v>100</v>
      </c>
      <c r="J49" s="40">
        <f t="shared" ref="J49" si="1">SUM(J20:J48)</f>
        <v>100</v>
      </c>
      <c r="K49" s="40">
        <f t="shared" ref="K49:O49" si="2">SUM(K20:K48)</f>
        <v>100</v>
      </c>
      <c r="L49" s="40">
        <f t="shared" si="2"/>
        <v>100</v>
      </c>
      <c r="M49" s="40">
        <f t="shared" ref="M49" si="3">SUM(M20:M48)</f>
        <v>100</v>
      </c>
      <c r="N49" s="40">
        <f t="shared" si="2"/>
        <v>100</v>
      </c>
      <c r="O49" s="40">
        <f t="shared" si="2"/>
        <v>100</v>
      </c>
      <c r="P49" s="40">
        <f t="shared" ref="P49:Q49" si="4">SUM(P20:P48)</f>
        <v>100</v>
      </c>
      <c r="Q49" s="40">
        <f t="shared" si="4"/>
        <v>100</v>
      </c>
      <c r="R49" s="40">
        <f t="shared" ref="R49" si="5">SUM(R20:R48)</f>
        <v>100</v>
      </c>
    </row>
    <row r="50" spans="1:18">
      <c r="A50" s="149"/>
      <c r="I50">
        <f>(I42+I48)-(H42+H48)</f>
        <v>0</v>
      </c>
    </row>
    <row r="51" spans="1:18">
      <c r="A51" s="307" t="s">
        <v>211</v>
      </c>
      <c r="B51" t="s">
        <v>182</v>
      </c>
      <c r="C51" t="s">
        <v>165</v>
      </c>
      <c r="M51">
        <v>0</v>
      </c>
      <c r="N51">
        <v>0</v>
      </c>
      <c r="O51">
        <v>0</v>
      </c>
      <c r="P51">
        <v>0</v>
      </c>
      <c r="Q51">
        <v>0</v>
      </c>
      <c r="R51">
        <v>0</v>
      </c>
    </row>
    <row r="52" spans="1:18">
      <c r="A52" s="307"/>
      <c r="B52" t="s">
        <v>183</v>
      </c>
      <c r="C52" t="s">
        <v>165</v>
      </c>
      <c r="M52">
        <v>0</v>
      </c>
      <c r="N52">
        <v>0</v>
      </c>
      <c r="O52">
        <v>0</v>
      </c>
      <c r="P52">
        <v>0</v>
      </c>
      <c r="Q52">
        <v>0</v>
      </c>
      <c r="R52">
        <v>0</v>
      </c>
    </row>
    <row r="53" spans="1:18">
      <c r="A53" s="307"/>
      <c r="B53" t="s">
        <v>184</v>
      </c>
      <c r="C53" t="s">
        <v>165</v>
      </c>
      <c r="M53">
        <v>0</v>
      </c>
      <c r="N53">
        <v>0</v>
      </c>
      <c r="O53">
        <v>0</v>
      </c>
      <c r="P53">
        <v>0</v>
      </c>
      <c r="Q53">
        <v>0</v>
      </c>
      <c r="R53">
        <v>0</v>
      </c>
    </row>
    <row r="54" spans="1:18">
      <c r="A54" s="307"/>
      <c r="B54" t="s">
        <v>185</v>
      </c>
      <c r="C54" t="s">
        <v>165</v>
      </c>
      <c r="M54">
        <v>0</v>
      </c>
      <c r="N54">
        <v>0</v>
      </c>
      <c r="O54">
        <v>0</v>
      </c>
      <c r="P54">
        <v>0</v>
      </c>
      <c r="Q54">
        <v>0</v>
      </c>
      <c r="R54">
        <v>0</v>
      </c>
    </row>
    <row r="55" spans="1:18">
      <c r="A55" s="307"/>
      <c r="B55" t="s">
        <v>186</v>
      </c>
      <c r="C55" t="s">
        <v>165</v>
      </c>
      <c r="M55" s="241">
        <v>5</v>
      </c>
      <c r="N55" s="241">
        <v>5</v>
      </c>
      <c r="O55" s="241">
        <v>3</v>
      </c>
      <c r="P55">
        <v>2</v>
      </c>
      <c r="Q55">
        <v>2</v>
      </c>
      <c r="R55">
        <v>1</v>
      </c>
    </row>
    <row r="56" spans="1:18">
      <c r="A56" s="307"/>
      <c r="B56" t="s">
        <v>187</v>
      </c>
      <c r="C56" t="s">
        <v>165</v>
      </c>
      <c r="M56" s="241">
        <v>5</v>
      </c>
      <c r="N56" s="241">
        <v>5</v>
      </c>
      <c r="O56" s="241">
        <v>3</v>
      </c>
      <c r="P56">
        <v>1</v>
      </c>
      <c r="Q56">
        <v>1</v>
      </c>
      <c r="R56">
        <v>0</v>
      </c>
    </row>
    <row r="57" spans="1:18">
      <c r="A57" s="307"/>
      <c r="B57" t="s">
        <v>188</v>
      </c>
      <c r="C57" t="s">
        <v>165</v>
      </c>
      <c r="M57" s="241">
        <v>5</v>
      </c>
      <c r="N57" s="241">
        <v>5</v>
      </c>
      <c r="O57" s="241">
        <v>3</v>
      </c>
      <c r="P57">
        <v>0</v>
      </c>
      <c r="Q57">
        <v>0</v>
      </c>
      <c r="R57">
        <v>0</v>
      </c>
    </row>
    <row r="58" spans="1:18">
      <c r="A58" s="307"/>
      <c r="B58" t="s">
        <v>189</v>
      </c>
      <c r="C58" t="s">
        <v>165</v>
      </c>
      <c r="M58" s="241">
        <v>8</v>
      </c>
      <c r="N58" s="241">
        <v>8</v>
      </c>
      <c r="O58" s="241">
        <v>4</v>
      </c>
      <c r="P58">
        <v>0</v>
      </c>
      <c r="Q58">
        <v>0</v>
      </c>
      <c r="R58">
        <v>0</v>
      </c>
    </row>
    <row r="59" spans="1:18">
      <c r="A59" s="307"/>
      <c r="B59" t="s">
        <v>190</v>
      </c>
      <c r="C59" t="s">
        <v>165</v>
      </c>
      <c r="M59" s="241">
        <v>3</v>
      </c>
      <c r="N59" s="241">
        <v>3</v>
      </c>
      <c r="O59" s="241">
        <v>1</v>
      </c>
      <c r="P59">
        <v>1</v>
      </c>
      <c r="Q59">
        <v>1</v>
      </c>
      <c r="R59">
        <v>1</v>
      </c>
    </row>
    <row r="60" spans="1:18">
      <c r="A60" s="307"/>
      <c r="B60" t="s">
        <v>191</v>
      </c>
      <c r="C60" t="s">
        <v>165</v>
      </c>
      <c r="M60" s="241">
        <v>0</v>
      </c>
      <c r="N60" s="241">
        <v>0</v>
      </c>
      <c r="O60" s="241">
        <v>0</v>
      </c>
      <c r="P60">
        <v>0</v>
      </c>
      <c r="Q60">
        <v>0</v>
      </c>
      <c r="R60">
        <v>0</v>
      </c>
    </row>
    <row r="61" spans="1:18">
      <c r="A61" s="307"/>
      <c r="B61" t="s">
        <v>192</v>
      </c>
      <c r="C61" t="s">
        <v>165</v>
      </c>
      <c r="M61" s="241">
        <v>0</v>
      </c>
      <c r="N61" s="241">
        <v>0</v>
      </c>
      <c r="O61" s="241">
        <v>0</v>
      </c>
      <c r="P61">
        <v>0</v>
      </c>
      <c r="Q61">
        <v>0</v>
      </c>
      <c r="R61">
        <v>0</v>
      </c>
    </row>
    <row r="62" spans="1:18">
      <c r="A62" s="307"/>
      <c r="B62" t="s">
        <v>193</v>
      </c>
      <c r="C62" t="s">
        <v>165</v>
      </c>
      <c r="M62">
        <v>2</v>
      </c>
      <c r="N62">
        <v>2</v>
      </c>
      <c r="O62">
        <v>2</v>
      </c>
      <c r="P62">
        <v>0</v>
      </c>
      <c r="Q62">
        <v>0</v>
      </c>
      <c r="R62">
        <v>0</v>
      </c>
    </row>
    <row r="63" spans="1:18">
      <c r="A63" s="307"/>
      <c r="B63" t="s">
        <v>194</v>
      </c>
      <c r="C63" t="s">
        <v>165</v>
      </c>
      <c r="M63">
        <v>0</v>
      </c>
      <c r="N63">
        <v>0</v>
      </c>
      <c r="O63">
        <v>0</v>
      </c>
      <c r="P63">
        <v>0</v>
      </c>
      <c r="Q63">
        <v>0</v>
      </c>
      <c r="R63">
        <v>0</v>
      </c>
    </row>
    <row r="64" spans="1:18">
      <c r="A64" s="307"/>
      <c r="B64" t="s">
        <v>195</v>
      </c>
      <c r="C64" t="s">
        <v>165</v>
      </c>
      <c r="M64">
        <v>60</v>
      </c>
      <c r="N64">
        <v>60</v>
      </c>
      <c r="O64">
        <v>55</v>
      </c>
      <c r="P64">
        <v>90</v>
      </c>
      <c r="Q64">
        <v>90</v>
      </c>
      <c r="R64">
        <v>70</v>
      </c>
    </row>
    <row r="65" spans="1:18">
      <c r="A65" s="307"/>
      <c r="B65" t="s">
        <v>196</v>
      </c>
      <c r="C65" t="s">
        <v>165</v>
      </c>
      <c r="M65">
        <v>5</v>
      </c>
      <c r="N65">
        <v>5</v>
      </c>
      <c r="O65">
        <v>25</v>
      </c>
      <c r="P65">
        <v>2</v>
      </c>
      <c r="Q65">
        <v>2</v>
      </c>
      <c r="R65">
        <v>27</v>
      </c>
    </row>
    <row r="66" spans="1:18">
      <c r="A66" s="307"/>
      <c r="B66" t="s">
        <v>197</v>
      </c>
      <c r="C66" t="s">
        <v>165</v>
      </c>
      <c r="M66">
        <v>0</v>
      </c>
      <c r="N66">
        <v>0</v>
      </c>
      <c r="O66">
        <v>0</v>
      </c>
      <c r="P66">
        <v>0</v>
      </c>
      <c r="Q66">
        <v>0</v>
      </c>
      <c r="R66">
        <v>0</v>
      </c>
    </row>
    <row r="67" spans="1:18">
      <c r="A67" s="307"/>
      <c r="B67" t="s">
        <v>198</v>
      </c>
      <c r="C67" t="s">
        <v>165</v>
      </c>
      <c r="M67">
        <v>5</v>
      </c>
      <c r="N67">
        <v>5</v>
      </c>
      <c r="O67">
        <v>2</v>
      </c>
      <c r="P67">
        <v>4</v>
      </c>
      <c r="Q67">
        <v>4</v>
      </c>
      <c r="R67">
        <v>1</v>
      </c>
    </row>
    <row r="68" spans="1:18">
      <c r="A68" s="307"/>
      <c r="B68" t="s">
        <v>199</v>
      </c>
      <c r="C68" t="s">
        <v>165</v>
      </c>
      <c r="M68">
        <v>0</v>
      </c>
      <c r="N68">
        <v>0</v>
      </c>
      <c r="O68">
        <v>0</v>
      </c>
      <c r="P68">
        <v>0</v>
      </c>
      <c r="Q68">
        <v>0</v>
      </c>
      <c r="R68">
        <v>0</v>
      </c>
    </row>
    <row r="69" spans="1:18">
      <c r="A69" s="307"/>
      <c r="B69" t="s">
        <v>200</v>
      </c>
      <c r="C69" t="s">
        <v>165</v>
      </c>
      <c r="M69">
        <v>2</v>
      </c>
      <c r="N69">
        <v>2</v>
      </c>
      <c r="O69">
        <v>2</v>
      </c>
      <c r="P69">
        <v>0</v>
      </c>
      <c r="Q69">
        <v>0</v>
      </c>
      <c r="R69">
        <v>0</v>
      </c>
    </row>
    <row r="70" spans="1:18">
      <c r="A70" s="307"/>
      <c r="B70" t="s">
        <v>201</v>
      </c>
      <c r="C70" t="s">
        <v>165</v>
      </c>
      <c r="M70">
        <v>0</v>
      </c>
      <c r="N70">
        <v>0</v>
      </c>
      <c r="O70">
        <v>0</v>
      </c>
      <c r="P70">
        <v>0</v>
      </c>
      <c r="Q70">
        <v>0</v>
      </c>
      <c r="R70">
        <v>0</v>
      </c>
    </row>
    <row r="71" spans="1:18">
      <c r="A71" s="307"/>
      <c r="B71" t="s">
        <v>202</v>
      </c>
      <c r="C71" t="s">
        <v>165</v>
      </c>
      <c r="M71">
        <v>0</v>
      </c>
      <c r="N71">
        <v>0</v>
      </c>
      <c r="O71">
        <v>0</v>
      </c>
      <c r="P71">
        <v>0</v>
      </c>
      <c r="Q71">
        <v>0</v>
      </c>
      <c r="R71">
        <v>0</v>
      </c>
    </row>
    <row r="72" spans="1:18">
      <c r="A72" s="307"/>
      <c r="B72" t="s">
        <v>203</v>
      </c>
      <c r="C72" t="s">
        <v>165</v>
      </c>
      <c r="M72">
        <v>0</v>
      </c>
      <c r="N72">
        <v>0</v>
      </c>
      <c r="O72">
        <v>0</v>
      </c>
      <c r="P72">
        <v>0</v>
      </c>
      <c r="Q72">
        <v>0</v>
      </c>
      <c r="R72">
        <v>0</v>
      </c>
    </row>
    <row r="73" spans="1:18">
      <c r="A73" s="307"/>
      <c r="B73" t="s">
        <v>204</v>
      </c>
      <c r="C73" t="s">
        <v>165</v>
      </c>
      <c r="M73">
        <v>0</v>
      </c>
      <c r="N73">
        <v>0</v>
      </c>
      <c r="O73">
        <v>0</v>
      </c>
      <c r="P73">
        <v>0</v>
      </c>
      <c r="Q73">
        <v>0</v>
      </c>
      <c r="R73">
        <v>0</v>
      </c>
    </row>
    <row r="74" spans="1:18">
      <c r="A74" s="307"/>
      <c r="B74" t="s">
        <v>205</v>
      </c>
      <c r="C74" t="s">
        <v>165</v>
      </c>
      <c r="M74">
        <v>0</v>
      </c>
      <c r="N74">
        <v>0</v>
      </c>
      <c r="O74">
        <v>0</v>
      </c>
      <c r="P74">
        <v>0</v>
      </c>
      <c r="Q74">
        <v>0</v>
      </c>
      <c r="R74">
        <v>0</v>
      </c>
    </row>
    <row r="75" spans="1:18">
      <c r="A75" s="307"/>
      <c r="B75" t="s">
        <v>206</v>
      </c>
      <c r="C75" t="s">
        <v>165</v>
      </c>
      <c r="M75">
        <v>0</v>
      </c>
      <c r="N75">
        <v>0</v>
      </c>
      <c r="O75">
        <v>0</v>
      </c>
      <c r="P75">
        <v>0</v>
      </c>
      <c r="Q75">
        <v>0</v>
      </c>
      <c r="R75">
        <v>0</v>
      </c>
    </row>
    <row r="76" spans="1:18">
      <c r="A76" s="307"/>
      <c r="B76" t="s">
        <v>207</v>
      </c>
      <c r="C76" t="s">
        <v>165</v>
      </c>
      <c r="M76">
        <v>0</v>
      </c>
      <c r="N76">
        <v>0</v>
      </c>
      <c r="O76">
        <v>0</v>
      </c>
      <c r="P76">
        <v>0</v>
      </c>
      <c r="Q76">
        <v>0</v>
      </c>
      <c r="R76">
        <v>0</v>
      </c>
    </row>
    <row r="77" spans="1:18">
      <c r="A77" s="307"/>
      <c r="B77" t="s">
        <v>208</v>
      </c>
      <c r="C77" t="s">
        <v>165</v>
      </c>
      <c r="M77">
        <v>0</v>
      </c>
      <c r="N77">
        <v>0</v>
      </c>
      <c r="O77">
        <v>0</v>
      </c>
      <c r="P77">
        <v>0</v>
      </c>
      <c r="Q77">
        <v>0</v>
      </c>
      <c r="R77">
        <v>0</v>
      </c>
    </row>
    <row r="78" spans="1:18">
      <c r="A78" s="307"/>
      <c r="B78" t="s">
        <v>209</v>
      </c>
      <c r="C78" t="s">
        <v>165</v>
      </c>
      <c r="M78">
        <v>0</v>
      </c>
      <c r="N78">
        <v>0</v>
      </c>
      <c r="O78">
        <v>0</v>
      </c>
      <c r="P78">
        <v>0</v>
      </c>
      <c r="Q78">
        <v>0</v>
      </c>
      <c r="R78">
        <v>0</v>
      </c>
    </row>
    <row r="79" spans="1:18">
      <c r="A79" s="307"/>
      <c r="B79" t="s">
        <v>210</v>
      </c>
      <c r="C79" t="s">
        <v>165</v>
      </c>
      <c r="M79">
        <v>0</v>
      </c>
      <c r="N79">
        <v>0</v>
      </c>
      <c r="O79">
        <v>0</v>
      </c>
      <c r="P79">
        <v>0</v>
      </c>
      <c r="Q79">
        <v>0</v>
      </c>
      <c r="R79">
        <v>0</v>
      </c>
    </row>
    <row r="80" spans="1:18">
      <c r="D80">
        <f>SUM(D51:D79)</f>
        <v>0</v>
      </c>
      <c r="E80">
        <f>SUM(E51:E79)</f>
        <v>0</v>
      </c>
      <c r="F80">
        <f>SUM(F51:F79)</f>
        <v>0</v>
      </c>
      <c r="H80">
        <f>SUM(H51:H79)</f>
        <v>0</v>
      </c>
      <c r="I80">
        <f>SUM(I51:I79)</f>
        <v>0</v>
      </c>
      <c r="J80">
        <f t="shared" ref="J80:R80" si="6">SUM(J51:J79)</f>
        <v>0</v>
      </c>
      <c r="K80">
        <f t="shared" si="6"/>
        <v>0</v>
      </c>
      <c r="L80">
        <f t="shared" si="6"/>
        <v>0</v>
      </c>
      <c r="M80">
        <f t="shared" ref="M80" si="7">SUM(M51:M79)</f>
        <v>100</v>
      </c>
      <c r="N80">
        <f t="shared" si="6"/>
        <v>100</v>
      </c>
      <c r="O80">
        <f t="shared" si="6"/>
        <v>100</v>
      </c>
      <c r="P80">
        <f t="shared" ref="P80" si="8">SUM(P51:P79)</f>
        <v>100</v>
      </c>
      <c r="Q80">
        <f t="shared" si="6"/>
        <v>100</v>
      </c>
      <c r="R80">
        <f t="shared" si="6"/>
        <v>100</v>
      </c>
    </row>
    <row r="82" spans="1:18">
      <c r="A82" s="306" t="s">
        <v>212</v>
      </c>
      <c r="B82" t="s">
        <v>213</v>
      </c>
      <c r="C82" t="s">
        <v>165</v>
      </c>
      <c r="D82">
        <v>0</v>
      </c>
      <c r="E82">
        <v>0</v>
      </c>
      <c r="F82">
        <v>50</v>
      </c>
      <c r="J82" s="225"/>
      <c r="K82" s="225"/>
      <c r="L82" s="225"/>
      <c r="M82" s="225"/>
      <c r="N82" s="226"/>
      <c r="O82" s="227"/>
      <c r="P82" s="225"/>
      <c r="Q82" s="226"/>
      <c r="R82" s="227"/>
    </row>
    <row r="83" spans="1:18">
      <c r="A83" s="306"/>
      <c r="B83" t="s">
        <v>214</v>
      </c>
      <c r="C83" t="s">
        <v>165</v>
      </c>
      <c r="D83">
        <v>0</v>
      </c>
      <c r="E83">
        <v>0</v>
      </c>
      <c r="F83">
        <v>0</v>
      </c>
      <c r="J83" s="136"/>
      <c r="K83" s="136"/>
      <c r="L83" s="136"/>
      <c r="M83" s="136"/>
      <c r="O83" s="146"/>
      <c r="P83" s="136"/>
      <c r="R83" s="146"/>
    </row>
    <row r="84" spans="1:18">
      <c r="A84" s="306"/>
      <c r="B84" t="s">
        <v>215</v>
      </c>
      <c r="C84" t="s">
        <v>165</v>
      </c>
      <c r="D84">
        <v>0</v>
      </c>
      <c r="E84">
        <v>0</v>
      </c>
      <c r="F84">
        <v>0</v>
      </c>
      <c r="J84" s="136"/>
      <c r="K84" s="136"/>
      <c r="L84" s="136"/>
      <c r="M84" s="136"/>
      <c r="O84" s="146"/>
      <c r="P84" s="136"/>
      <c r="R84" s="146"/>
    </row>
    <row r="85" spans="1:18">
      <c r="A85" s="306"/>
      <c r="B85" t="s">
        <v>216</v>
      </c>
      <c r="C85" t="s">
        <v>165</v>
      </c>
      <c r="D85">
        <v>0</v>
      </c>
      <c r="E85">
        <v>0</v>
      </c>
      <c r="F85">
        <v>0</v>
      </c>
      <c r="J85" s="136"/>
      <c r="K85" s="136"/>
      <c r="L85" s="136"/>
      <c r="M85" s="136"/>
      <c r="O85" s="146"/>
      <c r="P85" s="136"/>
      <c r="R85" s="146"/>
    </row>
    <row r="86" spans="1:18">
      <c r="A86" s="306"/>
      <c r="B86" t="s">
        <v>217</v>
      </c>
      <c r="C86" t="s">
        <v>165</v>
      </c>
      <c r="D86">
        <v>0</v>
      </c>
      <c r="E86">
        <v>0</v>
      </c>
      <c r="F86">
        <v>0</v>
      </c>
      <c r="J86" s="136"/>
      <c r="K86" s="136"/>
      <c r="L86" s="136"/>
      <c r="M86" s="136"/>
      <c r="O86" s="146"/>
      <c r="P86" s="136"/>
      <c r="R86" s="146"/>
    </row>
    <row r="87" spans="1:18">
      <c r="A87" s="306"/>
      <c r="B87" t="s">
        <v>218</v>
      </c>
      <c r="C87" t="s">
        <v>165</v>
      </c>
      <c r="D87">
        <v>30</v>
      </c>
      <c r="E87">
        <v>30</v>
      </c>
      <c r="F87">
        <v>30</v>
      </c>
      <c r="J87" s="136"/>
      <c r="K87" s="136"/>
      <c r="L87" s="136"/>
      <c r="M87" s="136"/>
      <c r="O87" s="146"/>
      <c r="P87" s="136"/>
      <c r="R87" s="146"/>
    </row>
    <row r="88" spans="1:18">
      <c r="A88" s="306"/>
      <c r="B88" t="s">
        <v>219</v>
      </c>
      <c r="C88" t="s">
        <v>165</v>
      </c>
      <c r="D88">
        <v>0</v>
      </c>
      <c r="E88">
        <v>0</v>
      </c>
      <c r="F88">
        <v>0</v>
      </c>
      <c r="J88" s="136"/>
      <c r="K88" s="136"/>
      <c r="L88" s="136"/>
      <c r="M88" s="136"/>
      <c r="O88" s="146"/>
      <c r="P88" s="136"/>
      <c r="R88" s="146"/>
    </row>
    <row r="89" spans="1:18">
      <c r="A89" s="306"/>
      <c r="B89" t="s">
        <v>220</v>
      </c>
      <c r="C89" t="s">
        <v>165</v>
      </c>
      <c r="D89">
        <v>50</v>
      </c>
      <c r="E89">
        <v>50</v>
      </c>
      <c r="F89">
        <v>0</v>
      </c>
      <c r="J89" s="136"/>
      <c r="K89" s="136"/>
      <c r="L89" s="136"/>
      <c r="M89" s="136"/>
      <c r="O89" s="146"/>
      <c r="P89" s="136"/>
      <c r="R89" s="146"/>
    </row>
    <row r="90" spans="1:18">
      <c r="A90" s="306"/>
      <c r="B90" t="s">
        <v>221</v>
      </c>
      <c r="C90" t="s">
        <v>165</v>
      </c>
      <c r="D90">
        <v>20</v>
      </c>
      <c r="E90">
        <v>20</v>
      </c>
      <c r="F90">
        <v>20</v>
      </c>
      <c r="J90" s="190"/>
      <c r="K90" s="190"/>
      <c r="L90" s="190"/>
      <c r="M90" s="190"/>
      <c r="N90" s="191"/>
      <c r="O90" s="192"/>
      <c r="P90" s="190"/>
      <c r="Q90" s="191"/>
      <c r="R90" s="192"/>
    </row>
    <row r="91" spans="1:18">
      <c r="D91">
        <f>SUM(D82:D90)</f>
        <v>100</v>
      </c>
      <c r="E91">
        <f t="shared" ref="E91:F91" si="9">SUM(E82:E90)</f>
        <v>100</v>
      </c>
      <c r="F91">
        <f t="shared" si="9"/>
        <v>100</v>
      </c>
      <c r="J91">
        <f>SUM(J82:J90)</f>
        <v>0</v>
      </c>
      <c r="K91">
        <f t="shared" ref="K91:L91" si="10">SUM(K82:K90)</f>
        <v>0</v>
      </c>
      <c r="L91">
        <f t="shared" si="10"/>
        <v>0</v>
      </c>
      <c r="M91">
        <f t="shared" ref="M91:R91" si="11">SUM(M82:M90)</f>
        <v>0</v>
      </c>
      <c r="N91">
        <f t="shared" si="11"/>
        <v>0</v>
      </c>
      <c r="O91">
        <f t="shared" si="11"/>
        <v>0</v>
      </c>
      <c r="P91">
        <f t="shared" si="11"/>
        <v>0</v>
      </c>
      <c r="Q91">
        <f t="shared" si="11"/>
        <v>0</v>
      </c>
      <c r="R91">
        <f t="shared" si="11"/>
        <v>0</v>
      </c>
    </row>
  </sheetData>
  <mergeCells count="9">
    <mergeCell ref="P1:R1"/>
    <mergeCell ref="A3:A18"/>
    <mergeCell ref="A20:A48"/>
    <mergeCell ref="A51:A79"/>
    <mergeCell ref="A82:A90"/>
    <mergeCell ref="D1:F1"/>
    <mergeCell ref="G1:I1"/>
    <mergeCell ref="J1:L1"/>
    <mergeCell ref="M1:O1"/>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67F60-2601-4540-8412-ADC2F4F6FDAA}">
  <dimension ref="A11:F20"/>
  <sheetViews>
    <sheetView workbookViewId="0">
      <selection activeCell="E14" sqref="E14:E17"/>
    </sheetView>
  </sheetViews>
  <sheetFormatPr defaultColWidth="11.42578125" defaultRowHeight="15"/>
  <cols>
    <col min="2" max="2" width="48.140625" bestFit="1" customWidth="1"/>
  </cols>
  <sheetData>
    <row r="11" spans="1:6">
      <c r="A11" t="s">
        <v>222</v>
      </c>
    </row>
    <row r="12" spans="1:6">
      <c r="B12" t="s">
        <v>223</v>
      </c>
      <c r="E12" t="s">
        <v>224</v>
      </c>
    </row>
    <row r="13" spans="1:6">
      <c r="B13" t="s">
        <v>225</v>
      </c>
      <c r="D13">
        <v>520</v>
      </c>
    </row>
    <row r="14" spans="1:6">
      <c r="B14" t="s">
        <v>226</v>
      </c>
      <c r="C14" t="s">
        <v>227</v>
      </c>
      <c r="D14">
        <v>479</v>
      </c>
      <c r="E14">
        <f>14+300</f>
        <v>314</v>
      </c>
      <c r="F14" s="50">
        <f>E14/D14</f>
        <v>0.6555323590814196</v>
      </c>
    </row>
    <row r="15" spans="1:6">
      <c r="B15" t="s">
        <v>228</v>
      </c>
      <c r="C15" t="s">
        <v>227</v>
      </c>
      <c r="D15">
        <v>41</v>
      </c>
    </row>
    <row r="16" spans="1:6">
      <c r="B16" t="s">
        <v>229</v>
      </c>
      <c r="D16">
        <v>117914</v>
      </c>
    </row>
    <row r="17" spans="2:6">
      <c r="B17" t="s">
        <v>230</v>
      </c>
      <c r="C17" t="s">
        <v>227</v>
      </c>
      <c r="D17">
        <v>47787</v>
      </c>
      <c r="E17">
        <v>920</v>
      </c>
      <c r="F17" s="50">
        <f>E17/D17</f>
        <v>1.9252097850879946E-2</v>
      </c>
    </row>
    <row r="18" spans="2:6">
      <c r="B18" t="s">
        <v>231</v>
      </c>
      <c r="C18" t="s">
        <v>227</v>
      </c>
      <c r="D18">
        <v>70127</v>
      </c>
    </row>
    <row r="19" spans="2:6">
      <c r="B19" t="s">
        <v>232</v>
      </c>
    </row>
    <row r="20" spans="2:6">
      <c r="B20" t="s">
        <v>233</v>
      </c>
      <c r="C20" t="s">
        <v>227</v>
      </c>
      <c r="D20">
        <v>1553</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FFAC1-59EB-406C-95F3-FC1ECE87642D}">
  <sheetPr>
    <tabColor rgb="FFFFFF00"/>
  </sheetPr>
  <dimension ref="B2:F7"/>
  <sheetViews>
    <sheetView zoomScale="85" zoomScaleNormal="85" workbookViewId="0">
      <selection activeCell="C3" sqref="C3"/>
    </sheetView>
  </sheetViews>
  <sheetFormatPr defaultColWidth="11.42578125" defaultRowHeight="15"/>
  <cols>
    <col min="1" max="1" width="2.28515625" customWidth="1"/>
    <col min="3" max="3" width="24.7109375" style="229" bestFit="1" customWidth="1"/>
    <col min="4" max="4" width="88.42578125" customWidth="1"/>
    <col min="5" max="6" width="12.7109375" bestFit="1" customWidth="1"/>
  </cols>
  <sheetData>
    <row r="2" spans="2:6" ht="15.75">
      <c r="B2" s="4"/>
      <c r="C2" s="231" t="s">
        <v>234</v>
      </c>
      <c r="D2" s="232" t="s">
        <v>235</v>
      </c>
      <c r="E2" s="204"/>
      <c r="F2" s="204"/>
    </row>
    <row r="3" spans="2:6" ht="133.15" customHeight="1">
      <c r="B3" s="233">
        <v>1</v>
      </c>
      <c r="C3" s="205" t="s">
        <v>236</v>
      </c>
      <c r="D3" s="230" t="s">
        <v>237</v>
      </c>
    </row>
    <row r="4" spans="2:6" ht="131.44999999999999" customHeight="1">
      <c r="B4" s="233">
        <v>2</v>
      </c>
      <c r="C4" s="205" t="s">
        <v>238</v>
      </c>
      <c r="D4" s="230" t="s">
        <v>239</v>
      </c>
    </row>
    <row r="5" spans="2:6" ht="120.6" customHeight="1">
      <c r="B5" s="233">
        <v>3</v>
      </c>
      <c r="C5" s="205" t="s">
        <v>240</v>
      </c>
      <c r="D5" s="230" t="s">
        <v>241</v>
      </c>
    </row>
    <row r="6" spans="2:6" ht="102.6" customHeight="1">
      <c r="B6" s="233">
        <v>4</v>
      </c>
      <c r="C6" s="242" t="s">
        <v>242</v>
      </c>
      <c r="D6" s="230" t="s">
        <v>243</v>
      </c>
    </row>
    <row r="7" spans="2:6" ht="94.9" customHeight="1">
      <c r="B7" s="233">
        <v>5</v>
      </c>
      <c r="C7" s="205" t="s">
        <v>244</v>
      </c>
      <c r="D7" s="230" t="s">
        <v>245</v>
      </c>
    </row>
  </sheetData>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44269-44D1-4D72-836D-43593D13031A}">
  <dimension ref="B3:C8"/>
  <sheetViews>
    <sheetView workbookViewId="0">
      <selection activeCell="D6" sqref="D6"/>
    </sheetView>
  </sheetViews>
  <sheetFormatPr defaultColWidth="11.42578125" defaultRowHeight="15"/>
  <cols>
    <col min="2" max="2" width="24.7109375" bestFit="1" customWidth="1"/>
    <col min="3" max="3" width="88.42578125" customWidth="1"/>
  </cols>
  <sheetData>
    <row r="3" spans="2:3" ht="15.75">
      <c r="B3" s="231" t="s">
        <v>246</v>
      </c>
      <c r="C3" s="232" t="s">
        <v>247</v>
      </c>
    </row>
    <row r="4" spans="2:3" ht="120">
      <c r="B4" s="205" t="s">
        <v>248</v>
      </c>
      <c r="C4" s="230" t="s">
        <v>237</v>
      </c>
    </row>
    <row r="5" spans="2:3" ht="120">
      <c r="B5" s="205" t="s">
        <v>249</v>
      </c>
      <c r="C5" s="230" t="s">
        <v>239</v>
      </c>
    </row>
    <row r="6" spans="2:3" ht="78" customHeight="1">
      <c r="B6" s="205" t="s">
        <v>250</v>
      </c>
      <c r="C6" s="230" t="s">
        <v>241</v>
      </c>
    </row>
    <row r="7" spans="2:3" ht="91.15" customHeight="1">
      <c r="B7" s="242" t="s">
        <v>251</v>
      </c>
      <c r="C7" s="230" t="s">
        <v>243</v>
      </c>
    </row>
    <row r="8" spans="2:3" ht="75.599999999999994" customHeight="1">
      <c r="B8" s="205" t="s">
        <v>252</v>
      </c>
      <c r="C8" s="230" t="s">
        <v>245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7602B-6871-4507-BCAB-C4D1F86A1C5F}">
  <dimension ref="B2:V20"/>
  <sheetViews>
    <sheetView workbookViewId="0">
      <selection activeCell="N3" sqref="N3:V3"/>
    </sheetView>
  </sheetViews>
  <sheetFormatPr defaultColWidth="11.42578125" defaultRowHeight="15"/>
  <cols>
    <col min="2" max="2" width="44.5703125" bestFit="1" customWidth="1"/>
    <col min="3" max="3" width="7.5703125" customWidth="1"/>
    <col min="4" max="9" width="7.7109375" customWidth="1"/>
    <col min="12" max="12" width="25" customWidth="1"/>
    <col min="13" max="13" width="7.42578125" bestFit="1" customWidth="1"/>
    <col min="14" max="22" width="8.28515625" customWidth="1"/>
  </cols>
  <sheetData>
    <row r="2" spans="2:22">
      <c r="B2" s="4"/>
      <c r="C2" s="4"/>
      <c r="D2" s="311" t="s">
        <v>253</v>
      </c>
      <c r="E2" s="311"/>
      <c r="F2" s="311"/>
      <c r="G2" s="311"/>
      <c r="H2" s="311"/>
      <c r="I2" s="311"/>
      <c r="L2" s="4"/>
      <c r="M2" s="4"/>
      <c r="N2" s="311" t="s">
        <v>254</v>
      </c>
      <c r="O2" s="311"/>
      <c r="P2" s="311"/>
      <c r="Q2" s="311" t="s">
        <v>255</v>
      </c>
      <c r="R2" s="311"/>
      <c r="S2" s="311"/>
      <c r="T2" s="311" t="s">
        <v>256</v>
      </c>
      <c r="U2" s="311"/>
      <c r="V2" s="311"/>
    </row>
    <row r="3" spans="2:22">
      <c r="B3" s="4"/>
      <c r="C3" s="4"/>
      <c r="D3" s="311" t="s">
        <v>257</v>
      </c>
      <c r="E3" s="311"/>
      <c r="F3" s="311"/>
      <c r="G3" s="311" t="s">
        <v>258</v>
      </c>
      <c r="H3" s="311"/>
      <c r="I3" s="311"/>
      <c r="L3" s="4" t="s">
        <v>158</v>
      </c>
      <c r="M3" s="4" t="s">
        <v>159</v>
      </c>
      <c r="N3" s="4" t="s">
        <v>6</v>
      </c>
      <c r="O3" s="4" t="s">
        <v>18</v>
      </c>
      <c r="P3" s="4" t="s">
        <v>160</v>
      </c>
      <c r="Q3" s="4" t="s">
        <v>6</v>
      </c>
      <c r="R3" s="4" t="s">
        <v>18</v>
      </c>
      <c r="S3" s="4" t="s">
        <v>160</v>
      </c>
      <c r="T3" s="4" t="s">
        <v>6</v>
      </c>
      <c r="U3" s="4" t="s">
        <v>18</v>
      </c>
      <c r="V3" s="4" t="s">
        <v>160</v>
      </c>
    </row>
    <row r="4" spans="2:22">
      <c r="B4" s="4" t="s">
        <v>158</v>
      </c>
      <c r="C4" s="4" t="s">
        <v>159</v>
      </c>
      <c r="D4" s="244" t="s">
        <v>6</v>
      </c>
      <c r="E4" s="244" t="s">
        <v>18</v>
      </c>
      <c r="F4" s="244" t="s">
        <v>160</v>
      </c>
      <c r="G4" s="244" t="s">
        <v>6</v>
      </c>
      <c r="H4" s="244" t="s">
        <v>18</v>
      </c>
      <c r="I4" s="244" t="s">
        <v>160</v>
      </c>
      <c r="L4" s="247" t="s">
        <v>162</v>
      </c>
      <c r="M4" s="4" t="s">
        <v>163</v>
      </c>
      <c r="N4" s="4">
        <v>57</v>
      </c>
      <c r="O4" s="4">
        <v>57</v>
      </c>
      <c r="P4" s="4">
        <v>45</v>
      </c>
      <c r="Q4" s="4">
        <v>54</v>
      </c>
      <c r="R4" s="4">
        <v>54</v>
      </c>
      <c r="S4" s="4">
        <v>45</v>
      </c>
      <c r="T4" s="4">
        <v>57</v>
      </c>
      <c r="U4" s="4">
        <v>57</v>
      </c>
      <c r="V4" s="4">
        <v>49</v>
      </c>
    </row>
    <row r="5" spans="2:22" ht="30">
      <c r="B5" s="4" t="s">
        <v>162</v>
      </c>
      <c r="C5" s="4" t="s">
        <v>163</v>
      </c>
      <c r="D5" s="4">
        <v>45</v>
      </c>
      <c r="E5" s="4">
        <v>45</v>
      </c>
      <c r="F5" s="4">
        <v>39</v>
      </c>
      <c r="G5" s="4">
        <v>45</v>
      </c>
      <c r="H5" s="4">
        <v>45</v>
      </c>
      <c r="I5" s="4">
        <v>39</v>
      </c>
      <c r="L5" s="247" t="s">
        <v>164</v>
      </c>
      <c r="M5" s="4" t="s">
        <v>165</v>
      </c>
      <c r="N5" s="245">
        <v>0.06</v>
      </c>
      <c r="O5" s="245">
        <v>0.06</v>
      </c>
      <c r="P5" s="245">
        <v>4.5246599999999998E-2</v>
      </c>
      <c r="Q5" s="245">
        <v>7.0000000000000007E-2</v>
      </c>
      <c r="R5" s="245">
        <v>7.0000000000000007E-2</v>
      </c>
      <c r="S5" s="245">
        <v>4.1334300000000011E-2</v>
      </c>
      <c r="T5" s="245">
        <v>0.06</v>
      </c>
      <c r="U5" s="245">
        <v>0.06</v>
      </c>
      <c r="V5" s="245">
        <v>4.8261420000000006E-2</v>
      </c>
    </row>
    <row r="6" spans="2:22" ht="30">
      <c r="B6" s="4" t="s">
        <v>164</v>
      </c>
      <c r="C6" s="4" t="s">
        <v>165</v>
      </c>
      <c r="D6" s="245">
        <v>0.06</v>
      </c>
      <c r="E6" s="245">
        <v>0.06</v>
      </c>
      <c r="F6" s="245">
        <v>4.6426856249999988E-2</v>
      </c>
      <c r="G6" s="245">
        <v>0.06</v>
      </c>
      <c r="H6" s="245">
        <v>0.06</v>
      </c>
      <c r="I6" s="245">
        <v>4.6426856249999988E-2</v>
      </c>
      <c r="L6" s="247" t="s">
        <v>166</v>
      </c>
      <c r="M6" s="4" t="s">
        <v>165</v>
      </c>
      <c r="N6" s="245">
        <v>0.09</v>
      </c>
      <c r="O6" s="245">
        <v>0.09</v>
      </c>
      <c r="P6" s="245">
        <v>6.9640284374999986E-2</v>
      </c>
      <c r="Q6" s="245">
        <v>0.1</v>
      </c>
      <c r="R6" s="245">
        <v>0.1</v>
      </c>
      <c r="S6" s="245">
        <v>5.9049000000000018E-2</v>
      </c>
      <c r="T6" s="245">
        <v>0.09</v>
      </c>
      <c r="U6" s="245">
        <v>0.09</v>
      </c>
      <c r="V6" s="245">
        <v>6.7324680900000017E-2</v>
      </c>
    </row>
    <row r="7" spans="2:22">
      <c r="B7" s="4" t="s">
        <v>166</v>
      </c>
      <c r="C7" s="4" t="s">
        <v>165</v>
      </c>
      <c r="D7" s="245">
        <v>0.09</v>
      </c>
      <c r="E7" s="245">
        <v>0.09</v>
      </c>
      <c r="F7" s="245">
        <v>6.9640284374999986E-2</v>
      </c>
      <c r="G7" s="245">
        <v>0.09</v>
      </c>
      <c r="H7" s="245">
        <v>0.09</v>
      </c>
      <c r="I7" s="245">
        <v>6.9640284374999986E-2</v>
      </c>
      <c r="L7" s="247" t="s">
        <v>167</v>
      </c>
      <c r="M7" s="4" t="s">
        <v>165</v>
      </c>
      <c r="N7" s="245">
        <v>0.09</v>
      </c>
      <c r="O7" s="245">
        <v>0.09</v>
      </c>
      <c r="P7" s="245">
        <v>6.9640284374999986E-2</v>
      </c>
      <c r="Q7" s="245">
        <v>0.1</v>
      </c>
      <c r="R7" s="245">
        <v>0.1</v>
      </c>
      <c r="S7" s="245">
        <v>5.9049000000000018E-2</v>
      </c>
      <c r="T7" s="245">
        <v>0.09</v>
      </c>
      <c r="U7" s="245">
        <v>0.09</v>
      </c>
      <c r="V7" s="245">
        <v>6.7324680900000017E-2</v>
      </c>
    </row>
    <row r="8" spans="2:22" ht="30">
      <c r="B8" s="4" t="s">
        <v>167</v>
      </c>
      <c r="C8" s="4" t="s">
        <v>165</v>
      </c>
      <c r="D8" s="245">
        <v>0.09</v>
      </c>
      <c r="E8" s="245">
        <v>0.09</v>
      </c>
      <c r="F8" s="245">
        <v>6.9640284374999986E-2</v>
      </c>
      <c r="G8" s="245">
        <v>0.09</v>
      </c>
      <c r="H8" s="245">
        <v>0.09</v>
      </c>
      <c r="I8" s="245">
        <v>6.9640284374999986E-2</v>
      </c>
      <c r="L8" s="247" t="s">
        <v>168</v>
      </c>
      <c r="M8" s="4" t="s">
        <v>165</v>
      </c>
      <c r="N8" s="245">
        <v>0.6</v>
      </c>
      <c r="O8" s="245">
        <v>0.6</v>
      </c>
      <c r="P8" s="245">
        <v>0.63749999999999973</v>
      </c>
      <c r="Q8" s="245">
        <v>0.6</v>
      </c>
      <c r="R8" s="245">
        <v>0.6</v>
      </c>
      <c r="S8" s="245">
        <v>0.64</v>
      </c>
      <c r="T8" s="245">
        <v>0.59</v>
      </c>
      <c r="U8" s="245">
        <v>0.59</v>
      </c>
      <c r="V8" s="245">
        <v>0.64</v>
      </c>
    </row>
    <row r="9" spans="2:22" ht="30">
      <c r="B9" s="4" t="s">
        <v>168</v>
      </c>
      <c r="C9" s="4" t="s">
        <v>165</v>
      </c>
      <c r="D9" s="245">
        <v>0.67500000000000004</v>
      </c>
      <c r="E9" s="245">
        <v>0.67500000000000004</v>
      </c>
      <c r="F9" s="245">
        <v>0.7430000000000001</v>
      </c>
      <c r="G9" s="245">
        <v>0.67500000000000004</v>
      </c>
      <c r="H9" s="245">
        <v>0.67500000000000004</v>
      </c>
      <c r="I9" s="245">
        <v>0.7430000000000001</v>
      </c>
      <c r="L9" s="247" t="s">
        <v>169</v>
      </c>
      <c r="M9" s="4" t="s">
        <v>170</v>
      </c>
      <c r="N9" s="4">
        <v>350</v>
      </c>
      <c r="O9" s="4">
        <v>350</v>
      </c>
      <c r="P9" s="4">
        <v>348.27519999999998</v>
      </c>
      <c r="Q9" s="4">
        <v>322</v>
      </c>
      <c r="R9" s="4">
        <v>322</v>
      </c>
      <c r="S9" s="4">
        <v>355.00500000000005</v>
      </c>
      <c r="T9" s="4">
        <v>322</v>
      </c>
      <c r="U9" s="4">
        <v>322</v>
      </c>
      <c r="V9" s="4">
        <v>355.00500000000005</v>
      </c>
    </row>
    <row r="10" spans="2:22">
      <c r="B10" s="4" t="s">
        <v>169</v>
      </c>
      <c r="C10" s="4" t="s">
        <v>170</v>
      </c>
      <c r="D10" s="4">
        <v>400</v>
      </c>
      <c r="E10" s="4">
        <v>400</v>
      </c>
      <c r="F10" s="4">
        <v>441</v>
      </c>
      <c r="G10" s="4">
        <v>435</v>
      </c>
      <c r="H10" s="4">
        <v>435</v>
      </c>
      <c r="I10" s="246">
        <v>479.58750000000003</v>
      </c>
      <c r="L10" s="247" t="s">
        <v>171</v>
      </c>
      <c r="M10" s="4" t="s">
        <v>170</v>
      </c>
      <c r="N10" s="4">
        <v>350</v>
      </c>
      <c r="O10" s="4">
        <v>350</v>
      </c>
      <c r="P10" s="4">
        <v>348.27519999999998</v>
      </c>
      <c r="Q10" s="4">
        <v>322</v>
      </c>
      <c r="R10" s="4">
        <v>322</v>
      </c>
      <c r="S10" s="4">
        <v>355.00500000000005</v>
      </c>
      <c r="T10" s="4">
        <v>322</v>
      </c>
      <c r="U10" s="4">
        <v>322</v>
      </c>
      <c r="V10" s="4">
        <v>355.00500000000005</v>
      </c>
    </row>
    <row r="11" spans="2:22" ht="30">
      <c r="B11" s="4" t="s">
        <v>171</v>
      </c>
      <c r="C11" s="4" t="s">
        <v>170</v>
      </c>
      <c r="D11" s="4">
        <v>400</v>
      </c>
      <c r="E11" s="4">
        <v>400</v>
      </c>
      <c r="F11" s="4">
        <v>441</v>
      </c>
      <c r="G11" s="4">
        <v>435</v>
      </c>
      <c r="H11" s="4">
        <v>435</v>
      </c>
      <c r="I11" s="246">
        <v>479.58750000000003</v>
      </c>
      <c r="L11" s="247" t="s">
        <v>172</v>
      </c>
      <c r="M11" s="4" t="s">
        <v>170</v>
      </c>
      <c r="N11" s="246">
        <v>204.28799999999998</v>
      </c>
      <c r="O11" s="246">
        <v>204.28799999999998</v>
      </c>
      <c r="P11" s="246">
        <v>220.9579008</v>
      </c>
      <c r="Q11" s="246">
        <v>204.28799999999998</v>
      </c>
      <c r="R11" s="246">
        <v>204.28799999999998</v>
      </c>
      <c r="S11" s="246">
        <v>225.22752</v>
      </c>
      <c r="T11" s="246">
        <v>204.28799999999998</v>
      </c>
      <c r="U11" s="246">
        <v>204.28799999999998</v>
      </c>
      <c r="V11" s="246">
        <v>225.22752</v>
      </c>
    </row>
    <row r="12" spans="2:22" ht="30">
      <c r="B12" s="4" t="s">
        <v>172</v>
      </c>
      <c r="C12" s="4" t="s">
        <v>170</v>
      </c>
      <c r="D12" s="246">
        <v>277.24799999999999</v>
      </c>
      <c r="E12" s="246">
        <v>277.24799999999999</v>
      </c>
      <c r="F12" s="246">
        <v>305.66592000000003</v>
      </c>
      <c r="G12" s="246">
        <v>299.13599999999997</v>
      </c>
      <c r="H12" s="246">
        <v>299.13599999999997</v>
      </c>
      <c r="I12" s="246">
        <v>329.79743999999994</v>
      </c>
      <c r="L12" s="247" t="s">
        <v>173</v>
      </c>
      <c r="M12" s="4" t="s">
        <v>170</v>
      </c>
      <c r="N12" s="246">
        <v>204.28799999999998</v>
      </c>
      <c r="O12" s="246">
        <v>204.28799999999998</v>
      </c>
      <c r="P12" s="246">
        <v>220.9579008</v>
      </c>
      <c r="Q12" s="246">
        <v>204.28799999999998</v>
      </c>
      <c r="R12" s="246">
        <v>204.28799999999998</v>
      </c>
      <c r="S12" s="246">
        <v>225.22752</v>
      </c>
      <c r="T12" s="246">
        <v>204.28799999999998</v>
      </c>
      <c r="U12" s="246">
        <v>204.28799999999998</v>
      </c>
      <c r="V12" s="246">
        <v>225.22752</v>
      </c>
    </row>
    <row r="13" spans="2:22">
      <c r="B13" s="4" t="s">
        <v>173</v>
      </c>
      <c r="C13" s="4" t="s">
        <v>170</v>
      </c>
      <c r="D13" s="246">
        <v>277.24799999999999</v>
      </c>
      <c r="E13" s="246">
        <v>277.24799999999999</v>
      </c>
      <c r="F13" s="246">
        <v>305.66592000000003</v>
      </c>
      <c r="G13" s="246">
        <v>299.13599999999997</v>
      </c>
      <c r="H13" s="246">
        <v>299.13599999999997</v>
      </c>
      <c r="I13" s="246">
        <v>329.79743999999994</v>
      </c>
      <c r="L13" s="247" t="s">
        <v>174</v>
      </c>
      <c r="M13" s="4" t="s">
        <v>165</v>
      </c>
      <c r="N13" s="4">
        <v>4</v>
      </c>
      <c r="O13" s="4">
        <v>4</v>
      </c>
      <c r="P13" s="4">
        <v>4</v>
      </c>
      <c r="Q13" s="4">
        <v>4</v>
      </c>
      <c r="R13" s="4">
        <v>4</v>
      </c>
      <c r="S13" s="4">
        <v>4</v>
      </c>
      <c r="T13" s="4">
        <v>4</v>
      </c>
      <c r="U13" s="4">
        <v>4</v>
      </c>
      <c r="V13" s="4">
        <v>4</v>
      </c>
    </row>
    <row r="14" spans="2:22">
      <c r="B14" s="4" t="s">
        <v>174</v>
      </c>
      <c r="C14" s="4" t="s">
        <v>165</v>
      </c>
      <c r="D14" s="4">
        <v>4</v>
      </c>
      <c r="E14" s="4">
        <v>4</v>
      </c>
      <c r="F14" s="4">
        <v>4</v>
      </c>
      <c r="G14" s="4">
        <v>4</v>
      </c>
      <c r="H14" s="4">
        <v>4</v>
      </c>
      <c r="I14" s="4">
        <v>4</v>
      </c>
      <c r="L14" s="247" t="s">
        <v>175</v>
      </c>
      <c r="M14" s="4" t="s">
        <v>165</v>
      </c>
      <c r="N14" s="4">
        <v>3.5</v>
      </c>
      <c r="O14" s="4">
        <v>3.5</v>
      </c>
      <c r="P14" s="4">
        <v>3.5</v>
      </c>
      <c r="Q14" s="4">
        <v>3.5</v>
      </c>
      <c r="R14" s="4">
        <v>3.5</v>
      </c>
      <c r="S14" s="4">
        <v>3.5</v>
      </c>
      <c r="T14" s="4">
        <v>3.5</v>
      </c>
      <c r="U14" s="4">
        <v>3.5</v>
      </c>
      <c r="V14" s="4">
        <v>3.5</v>
      </c>
    </row>
    <row r="15" spans="2:22">
      <c r="B15" s="4" t="s">
        <v>175</v>
      </c>
      <c r="C15" s="4" t="s">
        <v>165</v>
      </c>
      <c r="D15" s="4">
        <v>3.5</v>
      </c>
      <c r="E15" s="4">
        <v>3.5</v>
      </c>
      <c r="F15" s="4">
        <v>3.5</v>
      </c>
      <c r="G15" s="4">
        <v>3.5</v>
      </c>
      <c r="H15" s="4">
        <v>3.5</v>
      </c>
      <c r="I15" s="4">
        <v>3.5</v>
      </c>
      <c r="L15" s="247" t="s">
        <v>176</v>
      </c>
      <c r="M15" s="4" t="s">
        <v>170</v>
      </c>
      <c r="N15" s="4">
        <v>720</v>
      </c>
      <c r="O15" s="4">
        <v>720</v>
      </c>
      <c r="P15" s="4">
        <v>1019.2423918648391</v>
      </c>
      <c r="Q15" s="4">
        <v>400</v>
      </c>
      <c r="R15" s="4">
        <v>400</v>
      </c>
      <c r="S15" s="4">
        <v>546</v>
      </c>
      <c r="T15" s="4">
        <v>270</v>
      </c>
      <c r="U15" s="4">
        <v>270</v>
      </c>
      <c r="V15" s="4">
        <v>356</v>
      </c>
    </row>
    <row r="16" spans="2:22" ht="30">
      <c r="B16" s="4" t="s">
        <v>176</v>
      </c>
      <c r="C16" s="4" t="s">
        <v>170</v>
      </c>
      <c r="D16" s="4">
        <v>1870</v>
      </c>
      <c r="E16" s="4">
        <v>1870</v>
      </c>
      <c r="F16" s="4">
        <v>2787.2593273115854</v>
      </c>
      <c r="G16" s="4">
        <v>2475</v>
      </c>
      <c r="H16" s="4">
        <v>2475</v>
      </c>
      <c r="I16" s="4">
        <v>3804.1821332156246</v>
      </c>
      <c r="L16" s="247" t="s">
        <v>177</v>
      </c>
      <c r="M16" s="4" t="s">
        <v>116</v>
      </c>
      <c r="N16" s="246">
        <v>82407.97208381792</v>
      </c>
      <c r="O16" s="246">
        <v>127378.96507676777</v>
      </c>
      <c r="P16" s="246">
        <v>100076.6928396313</v>
      </c>
      <c r="Q16" s="246">
        <v>1233769.8515845451</v>
      </c>
      <c r="R16" s="246">
        <v>1558353.1835858349</v>
      </c>
      <c r="S16" s="246">
        <v>1509608.0852049845</v>
      </c>
      <c r="T16" s="246">
        <v>65674.627742743251</v>
      </c>
      <c r="U16" s="246">
        <v>80802.921846759637</v>
      </c>
      <c r="V16" s="246">
        <v>79456.224445858039</v>
      </c>
    </row>
    <row r="17" spans="2:22" ht="30">
      <c r="B17" s="4" t="s">
        <v>177</v>
      </c>
      <c r="C17" s="4" t="s">
        <v>116</v>
      </c>
      <c r="D17" s="246">
        <v>556.26741153969454</v>
      </c>
      <c r="E17" s="246">
        <v>838.92734241091625</v>
      </c>
      <c r="F17" s="246">
        <v>675.53419255036283</v>
      </c>
      <c r="G17" s="246">
        <v>302.52480956358136</v>
      </c>
      <c r="H17" s="246">
        <v>432.35506076880915</v>
      </c>
      <c r="I17" s="246">
        <v>371.55574788388259</v>
      </c>
      <c r="L17" s="247" t="s">
        <v>178</v>
      </c>
      <c r="M17" s="4" t="s">
        <v>116</v>
      </c>
      <c r="N17" s="246">
        <v>13861.719656927891</v>
      </c>
      <c r="O17" s="246">
        <v>21426.221995705244</v>
      </c>
      <c r="P17" s="246">
        <v>16833.748304405337</v>
      </c>
      <c r="Q17" s="246">
        <v>77122.973478299638</v>
      </c>
      <c r="R17" s="246">
        <v>97412.682838018271</v>
      </c>
      <c r="S17" s="246">
        <v>94365.625945847307</v>
      </c>
      <c r="T17" s="246">
        <v>2951.7828018324558</v>
      </c>
      <c r="U17" s="246">
        <v>3631.7324245729233</v>
      </c>
      <c r="V17" s="246">
        <v>3571.2043581965891</v>
      </c>
    </row>
    <row r="18" spans="2:22" ht="30">
      <c r="B18" s="4" t="s">
        <v>178</v>
      </c>
      <c r="C18" s="4" t="s">
        <v>116</v>
      </c>
      <c r="D18" s="246">
        <v>132.13671638988993</v>
      </c>
      <c r="E18" s="246">
        <v>199.28024186972345</v>
      </c>
      <c r="F18" s="246">
        <v>160.46755240546912</v>
      </c>
      <c r="G18" s="246">
        <v>44.647095181150185</v>
      </c>
      <c r="H18" s="246">
        <v>63.807651273440491</v>
      </c>
      <c r="I18" s="246">
        <v>54.834791450017178</v>
      </c>
      <c r="L18" s="247" t="s">
        <v>179</v>
      </c>
      <c r="M18" s="4" t="s">
        <v>165</v>
      </c>
      <c r="N18" s="245">
        <v>0.125</v>
      </c>
      <c r="O18" s="245">
        <v>0.125</v>
      </c>
      <c r="P18" s="245">
        <v>0.125</v>
      </c>
      <c r="Q18" s="245">
        <v>0.125</v>
      </c>
      <c r="R18" s="245">
        <v>0.125</v>
      </c>
      <c r="S18" s="245">
        <v>0.125</v>
      </c>
      <c r="T18" s="245">
        <v>0.13043478260869565</v>
      </c>
      <c r="U18" s="245">
        <v>0.13043478260869565</v>
      </c>
      <c r="V18" s="245">
        <v>0.125</v>
      </c>
    </row>
    <row r="19" spans="2:22">
      <c r="B19" s="4" t="s">
        <v>179</v>
      </c>
      <c r="C19" s="4" t="s">
        <v>165</v>
      </c>
      <c r="D19" s="245">
        <v>0.11764705882352941</v>
      </c>
      <c r="E19" s="245">
        <v>0.11764705882352941</v>
      </c>
      <c r="F19" s="245">
        <v>0.11764705882352941</v>
      </c>
      <c r="G19" s="245">
        <v>0.11764705882352941</v>
      </c>
      <c r="H19" s="245">
        <v>0.11764705882352941</v>
      </c>
      <c r="I19" s="245">
        <v>0.11764705882352941</v>
      </c>
      <c r="L19" s="247" t="s">
        <v>180</v>
      </c>
      <c r="M19" s="4" t="s">
        <v>170</v>
      </c>
      <c r="N19" s="4">
        <v>21.5</v>
      </c>
      <c r="O19" s="4">
        <v>21.5</v>
      </c>
      <c r="P19" s="4">
        <v>25.8</v>
      </c>
      <c r="Q19" s="4">
        <v>21.5</v>
      </c>
      <c r="R19" s="4">
        <v>21.5</v>
      </c>
      <c r="S19" s="4">
        <v>25.8</v>
      </c>
      <c r="T19" s="4">
        <v>21.5</v>
      </c>
      <c r="U19" s="4">
        <v>21.5</v>
      </c>
      <c r="V19" s="4">
        <v>25.8</v>
      </c>
    </row>
    <row r="20" spans="2:22">
      <c r="B20" s="4" t="s">
        <v>180</v>
      </c>
      <c r="C20" s="4" t="s">
        <v>170</v>
      </c>
      <c r="D20" s="4">
        <v>28</v>
      </c>
      <c r="E20" s="4">
        <v>28</v>
      </c>
      <c r="F20" s="4">
        <v>28</v>
      </c>
      <c r="G20" s="4">
        <v>32.5</v>
      </c>
      <c r="H20" s="4">
        <v>32.5</v>
      </c>
      <c r="I20" s="4">
        <v>32.5</v>
      </c>
    </row>
  </sheetData>
  <mergeCells count="6">
    <mergeCell ref="T2:V2"/>
    <mergeCell ref="D3:F3"/>
    <mergeCell ref="G3:I3"/>
    <mergeCell ref="D2:I2"/>
    <mergeCell ref="N2:P2"/>
    <mergeCell ref="Q2:S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C19D-F989-45CB-AD69-1E2213C59F1A}">
  <dimension ref="A1:AG60"/>
  <sheetViews>
    <sheetView workbookViewId="0">
      <pane xSplit="2" ySplit="2" topLeftCell="C3" activePane="bottomRight" state="frozen"/>
      <selection pane="bottomRight" activeCell="D61" sqref="D61"/>
      <selection pane="bottomLeft" activeCell="A3" sqref="A3"/>
      <selection pane="topRight" activeCell="C1" sqref="C1"/>
    </sheetView>
  </sheetViews>
  <sheetFormatPr defaultColWidth="8.85546875" defaultRowHeight="15"/>
  <cols>
    <col min="1" max="1" width="48.42578125" customWidth="1"/>
    <col min="2" max="2" width="16.28515625" bestFit="1" customWidth="1"/>
    <col min="3" max="5" width="18.7109375" bestFit="1" customWidth="1"/>
    <col min="6" max="8" width="17.7109375" bestFit="1" customWidth="1"/>
    <col min="9" max="9" width="15" bestFit="1" customWidth="1"/>
    <col min="10" max="11" width="13.42578125" bestFit="1" customWidth="1"/>
    <col min="12" max="14" width="14.85546875" bestFit="1" customWidth="1"/>
    <col min="15" max="15" width="13.5703125" bestFit="1" customWidth="1"/>
    <col min="16" max="16" width="13.42578125" bestFit="1" customWidth="1"/>
    <col min="17" max="19" width="13.5703125" bestFit="1" customWidth="1"/>
    <col min="21" max="21" width="13.5703125" bestFit="1" customWidth="1"/>
    <col min="23" max="23" width="13.5703125" bestFit="1" customWidth="1"/>
    <col min="25" max="25" width="13.5703125" bestFit="1" customWidth="1"/>
    <col min="27" max="27" width="13.5703125" bestFit="1" customWidth="1"/>
    <col min="28" max="28" width="10" bestFit="1" customWidth="1"/>
    <col min="29" max="29" width="13.5703125" bestFit="1" customWidth="1"/>
    <col min="30" max="30" width="10" bestFit="1" customWidth="1"/>
    <col min="31" max="31" width="13.5703125" bestFit="1" customWidth="1"/>
    <col min="32" max="32" width="10" bestFit="1" customWidth="1"/>
    <col min="33" max="33" width="13.5703125" bestFit="1" customWidth="1"/>
    <col min="34" max="34" width="10" bestFit="1" customWidth="1"/>
    <col min="35" max="35" width="15" bestFit="1" customWidth="1"/>
    <col min="36" max="36" width="10" bestFit="1" customWidth="1"/>
    <col min="37" max="37" width="15" bestFit="1" customWidth="1"/>
    <col min="38" max="38" width="10" bestFit="1" customWidth="1"/>
    <col min="39" max="39" width="13.5703125" bestFit="1" customWidth="1"/>
    <col min="41" max="41" width="13.5703125" bestFit="1" customWidth="1"/>
    <col min="43" max="43" width="13.7109375" bestFit="1" customWidth="1"/>
  </cols>
  <sheetData>
    <row r="1" spans="1:33">
      <c r="C1" s="308" t="s">
        <v>0</v>
      </c>
      <c r="D1" s="309"/>
      <c r="E1" s="310"/>
      <c r="F1" s="308" t="s">
        <v>1</v>
      </c>
      <c r="G1" s="309"/>
      <c r="H1" s="310"/>
      <c r="I1" s="308" t="s">
        <v>155</v>
      </c>
      <c r="J1" s="309"/>
      <c r="K1" s="310"/>
      <c r="L1" s="305" t="s">
        <v>156</v>
      </c>
      <c r="M1" s="305"/>
      <c r="N1" s="305"/>
      <c r="O1" s="305" t="s">
        <v>157</v>
      </c>
      <c r="P1" s="305"/>
      <c r="Q1" s="305"/>
    </row>
    <row r="2" spans="1:33" s="40" customFormat="1">
      <c r="A2" s="40" t="s">
        <v>96</v>
      </c>
      <c r="B2" s="40" t="s">
        <v>97</v>
      </c>
      <c r="C2" s="150" t="s">
        <v>6</v>
      </c>
      <c r="D2" s="150" t="s">
        <v>18</v>
      </c>
      <c r="E2" s="150" t="s">
        <v>160</v>
      </c>
      <c r="F2" s="150" t="s">
        <v>6</v>
      </c>
      <c r="G2" s="150" t="s">
        <v>18</v>
      </c>
      <c r="H2" s="150" t="s">
        <v>160</v>
      </c>
      <c r="I2" s="150" t="s">
        <v>6</v>
      </c>
      <c r="J2" s="150" t="s">
        <v>18</v>
      </c>
      <c r="K2" s="150" t="s">
        <v>160</v>
      </c>
      <c r="L2" s="150" t="s">
        <v>6</v>
      </c>
      <c r="M2" s="150" t="s">
        <v>18</v>
      </c>
      <c r="N2" s="150" t="s">
        <v>160</v>
      </c>
      <c r="O2" s="150" t="s">
        <v>6</v>
      </c>
      <c r="P2" s="150" t="s">
        <v>18</v>
      </c>
      <c r="Q2" s="150" t="s">
        <v>160</v>
      </c>
    </row>
    <row r="3" spans="1:33">
      <c r="A3" t="s">
        <v>132</v>
      </c>
      <c r="B3" t="s">
        <v>116</v>
      </c>
      <c r="C3" s="49">
        <v>243.79</v>
      </c>
      <c r="D3" s="49">
        <v>367.88</v>
      </c>
      <c r="E3" s="49">
        <v>329.55</v>
      </c>
      <c r="F3">
        <v>131.52000000000001</v>
      </c>
      <c r="G3">
        <v>187.52</v>
      </c>
      <c r="H3">
        <v>179.23</v>
      </c>
      <c r="I3" s="49">
        <v>27540.76</v>
      </c>
      <c r="J3" s="49">
        <v>42570.07</v>
      </c>
      <c r="K3" s="49">
        <v>45016.78</v>
      </c>
      <c r="L3" s="49">
        <v>65730.28</v>
      </c>
      <c r="M3" s="49">
        <v>83022.850000000006</v>
      </c>
      <c r="N3" s="49">
        <v>108980.43</v>
      </c>
      <c r="O3" s="49">
        <v>5324.15</v>
      </c>
      <c r="P3" s="49">
        <v>6550.64</v>
      </c>
      <c r="Q3" s="49">
        <v>7909.68</v>
      </c>
      <c r="R3" s="49"/>
      <c r="S3" s="50"/>
      <c r="T3" s="49"/>
      <c r="U3" s="50"/>
      <c r="V3" s="49"/>
      <c r="W3" s="50"/>
      <c r="X3" s="49"/>
      <c r="Y3" s="50"/>
      <c r="Z3" s="49"/>
      <c r="AA3" s="50"/>
      <c r="AB3" s="49"/>
      <c r="AC3" s="50"/>
      <c r="AD3" s="49"/>
      <c r="AE3" s="50"/>
    </row>
    <row r="4" spans="1:33">
      <c r="A4" t="s">
        <v>133</v>
      </c>
      <c r="B4" t="s">
        <v>116</v>
      </c>
      <c r="C4" s="49">
        <v>342.59</v>
      </c>
      <c r="D4" s="49">
        <v>517.11</v>
      </c>
      <c r="E4" s="49">
        <v>413.87</v>
      </c>
      <c r="F4">
        <v>205.71</v>
      </c>
      <c r="G4">
        <v>293.41000000000003</v>
      </c>
      <c r="H4">
        <v>249.68</v>
      </c>
      <c r="I4" s="49">
        <v>53485.17</v>
      </c>
      <c r="J4" s="49">
        <v>82673.100000000006</v>
      </c>
      <c r="K4" s="49">
        <v>72276.45</v>
      </c>
      <c r="L4" s="49">
        <v>151546.76</v>
      </c>
      <c r="M4" s="49">
        <v>191416.42</v>
      </c>
      <c r="N4" s="49">
        <v>184142.46</v>
      </c>
      <c r="O4" s="49">
        <v>12483.72</v>
      </c>
      <c r="P4" s="49">
        <v>15358.84</v>
      </c>
      <c r="Q4" s="49">
        <v>14490.71</v>
      </c>
      <c r="R4" s="49"/>
      <c r="S4" s="50"/>
      <c r="T4" s="49"/>
      <c r="U4" s="50"/>
      <c r="V4" s="49"/>
      <c r="W4" s="50"/>
      <c r="X4" s="49"/>
      <c r="Y4" s="50"/>
      <c r="Z4" s="49"/>
      <c r="AA4" s="50"/>
      <c r="AB4" s="49"/>
      <c r="AC4" s="50"/>
      <c r="AD4" s="49"/>
      <c r="AE4" s="50"/>
    </row>
    <row r="5" spans="1:33">
      <c r="A5" t="s">
        <v>134</v>
      </c>
      <c r="B5" t="s">
        <v>116</v>
      </c>
      <c r="C5" s="49">
        <v>285.35000000000002</v>
      </c>
      <c r="D5" s="49">
        <v>430.59</v>
      </c>
      <c r="E5" s="49">
        <v>289.83</v>
      </c>
      <c r="F5">
        <v>155.51</v>
      </c>
      <c r="G5">
        <v>221.71</v>
      </c>
      <c r="H5">
        <v>159.49</v>
      </c>
      <c r="I5" s="49">
        <v>59015.99</v>
      </c>
      <c r="J5" s="49">
        <v>91221.7</v>
      </c>
      <c r="K5" s="49">
        <v>61670.9</v>
      </c>
      <c r="L5" s="49">
        <v>146283.71</v>
      </c>
      <c r="M5" s="49">
        <v>184768.58</v>
      </c>
      <c r="N5" s="49">
        <v>135061.63</v>
      </c>
      <c r="O5" s="49">
        <v>11775.5</v>
      </c>
      <c r="P5" s="49">
        <v>14488.15</v>
      </c>
      <c r="Q5" s="49">
        <v>11172.64</v>
      </c>
      <c r="R5" s="49"/>
      <c r="S5" s="50"/>
      <c r="T5" s="49"/>
      <c r="U5" s="50"/>
      <c r="V5" s="49"/>
      <c r="W5" s="50"/>
      <c r="X5" s="49"/>
      <c r="Y5" s="50"/>
      <c r="Z5" s="49"/>
      <c r="AA5" s="50"/>
      <c r="AB5" s="49"/>
      <c r="AC5" s="50"/>
      <c r="AD5" s="49"/>
      <c r="AE5" s="50"/>
    </row>
    <row r="6" spans="1:33">
      <c r="A6" t="s">
        <v>135</v>
      </c>
      <c r="B6" t="s">
        <v>116</v>
      </c>
      <c r="C6" s="49">
        <v>149.24</v>
      </c>
      <c r="D6" s="49">
        <v>224.99</v>
      </c>
      <c r="E6" s="49">
        <v>174.51</v>
      </c>
      <c r="F6">
        <v>50.88</v>
      </c>
      <c r="G6">
        <v>72.36</v>
      </c>
      <c r="H6">
        <v>59.99</v>
      </c>
      <c r="I6" s="49">
        <v>16230.05</v>
      </c>
      <c r="J6" s="49">
        <v>25086.21</v>
      </c>
      <c r="K6" s="49">
        <v>19648.93</v>
      </c>
      <c r="L6" s="49">
        <v>15773.99</v>
      </c>
      <c r="M6" s="49">
        <v>19923.599999999999</v>
      </c>
      <c r="N6" s="49">
        <v>17515.009999999998</v>
      </c>
      <c r="O6">
        <v>828.95</v>
      </c>
      <c r="P6" s="49">
        <v>1020.96</v>
      </c>
      <c r="Q6">
        <v>956.75</v>
      </c>
      <c r="R6" s="49"/>
      <c r="S6" s="50"/>
      <c r="T6" s="49"/>
      <c r="U6" s="50"/>
      <c r="V6" s="49"/>
      <c r="W6" s="50"/>
      <c r="X6" s="49"/>
      <c r="Y6" s="50"/>
      <c r="AA6" s="50"/>
      <c r="AC6" s="50"/>
      <c r="AE6" s="50"/>
    </row>
    <row r="7" spans="1:33">
      <c r="A7" s="59" t="s">
        <v>115</v>
      </c>
      <c r="B7" t="s">
        <v>116</v>
      </c>
      <c r="C7" s="49">
        <v>1708.97</v>
      </c>
      <c r="D7" s="49">
        <v>2578.5700000000002</v>
      </c>
      <c r="E7" s="49">
        <v>2043.77</v>
      </c>
      <c r="F7">
        <v>891.62</v>
      </c>
      <c r="G7" s="49">
        <v>1271</v>
      </c>
      <c r="H7" s="49">
        <v>1075.3900000000001</v>
      </c>
      <c r="I7" s="49">
        <v>252541.97</v>
      </c>
      <c r="J7" s="49">
        <v>390356.08</v>
      </c>
      <c r="K7" s="49">
        <v>331994.06</v>
      </c>
      <c r="L7" s="49">
        <v>604058.74</v>
      </c>
      <c r="M7" s="49">
        <v>762976.45</v>
      </c>
      <c r="N7" s="49">
        <v>720666.53</v>
      </c>
      <c r="O7" s="49">
        <v>46882.31</v>
      </c>
      <c r="P7" s="49">
        <v>57683.59</v>
      </c>
      <c r="Q7" s="49">
        <v>54455.78</v>
      </c>
      <c r="R7" s="49"/>
      <c r="S7" s="50"/>
      <c r="T7" s="49"/>
      <c r="U7" s="50"/>
      <c r="V7" s="49"/>
      <c r="W7" s="50"/>
      <c r="X7" s="49"/>
      <c r="Y7" s="50"/>
      <c r="Z7" s="49"/>
      <c r="AA7" s="50"/>
      <c r="AB7" s="49"/>
      <c r="AC7" s="50"/>
      <c r="AD7" s="49"/>
      <c r="AE7" s="50"/>
    </row>
    <row r="8" spans="1:33">
      <c r="A8" t="s">
        <v>136</v>
      </c>
      <c r="B8" t="s">
        <v>116</v>
      </c>
      <c r="C8" s="49">
        <v>191.46</v>
      </c>
      <c r="D8" s="49">
        <v>288.89999999999998</v>
      </c>
      <c r="E8" s="49">
        <v>257.95</v>
      </c>
      <c r="F8">
        <v>104.34</v>
      </c>
      <c r="G8">
        <v>148.76</v>
      </c>
      <c r="H8">
        <v>141.94999999999999</v>
      </c>
      <c r="I8" s="49">
        <v>25834.5</v>
      </c>
      <c r="J8" s="49">
        <v>39932.68</v>
      </c>
      <c r="K8" s="49">
        <v>39407.14</v>
      </c>
      <c r="L8" s="49">
        <v>65005.45</v>
      </c>
      <c r="M8" s="49">
        <v>82107.320000000007</v>
      </c>
      <c r="N8" s="49">
        <v>89934.18</v>
      </c>
      <c r="O8" s="49">
        <v>4912.62</v>
      </c>
      <c r="P8" s="49">
        <v>6044.31</v>
      </c>
      <c r="Q8" s="49">
        <v>6499.57</v>
      </c>
      <c r="R8" s="49"/>
      <c r="S8" s="50"/>
      <c r="T8" s="49"/>
      <c r="U8" s="50"/>
      <c r="V8" s="49"/>
      <c r="W8" s="50"/>
      <c r="X8" s="49"/>
      <c r="Y8" s="50"/>
      <c r="Z8" s="49"/>
      <c r="AA8" s="50"/>
      <c r="AB8" s="49"/>
      <c r="AC8" s="50"/>
      <c r="AD8" s="49"/>
      <c r="AE8" s="50"/>
    </row>
    <row r="9" spans="1:33">
      <c r="A9" t="s">
        <v>137</v>
      </c>
      <c r="B9" t="s">
        <v>116</v>
      </c>
      <c r="C9" s="49">
        <v>191.46</v>
      </c>
      <c r="D9" s="49">
        <v>288.89999999999998</v>
      </c>
      <c r="E9" s="49">
        <v>257.95</v>
      </c>
      <c r="F9">
        <v>104.34</v>
      </c>
      <c r="G9">
        <v>148.76</v>
      </c>
      <c r="H9">
        <v>141.94999999999999</v>
      </c>
      <c r="I9" s="49">
        <v>25834.5</v>
      </c>
      <c r="J9" s="49">
        <v>39932.68</v>
      </c>
      <c r="K9" s="49">
        <v>39407.14</v>
      </c>
      <c r="L9" s="49">
        <v>65005.45</v>
      </c>
      <c r="M9" s="49">
        <v>82107.320000000007</v>
      </c>
      <c r="N9" s="49">
        <v>89934.18</v>
      </c>
      <c r="O9" s="49">
        <v>4912.62</v>
      </c>
      <c r="P9" s="49">
        <v>6044.31</v>
      </c>
      <c r="Q9" s="49">
        <v>6499.57</v>
      </c>
      <c r="R9" s="49"/>
      <c r="S9" s="50"/>
      <c r="T9" s="49"/>
      <c r="U9" s="50"/>
      <c r="V9" s="49"/>
      <c r="W9" s="50"/>
      <c r="X9" s="49"/>
      <c r="Y9" s="50"/>
      <c r="Z9" s="49"/>
      <c r="AA9" s="50"/>
      <c r="AB9" s="49"/>
      <c r="AC9" s="50"/>
      <c r="AD9" s="49"/>
      <c r="AE9" s="50"/>
    </row>
    <row r="10" spans="1:33">
      <c r="A10" t="s">
        <v>140</v>
      </c>
      <c r="B10" t="s">
        <v>31</v>
      </c>
      <c r="C10" s="49">
        <v>317877.13</v>
      </c>
      <c r="D10" s="49">
        <v>479674.31</v>
      </c>
      <c r="E10" s="49">
        <v>483421.62</v>
      </c>
      <c r="F10" s="49">
        <v>183559.79</v>
      </c>
      <c r="G10" s="49">
        <v>261709</v>
      </c>
      <c r="H10" s="49">
        <v>281383.73</v>
      </c>
      <c r="I10" s="49">
        <v>26709719.289999999</v>
      </c>
      <c r="J10" s="49">
        <v>41285522.439999998</v>
      </c>
      <c r="K10" s="49">
        <v>49270125.350000001</v>
      </c>
      <c r="L10" s="49">
        <v>64271992.789999999</v>
      </c>
      <c r="M10" s="49">
        <v>81180908.950000003</v>
      </c>
      <c r="N10" s="49">
        <v>120930616.45</v>
      </c>
      <c r="O10" s="49">
        <v>5748517.6600000001</v>
      </c>
      <c r="P10" s="49">
        <v>7072770.1399999997</v>
      </c>
      <c r="Q10" s="49">
        <v>9591260.9000000004</v>
      </c>
      <c r="R10" s="49"/>
      <c r="S10" s="50"/>
      <c r="T10" s="49"/>
      <c r="U10" s="50"/>
      <c r="V10" s="49"/>
      <c r="W10" s="50"/>
      <c r="X10" s="49"/>
      <c r="Y10" s="50"/>
      <c r="Z10" s="49"/>
      <c r="AA10" s="50"/>
      <c r="AB10" s="49"/>
      <c r="AC10" s="50"/>
      <c r="AD10" s="49"/>
      <c r="AE10" s="50"/>
      <c r="AF10" s="49"/>
      <c r="AG10" s="50"/>
    </row>
    <row r="11" spans="1:33">
      <c r="A11" t="s">
        <v>141</v>
      </c>
      <c r="B11" t="s">
        <v>31</v>
      </c>
      <c r="C11" s="49">
        <v>462807.68</v>
      </c>
      <c r="D11" s="49">
        <v>698571.44</v>
      </c>
      <c r="E11" s="49">
        <v>618132.36</v>
      </c>
      <c r="F11" s="49">
        <v>296873.12</v>
      </c>
      <c r="G11" s="49">
        <v>423441.95</v>
      </c>
      <c r="H11" s="49">
        <v>398215.76</v>
      </c>
      <c r="I11" s="49">
        <v>55121570.090000004</v>
      </c>
      <c r="J11" s="49">
        <v>85202513.780000001</v>
      </c>
      <c r="K11" s="49">
        <v>82438408.379999995</v>
      </c>
      <c r="L11" s="49">
        <v>156990515.44999999</v>
      </c>
      <c r="M11" s="49">
        <v>198292349.84</v>
      </c>
      <c r="N11" s="49">
        <v>212813004.5</v>
      </c>
      <c r="O11" s="49">
        <v>14376449.35</v>
      </c>
      <c r="P11" s="49">
        <v>17687490.77</v>
      </c>
      <c r="Q11" s="49">
        <v>18490986.68</v>
      </c>
      <c r="R11" s="49"/>
      <c r="S11" s="50"/>
      <c r="T11" s="49"/>
      <c r="U11" s="50"/>
      <c r="V11" s="49"/>
      <c r="W11" s="50"/>
      <c r="X11" s="49"/>
      <c r="Y11" s="50"/>
      <c r="Z11" s="49"/>
      <c r="AA11" s="50"/>
      <c r="AB11" s="49"/>
      <c r="AC11" s="50"/>
      <c r="AD11" s="49"/>
      <c r="AE11" s="50"/>
      <c r="AF11" s="49"/>
      <c r="AG11" s="50"/>
    </row>
    <row r="12" spans="1:33" s="59" customFormat="1">
      <c r="A12" s="59" t="s">
        <v>142</v>
      </c>
      <c r="B12" s="59" t="s">
        <v>143</v>
      </c>
      <c r="C12" s="277">
        <v>3990388.95</v>
      </c>
      <c r="D12" s="277">
        <v>6020826.2400000002</v>
      </c>
      <c r="E12" s="277">
        <v>5175796.45</v>
      </c>
      <c r="F12" s="277">
        <v>2303943.7799999998</v>
      </c>
      <c r="G12" s="277">
        <v>3284247.9</v>
      </c>
      <c r="H12" s="277">
        <v>3064386.5</v>
      </c>
      <c r="I12" s="49">
        <v>460298028.54000002</v>
      </c>
      <c r="J12" s="49">
        <v>711485819.82000005</v>
      </c>
      <c r="K12" s="49">
        <v>637652507.24000001</v>
      </c>
      <c r="L12" s="49">
        <v>1098741403.3399999</v>
      </c>
      <c r="M12" s="49">
        <v>1387801699.9100001</v>
      </c>
      <c r="N12" s="49">
        <v>1360443492.75</v>
      </c>
      <c r="O12" s="49">
        <v>84597212.689999998</v>
      </c>
      <c r="P12" s="49">
        <v>104088289.83</v>
      </c>
      <c r="Q12" s="49">
        <v>104087070.45</v>
      </c>
      <c r="R12" s="277"/>
      <c r="S12" s="60"/>
      <c r="T12" s="277"/>
      <c r="U12" s="60"/>
      <c r="V12" s="277"/>
      <c r="W12" s="60"/>
      <c r="X12" s="277"/>
      <c r="Y12" s="60"/>
      <c r="Z12" s="277"/>
      <c r="AA12" s="60"/>
      <c r="AB12" s="277"/>
      <c r="AC12" s="60"/>
      <c r="AD12" s="277"/>
      <c r="AE12" s="60"/>
      <c r="AF12" s="277"/>
      <c r="AG12" s="60"/>
    </row>
    <row r="13" spans="1:33">
      <c r="C13" s="49"/>
      <c r="D13" s="49"/>
      <c r="E13" s="49"/>
      <c r="F13" s="49"/>
      <c r="G13" s="49"/>
      <c r="H13" s="49"/>
      <c r="I13" s="50"/>
      <c r="J13" s="49"/>
      <c r="K13" s="50"/>
      <c r="L13" s="49"/>
      <c r="M13" s="50"/>
      <c r="N13" s="49"/>
      <c r="O13" s="50"/>
      <c r="P13" s="49"/>
      <c r="Q13" s="50"/>
      <c r="R13" s="49"/>
      <c r="S13" s="50"/>
      <c r="T13" s="49"/>
      <c r="U13" s="50"/>
      <c r="V13" s="49"/>
      <c r="W13" s="50"/>
      <c r="X13" s="49"/>
      <c r="Y13" s="50"/>
      <c r="Z13" s="49"/>
      <c r="AA13" s="50"/>
      <c r="AB13" s="49"/>
      <c r="AC13" s="50"/>
      <c r="AD13" s="49"/>
      <c r="AE13" s="50"/>
      <c r="AF13" s="49"/>
      <c r="AG13" s="50"/>
    </row>
    <row r="14" spans="1:33">
      <c r="A14" t="s">
        <v>169</v>
      </c>
      <c r="B14" t="s">
        <v>170</v>
      </c>
      <c r="C14" s="23">
        <v>400</v>
      </c>
      <c r="D14" s="23">
        <v>400</v>
      </c>
      <c r="E14" s="23">
        <v>441</v>
      </c>
      <c r="F14" s="23">
        <v>435</v>
      </c>
      <c r="G14" s="23">
        <v>435</v>
      </c>
      <c r="H14" s="23">
        <v>479.58750000000003</v>
      </c>
      <c r="I14" s="23">
        <v>350</v>
      </c>
      <c r="J14" s="23">
        <v>350</v>
      </c>
      <c r="K14" s="23">
        <v>348.27519999999998</v>
      </c>
      <c r="L14" s="23">
        <v>322</v>
      </c>
      <c r="M14" s="23">
        <v>322</v>
      </c>
      <c r="N14" s="23">
        <v>355.00500000000005</v>
      </c>
      <c r="O14" s="23">
        <v>322</v>
      </c>
      <c r="P14" s="23">
        <v>322</v>
      </c>
      <c r="Q14" s="23">
        <v>355.00500000000005</v>
      </c>
    </row>
    <row r="15" spans="1:33">
      <c r="A15" t="s">
        <v>171</v>
      </c>
      <c r="B15" t="s">
        <v>170</v>
      </c>
      <c r="C15" s="23">
        <v>400</v>
      </c>
      <c r="D15" s="23">
        <v>400</v>
      </c>
      <c r="E15" s="23">
        <v>441</v>
      </c>
      <c r="F15" s="23">
        <v>435</v>
      </c>
      <c r="G15" s="23">
        <v>435</v>
      </c>
      <c r="H15" s="23">
        <v>479.58750000000003</v>
      </c>
      <c r="I15" s="23">
        <v>350</v>
      </c>
      <c r="J15" s="23">
        <v>350</v>
      </c>
      <c r="K15" s="23">
        <v>348.27519999999998</v>
      </c>
      <c r="L15" s="23">
        <v>322</v>
      </c>
      <c r="M15" s="23">
        <v>322</v>
      </c>
      <c r="N15" s="23">
        <v>355.00500000000005</v>
      </c>
      <c r="O15" s="23">
        <v>322</v>
      </c>
      <c r="P15" s="23">
        <v>322</v>
      </c>
      <c r="Q15" s="23">
        <v>355.00500000000005</v>
      </c>
    </row>
    <row r="16" spans="1:33">
      <c r="A16" t="s">
        <v>172</v>
      </c>
      <c r="B16" t="s">
        <v>170</v>
      </c>
      <c r="C16" s="23">
        <v>277.24799999999999</v>
      </c>
      <c r="D16" s="23">
        <v>277.24799999999999</v>
      </c>
      <c r="E16" s="23">
        <v>305.66592000000003</v>
      </c>
      <c r="F16" s="23">
        <v>299.13599999999997</v>
      </c>
      <c r="G16" s="23">
        <v>299.13599999999997</v>
      </c>
      <c r="H16" s="23">
        <v>329.79743999999994</v>
      </c>
      <c r="I16" s="23">
        <v>204.28799999999998</v>
      </c>
      <c r="J16" s="23">
        <v>204.28799999999998</v>
      </c>
      <c r="K16" s="23">
        <v>220.9579008</v>
      </c>
      <c r="L16" s="23">
        <v>204.28799999999998</v>
      </c>
      <c r="M16" s="23">
        <v>204.28799999999998</v>
      </c>
      <c r="N16" s="23">
        <v>225.22752</v>
      </c>
      <c r="O16" s="23">
        <v>204.28799999999998</v>
      </c>
      <c r="P16" s="23">
        <v>204.28799999999998</v>
      </c>
      <c r="Q16" s="23">
        <v>225.22752</v>
      </c>
    </row>
    <row r="17" spans="1:17">
      <c r="A17" t="s">
        <v>173</v>
      </c>
      <c r="B17" t="s">
        <v>170</v>
      </c>
      <c r="C17" s="23">
        <v>277.24799999999999</v>
      </c>
      <c r="D17" s="23">
        <v>277.24799999999999</v>
      </c>
      <c r="E17" s="23">
        <v>305.66592000000003</v>
      </c>
      <c r="F17" s="23">
        <v>299.13599999999997</v>
      </c>
      <c r="G17" s="23">
        <v>299.13599999999997</v>
      </c>
      <c r="H17" s="23">
        <v>329.79743999999994</v>
      </c>
      <c r="I17" s="23">
        <v>204.28799999999998</v>
      </c>
      <c r="J17" s="23">
        <v>204.28799999999998</v>
      </c>
      <c r="K17" s="23">
        <v>220.9579008</v>
      </c>
      <c r="L17" s="23">
        <v>204.28799999999998</v>
      </c>
      <c r="M17" s="23">
        <v>204.28799999999998</v>
      </c>
      <c r="N17" s="23">
        <v>225.22752</v>
      </c>
      <c r="O17" s="23">
        <v>204.28799999999998</v>
      </c>
      <c r="P17" s="23">
        <v>204.28799999999998</v>
      </c>
      <c r="Q17" s="23">
        <v>225.22752</v>
      </c>
    </row>
    <row r="18" spans="1:17">
      <c r="A18" t="s">
        <v>176</v>
      </c>
      <c r="B18" t="s">
        <v>170</v>
      </c>
      <c r="C18">
        <v>1870</v>
      </c>
      <c r="D18">
        <v>1870</v>
      </c>
      <c r="E18">
        <v>2787.2593273115854</v>
      </c>
      <c r="F18">
        <v>2475</v>
      </c>
      <c r="G18">
        <v>2475</v>
      </c>
      <c r="H18">
        <v>3804.1821332156246</v>
      </c>
    </row>
    <row r="19" spans="1:17">
      <c r="A19" t="s">
        <v>177</v>
      </c>
      <c r="B19" t="s">
        <v>116</v>
      </c>
      <c r="C19" s="23">
        <v>556.26741153969454</v>
      </c>
      <c r="D19" s="23">
        <v>838.92734241091625</v>
      </c>
      <c r="E19" s="23">
        <v>675.53419255036283</v>
      </c>
      <c r="F19" s="23">
        <v>302.52480956358136</v>
      </c>
      <c r="G19" s="23">
        <v>432.35506076880915</v>
      </c>
      <c r="H19" s="23">
        <v>371.55574788388259</v>
      </c>
      <c r="I19" s="23">
        <v>82407.97208381792</v>
      </c>
      <c r="J19" s="23">
        <v>127378.96507676777</v>
      </c>
      <c r="K19" s="23">
        <v>115616</v>
      </c>
      <c r="L19">
        <v>211503.40312877917</v>
      </c>
      <c r="M19">
        <v>267146.26004328596</v>
      </c>
      <c r="N19">
        <v>257175.68632563105</v>
      </c>
      <c r="O19" s="23">
        <v>15761.910658258377</v>
      </c>
      <c r="P19" s="23">
        <v>19392.701243222316</v>
      </c>
      <c r="Q19" s="23">
        <v>18950.542830926293</v>
      </c>
    </row>
    <row r="20" spans="1:17">
      <c r="A20" t="s">
        <v>178</v>
      </c>
      <c r="B20" t="s">
        <v>116</v>
      </c>
      <c r="C20" s="23">
        <v>132.13671638988993</v>
      </c>
      <c r="D20" s="23">
        <v>199.28024186972345</v>
      </c>
      <c r="E20" s="23">
        <v>160.46755240546912</v>
      </c>
      <c r="F20" s="23">
        <v>44.647095181150185</v>
      </c>
      <c r="G20" s="23">
        <v>63.807651273440491</v>
      </c>
      <c r="H20" s="23">
        <v>54.834791450017178</v>
      </c>
      <c r="I20" s="23">
        <v>13861.719656927891</v>
      </c>
      <c r="J20" s="23">
        <v>21426.221995705244</v>
      </c>
      <c r="K20" s="23">
        <v>17765.439911124209</v>
      </c>
      <c r="L20">
        <v>13221.081167708511</v>
      </c>
      <c r="M20">
        <v>16699.317057945987</v>
      </c>
      <c r="N20">
        <v>16076.056332777069</v>
      </c>
      <c r="O20" s="23">
        <v>708.42787243978933</v>
      </c>
      <c r="P20" s="23">
        <v>871.61578189750173</v>
      </c>
      <c r="Q20" s="23">
        <v>851.74272525508843</v>
      </c>
    </row>
    <row r="21" spans="1:17">
      <c r="A21" t="s">
        <v>259</v>
      </c>
      <c r="C21" s="50">
        <f>C14/C16</f>
        <v>1.4427516158818099</v>
      </c>
      <c r="D21" s="50">
        <f t="shared" ref="D21:H21" si="0">D14/D16</f>
        <v>1.4427516158818099</v>
      </c>
      <c r="E21" s="50">
        <f t="shared" si="0"/>
        <v>1.4427516158818097</v>
      </c>
      <c r="F21" s="50">
        <f t="shared" si="0"/>
        <v>1.4541880616174585</v>
      </c>
      <c r="G21" s="50">
        <f t="shared" si="0"/>
        <v>1.4541880616174585</v>
      </c>
      <c r="H21" s="50">
        <f t="shared" si="0"/>
        <v>1.4541880616174587</v>
      </c>
    </row>
    <row r="22" spans="1:17">
      <c r="A22" t="s">
        <v>260</v>
      </c>
      <c r="C22" s="53">
        <f t="shared" ref="C22:H23" si="1">(C10/C3)/365</f>
        <v>3.5723214511478831</v>
      </c>
      <c r="D22" s="53">
        <f t="shared" si="1"/>
        <v>3.572295835002778</v>
      </c>
      <c r="E22" s="53">
        <f t="shared" si="1"/>
        <v>4.0189433910500618</v>
      </c>
      <c r="F22" s="53">
        <f t="shared" si="1"/>
        <v>3.823779913675299</v>
      </c>
      <c r="G22" s="53">
        <f t="shared" si="1"/>
        <v>3.8236505914254986</v>
      </c>
      <c r="H22" s="53">
        <f t="shared" si="1"/>
        <v>4.3012572045255997</v>
      </c>
    </row>
    <row r="23" spans="1:17">
      <c r="A23" t="s">
        <v>261</v>
      </c>
      <c r="C23" s="53">
        <f t="shared" si="1"/>
        <v>3.7011186741450204</v>
      </c>
      <c r="D23" s="53">
        <f t="shared" si="1"/>
        <v>3.7011358437554551</v>
      </c>
      <c r="E23" s="53">
        <f t="shared" si="1"/>
        <v>4.0918967672662747</v>
      </c>
      <c r="F23" s="53">
        <f t="shared" si="1"/>
        <v>3.9538720222576931</v>
      </c>
      <c r="G23" s="53">
        <f t="shared" si="1"/>
        <v>3.9539038598099903</v>
      </c>
      <c r="H23" s="53">
        <f t="shared" si="1"/>
        <v>4.36960141858291</v>
      </c>
    </row>
    <row r="24" spans="1:17">
      <c r="A24" s="248" t="s">
        <v>262</v>
      </c>
      <c r="B24" s="226"/>
      <c r="C24" s="226"/>
      <c r="D24" s="226"/>
      <c r="E24" s="226"/>
      <c r="F24" s="226"/>
      <c r="G24" s="226"/>
      <c r="H24" s="226"/>
    </row>
    <row r="25" spans="1:17">
      <c r="A25" t="s">
        <v>263</v>
      </c>
      <c r="B25" t="s">
        <v>264</v>
      </c>
      <c r="C25" s="249">
        <f>(C10*0.02)/365</f>
        <v>17.41792493150685</v>
      </c>
      <c r="D25" s="249">
        <f>(D10*0.02)/365</f>
        <v>26.283523835616435</v>
      </c>
      <c r="E25" s="249">
        <f>(E10*0.1)/365</f>
        <v>132.44427945205481</v>
      </c>
      <c r="F25" s="249">
        <f>(F10*0.02)/365</f>
        <v>10.058070684931508</v>
      </c>
      <c r="G25" s="249">
        <f>(G10*0.02)/365</f>
        <v>14.340219178082192</v>
      </c>
      <c r="H25" s="249">
        <f>(H10*0.1)/365</f>
        <v>77.091432876712332</v>
      </c>
    </row>
    <row r="26" spans="1:17">
      <c r="A26" t="s">
        <v>265</v>
      </c>
      <c r="B26" t="s">
        <v>264</v>
      </c>
      <c r="C26" s="249">
        <f t="shared" ref="C26:H26" si="2">(C11*0.05)/365</f>
        <v>63.398312328767126</v>
      </c>
      <c r="D26" s="249">
        <f t="shared" si="2"/>
        <v>95.694717808219181</v>
      </c>
      <c r="E26" s="249">
        <f t="shared" si="2"/>
        <v>84.675665753424667</v>
      </c>
      <c r="F26" s="249">
        <f t="shared" si="2"/>
        <v>40.667550684931513</v>
      </c>
      <c r="G26" s="249">
        <f t="shared" si="2"/>
        <v>58.005746575342478</v>
      </c>
      <c r="H26" s="53">
        <f t="shared" si="2"/>
        <v>54.550104109589043</v>
      </c>
    </row>
    <row r="27" spans="1:17">
      <c r="A27" t="s">
        <v>266</v>
      </c>
      <c r="B27" t="s">
        <v>267</v>
      </c>
      <c r="C27" s="249">
        <f t="shared" ref="C27:D27" si="3">C25+C26</f>
        <v>80.816237260273979</v>
      </c>
      <c r="D27" s="249">
        <f t="shared" si="3"/>
        <v>121.97824164383562</v>
      </c>
      <c r="E27" s="249">
        <f>E25+E26</f>
        <v>217.1199452054795</v>
      </c>
      <c r="F27" s="249">
        <f>F25+F26</f>
        <v>50.725621369863021</v>
      </c>
      <c r="G27" s="249">
        <f>G25+G26</f>
        <v>72.345965753424665</v>
      </c>
      <c r="H27" s="249">
        <f>H25+H26</f>
        <v>131.64153698630139</v>
      </c>
    </row>
    <row r="28" spans="1:17" s="250" customFormat="1">
      <c r="A28" s="250" t="s">
        <v>268</v>
      </c>
      <c r="B28" s="250" t="s">
        <v>269</v>
      </c>
      <c r="C28" s="251">
        <f t="shared" ref="C28:H28" si="4">C27/(C3+C4)</f>
        <v>0.13782229486045564</v>
      </c>
      <c r="D28" s="251">
        <f t="shared" si="4"/>
        <v>0.13783007903347566</v>
      </c>
      <c r="E28" s="251">
        <f t="shared" si="4"/>
        <v>0.29205556106303232</v>
      </c>
      <c r="F28" s="251">
        <f t="shared" si="4"/>
        <v>0.15041847216992266</v>
      </c>
      <c r="G28" s="251">
        <f t="shared" si="4"/>
        <v>0.15042930520746189</v>
      </c>
      <c r="H28" s="251">
        <f t="shared" si="4"/>
        <v>0.30692111861766197</v>
      </c>
    </row>
    <row r="29" spans="1:17">
      <c r="A29" t="s">
        <v>263</v>
      </c>
      <c r="B29" t="s">
        <v>270</v>
      </c>
      <c r="C29" s="25">
        <f t="shared" ref="C29:H30" si="5">C25/C3</f>
        <v>7.1446429022957669E-2</v>
      </c>
      <c r="D29" s="25">
        <f t="shared" si="5"/>
        <v>7.1445916700055553E-2</v>
      </c>
      <c r="E29" s="25">
        <f t="shared" si="5"/>
        <v>0.40189433910500627</v>
      </c>
      <c r="F29" s="25">
        <f t="shared" si="5"/>
        <v>7.6475598273505987E-2</v>
      </c>
      <c r="G29" s="25">
        <f t="shared" si="5"/>
        <v>7.6473011828509976E-2</v>
      </c>
      <c r="H29" s="25">
        <f t="shared" si="5"/>
        <v>0.43012572045256003</v>
      </c>
    </row>
    <row r="30" spans="1:17">
      <c r="A30" t="s">
        <v>265</v>
      </c>
      <c r="B30" t="s">
        <v>270</v>
      </c>
      <c r="C30" s="25">
        <f t="shared" si="5"/>
        <v>0.18505593370725104</v>
      </c>
      <c r="D30" s="25">
        <f t="shared" si="5"/>
        <v>0.18505679218777277</v>
      </c>
      <c r="E30" s="25">
        <f t="shared" si="5"/>
        <v>0.20459483836331377</v>
      </c>
      <c r="F30" s="25">
        <f t="shared" si="5"/>
        <v>0.1976936011128847</v>
      </c>
      <c r="G30" s="25">
        <f t="shared" si="5"/>
        <v>0.19769519299049956</v>
      </c>
      <c r="H30" s="25">
        <f t="shared" si="5"/>
        <v>0.21848007092914548</v>
      </c>
    </row>
    <row r="31" spans="1:17">
      <c r="A31" t="s">
        <v>271</v>
      </c>
      <c r="B31" t="s">
        <v>272</v>
      </c>
      <c r="C31" s="53">
        <f t="shared" ref="C31:H32" si="6">C10/C3</f>
        <v>1303.8973296689774</v>
      </c>
      <c r="D31" s="53">
        <f t="shared" si="6"/>
        <v>1303.8879797760139</v>
      </c>
      <c r="E31" s="53">
        <f t="shared" si="6"/>
        <v>1466.9143377332725</v>
      </c>
      <c r="F31" s="53">
        <f t="shared" si="6"/>
        <v>1395.6796684914841</v>
      </c>
      <c r="G31" s="53">
        <f t="shared" si="6"/>
        <v>1395.632465870307</v>
      </c>
      <c r="H31" s="53">
        <f t="shared" si="6"/>
        <v>1569.958879651844</v>
      </c>
    </row>
    <row r="32" spans="1:17">
      <c r="A32" t="s">
        <v>273</v>
      </c>
      <c r="B32" t="s">
        <v>272</v>
      </c>
      <c r="C32" s="53">
        <f t="shared" si="6"/>
        <v>1350.9083160629325</v>
      </c>
      <c r="D32" s="53">
        <f t="shared" si="6"/>
        <v>1350.9145829707411</v>
      </c>
      <c r="E32" s="53">
        <f t="shared" si="6"/>
        <v>1493.5423200521902</v>
      </c>
      <c r="F32" s="53">
        <f t="shared" si="6"/>
        <v>1443.163288124058</v>
      </c>
      <c r="G32" s="53">
        <f t="shared" si="6"/>
        <v>1443.1749088306465</v>
      </c>
      <c r="H32" s="53">
        <f t="shared" si="6"/>
        <v>1594.904517782762</v>
      </c>
    </row>
    <row r="33" spans="1:17">
      <c r="A33" t="s">
        <v>274</v>
      </c>
      <c r="B33" t="s">
        <v>275</v>
      </c>
      <c r="C33" s="48">
        <f t="shared" ref="C33:H33" si="7">C31*C21</f>
        <v>1881.199979323894</v>
      </c>
      <c r="D33" s="48">
        <f t="shared" si="7"/>
        <v>1881.1864897507128</v>
      </c>
      <c r="E33" s="48">
        <f t="shared" si="7"/>
        <v>2116.3930311248737</v>
      </c>
      <c r="F33" s="48">
        <f t="shared" si="7"/>
        <v>2029.5807117625284</v>
      </c>
      <c r="G33" s="48">
        <f t="shared" si="7"/>
        <v>2029.5120702743354</v>
      </c>
      <c r="H33" s="48">
        <f t="shared" si="7"/>
        <v>2283.0154600200322</v>
      </c>
    </row>
    <row r="34" spans="1:17">
      <c r="A34" t="s">
        <v>274</v>
      </c>
      <c r="B34" t="s">
        <v>276</v>
      </c>
      <c r="C34" s="53">
        <f t="shared" ref="C34:D34" si="8">C33/365</f>
        <v>5.1539725460928603</v>
      </c>
      <c r="D34" s="53">
        <f t="shared" si="8"/>
        <v>5.1539355883581175</v>
      </c>
      <c r="E34" s="53">
        <f>E33/365</f>
        <v>5.7983370715749967</v>
      </c>
      <c r="F34" s="53">
        <f>F33/365</f>
        <v>5.5604951007192556</v>
      </c>
      <c r="G34" s="53">
        <f>G33/365</f>
        <v>5.5603070418474942</v>
      </c>
      <c r="H34" s="53">
        <f>H33/365</f>
        <v>6.2548368767672118</v>
      </c>
    </row>
    <row r="35" spans="1:17" s="54" customFormat="1">
      <c r="A35" s="54" t="s">
        <v>277</v>
      </c>
      <c r="C35" s="258">
        <f t="shared" ref="C35:H35" si="9">C34/C14</f>
        <v>1.2884931365232151E-2</v>
      </c>
      <c r="D35" s="258">
        <f t="shared" si="9"/>
        <v>1.2884838970895294E-2</v>
      </c>
      <c r="E35" s="258">
        <f t="shared" si="9"/>
        <v>1.3148156624886614E-2</v>
      </c>
      <c r="F35" s="258">
        <f t="shared" si="9"/>
        <v>1.2782747357975301E-2</v>
      </c>
      <c r="G35" s="258">
        <f t="shared" si="9"/>
        <v>1.2782315038729872E-2</v>
      </c>
      <c r="H35" s="258">
        <f t="shared" si="9"/>
        <v>1.3042118230285843E-2</v>
      </c>
    </row>
    <row r="38" spans="1:17" ht="30">
      <c r="A38" t="s">
        <v>278</v>
      </c>
      <c r="B38" s="20" t="s">
        <v>269</v>
      </c>
      <c r="C38" s="53">
        <f>C34*0.02</f>
        <v>0.1030794509218572</v>
      </c>
      <c r="D38" s="53">
        <f>D34*0.02</f>
        <v>0.10307871176716235</v>
      </c>
      <c r="E38" s="53">
        <f>E34*0.1</f>
        <v>0.57983370715749971</v>
      </c>
      <c r="F38" s="53">
        <f>F34*0.02</f>
        <v>0.11120990201438512</v>
      </c>
      <c r="G38" s="53">
        <f>G34*0.02</f>
        <v>0.11120614083694989</v>
      </c>
      <c r="H38" s="53">
        <f>H34*0.1</f>
        <v>0.62548368767672125</v>
      </c>
    </row>
    <row r="39" spans="1:17">
      <c r="A39" s="191" t="s">
        <v>279</v>
      </c>
      <c r="B39" s="255" t="s">
        <v>267</v>
      </c>
      <c r="C39" s="256">
        <f t="shared" ref="C39:H39" si="10">C38*C19</f>
        <v>57.339739347234485</v>
      </c>
      <c r="D39" s="256">
        <f t="shared" si="10"/>
        <v>86.475549721966345</v>
      </c>
      <c r="E39" s="256">
        <f t="shared" si="10"/>
        <v>391.69749517812511</v>
      </c>
      <c r="F39" s="256">
        <f t="shared" si="10"/>
        <v>33.643754428486403</v>
      </c>
      <c r="G39" s="256">
        <f t="shared" si="10"/>
        <v>48.080537779424219</v>
      </c>
      <c r="H39" s="256">
        <f t="shared" si="10"/>
        <v>232.40205936389299</v>
      </c>
    </row>
    <row r="40" spans="1:17" s="250" customFormat="1">
      <c r="A40" s="252" t="s">
        <v>280</v>
      </c>
      <c r="B40" s="250" t="s">
        <v>269</v>
      </c>
      <c r="C40" s="257">
        <f>C39/C19</f>
        <v>0.1030794509218572</v>
      </c>
      <c r="D40" s="257">
        <f t="shared" ref="D40:H40" si="11">D39/D19</f>
        <v>0.10307871176716234</v>
      </c>
      <c r="E40" s="257">
        <f t="shared" si="11"/>
        <v>0.57983370715749971</v>
      </c>
      <c r="F40" s="257">
        <f t="shared" si="11"/>
        <v>0.11120990201438513</v>
      </c>
      <c r="G40" s="257">
        <f t="shared" si="11"/>
        <v>0.11120614083694989</v>
      </c>
      <c r="H40" s="257">
        <f t="shared" si="11"/>
        <v>0.62548368767672125</v>
      </c>
    </row>
    <row r="41" spans="1:17">
      <c r="B41" s="20"/>
      <c r="E41" s="53"/>
      <c r="H41" s="53"/>
    </row>
    <row r="43" spans="1:17" s="259" customFormat="1">
      <c r="A43" s="193" t="s">
        <v>281</v>
      </c>
      <c r="C43" s="259">
        <f t="shared" ref="C43:Q43" si="12">(C14*C19)+(C20*C15)+(C3*C16)+(C4*C17)</f>
        <v>437934.3334118338</v>
      </c>
      <c r="D43" s="259">
        <f t="shared" si="12"/>
        <v>660644.74123225594</v>
      </c>
      <c r="E43" s="259">
        <f t="shared" si="12"/>
        <v>595914.92777192197</v>
      </c>
      <c r="F43" s="259">
        <f t="shared" si="12"/>
        <v>251897.41184395822</v>
      </c>
      <c r="G43" s="259">
        <f t="shared" si="12"/>
        <v>359694.25621837855</v>
      </c>
      <c r="H43" s="259">
        <f t="shared" si="12"/>
        <v>345944.99277319666</v>
      </c>
      <c r="I43" s="259">
        <f t="shared" si="12"/>
        <v>50247017.297101036</v>
      </c>
      <c r="J43" s="259">
        <f t="shared" si="12"/>
        <v>77667492.188325554</v>
      </c>
      <c r="K43" s="259">
        <f t="shared" si="12"/>
        <v>72370313.540186346</v>
      </c>
      <c r="L43" s="259">
        <f t="shared" si="12"/>
        <v>116748375.89098904</v>
      </c>
      <c r="M43" s="259">
        <f t="shared" si="12"/>
        <v>147462925.41635668</v>
      </c>
      <c r="N43" s="259">
        <f t="shared" si="12"/>
        <v>163025076.47238097</v>
      </c>
      <c r="O43" s="259">
        <f t="shared" si="12"/>
        <v>8941383.153444808</v>
      </c>
      <c r="P43" s="259">
        <f t="shared" si="12"/>
        <v>11000953.932328582</v>
      </c>
      <c r="Q43" s="259">
        <f t="shared" si="12"/>
        <v>12075094.670604972</v>
      </c>
    </row>
    <row r="44" spans="1:17" s="261" customFormat="1">
      <c r="A44" s="260" t="s">
        <v>282</v>
      </c>
      <c r="B44" s="261" t="s">
        <v>165</v>
      </c>
      <c r="C44" s="262">
        <f t="shared" ref="C44:Q44" si="13">(C12/C43)/365</f>
        <v>2.4963953797777313E-2</v>
      </c>
      <c r="D44" s="262">
        <f t="shared" si="13"/>
        <v>2.4968660653222795E-2</v>
      </c>
      <c r="E44" s="262">
        <f t="shared" si="13"/>
        <v>2.3795786253575174E-2</v>
      </c>
      <c r="F44" s="262">
        <f t="shared" si="13"/>
        <v>2.5058513676338212E-2</v>
      </c>
      <c r="G44" s="262">
        <f t="shared" si="13"/>
        <v>2.5015521645116126E-2</v>
      </c>
      <c r="H44" s="262">
        <f t="shared" si="13"/>
        <v>2.4268538719850703E-2</v>
      </c>
      <c r="I44" s="262">
        <f t="shared" si="13"/>
        <v>2.509781788029521E-2</v>
      </c>
      <c r="J44" s="262">
        <f t="shared" si="13"/>
        <v>2.5097710300190861E-2</v>
      </c>
      <c r="K44" s="262">
        <f t="shared" si="13"/>
        <v>2.4139637996047427E-2</v>
      </c>
      <c r="L44" s="262">
        <f t="shared" si="13"/>
        <v>2.578408819083134E-2</v>
      </c>
      <c r="M44" s="262">
        <f t="shared" si="13"/>
        <v>2.5784083879891936E-2</v>
      </c>
      <c r="N44" s="262">
        <f t="shared" si="13"/>
        <v>2.2863000751432647E-2</v>
      </c>
      <c r="O44" s="262">
        <f t="shared" si="13"/>
        <v>2.592140180937896E-2</v>
      </c>
      <c r="P44" s="262">
        <f t="shared" si="13"/>
        <v>2.5922606216582676E-2</v>
      </c>
      <c r="Q44" s="262">
        <f t="shared" si="13"/>
        <v>2.3616382629413374E-2</v>
      </c>
    </row>
    <row r="46" spans="1:17">
      <c r="A46" s="40" t="s">
        <v>283</v>
      </c>
    </row>
    <row r="47" spans="1:17">
      <c r="A47" t="s">
        <v>196</v>
      </c>
      <c r="B47" s="263" t="s">
        <v>284</v>
      </c>
      <c r="C47">
        <v>9</v>
      </c>
      <c r="D47">
        <v>9</v>
      </c>
      <c r="E47">
        <v>19</v>
      </c>
      <c r="F47">
        <v>9</v>
      </c>
      <c r="G47">
        <v>9</v>
      </c>
      <c r="H47">
        <v>19</v>
      </c>
      <c r="I47">
        <v>9</v>
      </c>
      <c r="J47">
        <v>9</v>
      </c>
      <c r="K47">
        <v>19</v>
      </c>
      <c r="L47">
        <v>5</v>
      </c>
      <c r="M47">
        <v>5</v>
      </c>
      <c r="N47">
        <v>25</v>
      </c>
      <c r="O47">
        <v>2</v>
      </c>
      <c r="P47">
        <v>2</v>
      </c>
      <c r="Q47">
        <v>27</v>
      </c>
    </row>
    <row r="48" spans="1:17">
      <c r="A48" t="s">
        <v>201</v>
      </c>
      <c r="B48" s="263" t="s">
        <v>284</v>
      </c>
      <c r="C48" s="241">
        <v>5</v>
      </c>
      <c r="D48" s="241">
        <v>5</v>
      </c>
      <c r="E48" s="241">
        <v>16</v>
      </c>
      <c r="F48">
        <v>5</v>
      </c>
      <c r="G48">
        <v>5</v>
      </c>
      <c r="H48">
        <v>16</v>
      </c>
      <c r="I48">
        <v>5</v>
      </c>
      <c r="J48">
        <v>5</v>
      </c>
      <c r="K48">
        <v>15</v>
      </c>
      <c r="L48">
        <v>0</v>
      </c>
      <c r="M48">
        <v>0</v>
      </c>
      <c r="N48">
        <v>0</v>
      </c>
      <c r="O48">
        <v>0</v>
      </c>
      <c r="P48">
        <v>0</v>
      </c>
      <c r="Q48">
        <v>0</v>
      </c>
    </row>
    <row r="49" spans="1:17">
      <c r="A49" t="s">
        <v>285</v>
      </c>
      <c r="B49" s="263" t="s">
        <v>284</v>
      </c>
      <c r="C49">
        <f>C47+C48</f>
        <v>14</v>
      </c>
      <c r="D49">
        <f t="shared" ref="D49:Q49" si="14">D47+D48</f>
        <v>14</v>
      </c>
      <c r="E49">
        <f t="shared" si="14"/>
        <v>35</v>
      </c>
      <c r="F49">
        <f t="shared" si="14"/>
        <v>14</v>
      </c>
      <c r="G49">
        <f t="shared" si="14"/>
        <v>14</v>
      </c>
      <c r="H49">
        <f t="shared" si="14"/>
        <v>35</v>
      </c>
      <c r="I49">
        <f t="shared" si="14"/>
        <v>14</v>
      </c>
      <c r="J49">
        <f t="shared" si="14"/>
        <v>14</v>
      </c>
      <c r="K49">
        <f t="shared" si="14"/>
        <v>34</v>
      </c>
      <c r="L49">
        <f t="shared" si="14"/>
        <v>5</v>
      </c>
      <c r="M49">
        <f t="shared" si="14"/>
        <v>5</v>
      </c>
      <c r="N49">
        <f t="shared" si="14"/>
        <v>25</v>
      </c>
      <c r="O49">
        <f t="shared" si="14"/>
        <v>2</v>
      </c>
      <c r="P49">
        <f t="shared" si="14"/>
        <v>2</v>
      </c>
      <c r="Q49">
        <f t="shared" si="14"/>
        <v>27</v>
      </c>
    </row>
    <row r="50" spans="1:17">
      <c r="A50" t="s">
        <v>286</v>
      </c>
      <c r="B50" t="s">
        <v>275</v>
      </c>
      <c r="C50" s="48">
        <f>(C33*C49)/100</f>
        <v>263.36799710534518</v>
      </c>
      <c r="D50" s="48">
        <f t="shared" ref="D50:Q50" si="15">(D33*D49)/100</f>
        <v>263.36610856509981</v>
      </c>
      <c r="E50" s="48">
        <f t="shared" si="15"/>
        <v>740.73756089370579</v>
      </c>
      <c r="F50" s="48">
        <f t="shared" si="15"/>
        <v>284.14129964675396</v>
      </c>
      <c r="G50" s="48">
        <f t="shared" si="15"/>
        <v>284.13168983840694</v>
      </c>
      <c r="H50" s="48">
        <f t="shared" si="15"/>
        <v>799.05541100701123</v>
      </c>
      <c r="I50" s="48">
        <f t="shared" si="15"/>
        <v>0</v>
      </c>
      <c r="J50" s="48">
        <f t="shared" si="15"/>
        <v>0</v>
      </c>
      <c r="K50" s="48">
        <f t="shared" si="15"/>
        <v>0</v>
      </c>
      <c r="L50" s="48">
        <f t="shared" si="15"/>
        <v>0</v>
      </c>
      <c r="M50" s="48">
        <f t="shared" si="15"/>
        <v>0</v>
      </c>
      <c r="N50" s="48">
        <f t="shared" si="15"/>
        <v>0</v>
      </c>
      <c r="O50" s="48">
        <f t="shared" si="15"/>
        <v>0</v>
      </c>
      <c r="P50" s="48">
        <f t="shared" si="15"/>
        <v>0</v>
      </c>
      <c r="Q50" s="48">
        <f t="shared" si="15"/>
        <v>0</v>
      </c>
    </row>
    <row r="51" spans="1:17">
      <c r="A51" t="s">
        <v>286</v>
      </c>
      <c r="B51" t="s">
        <v>276</v>
      </c>
      <c r="C51" s="48">
        <f>C50/365</f>
        <v>0.72155615645300053</v>
      </c>
      <c r="D51" s="48">
        <f t="shared" ref="D51:Q51" si="16">D50/365</f>
        <v>0.72155098237013648</v>
      </c>
      <c r="E51" s="48">
        <f t="shared" si="16"/>
        <v>2.0294179750512487</v>
      </c>
      <c r="F51" s="48">
        <f t="shared" si="16"/>
        <v>0.77846931410069575</v>
      </c>
      <c r="G51" s="48">
        <f t="shared" si="16"/>
        <v>0.77844298585864913</v>
      </c>
      <c r="H51" s="48">
        <f t="shared" si="16"/>
        <v>2.1891929068685241</v>
      </c>
      <c r="I51" s="48">
        <f t="shared" si="16"/>
        <v>0</v>
      </c>
      <c r="J51" s="48">
        <f t="shared" si="16"/>
        <v>0</v>
      </c>
      <c r="K51" s="48">
        <f t="shared" si="16"/>
        <v>0</v>
      </c>
      <c r="L51" s="48">
        <f t="shared" si="16"/>
        <v>0</v>
      </c>
      <c r="M51" s="48">
        <f t="shared" si="16"/>
        <v>0</v>
      </c>
      <c r="N51" s="48">
        <f t="shared" si="16"/>
        <v>0</v>
      </c>
      <c r="O51" s="48">
        <f t="shared" si="16"/>
        <v>0</v>
      </c>
      <c r="P51" s="48">
        <f t="shared" si="16"/>
        <v>0</v>
      </c>
      <c r="Q51" s="48">
        <f t="shared" si="16"/>
        <v>0</v>
      </c>
    </row>
    <row r="52" spans="1:17">
      <c r="A52" t="s">
        <v>286</v>
      </c>
      <c r="B52" t="s">
        <v>287</v>
      </c>
      <c r="C52" s="48">
        <f>(C50*C19)/1000</f>
        <v>146.50303403218413</v>
      </c>
      <c r="D52" s="48">
        <f t="shared" ref="D52:Q52" si="17">(D50*D19)/1000</f>
        <v>220.94502953962402</v>
      </c>
      <c r="E52" s="48">
        <f t="shared" si="17"/>
        <v>500.39355009005476</v>
      </c>
      <c r="F52" s="48">
        <f t="shared" si="17"/>
        <v>85.959792564782745</v>
      </c>
      <c r="G52" s="48">
        <f t="shared" si="17"/>
        <v>122.84577402642887</v>
      </c>
      <c r="H52" s="48">
        <f t="shared" si="17"/>
        <v>296.89363083737328</v>
      </c>
      <c r="I52" s="48">
        <f t="shared" si="17"/>
        <v>0</v>
      </c>
      <c r="J52" s="48">
        <f t="shared" si="17"/>
        <v>0</v>
      </c>
      <c r="K52" s="48">
        <f t="shared" si="17"/>
        <v>0</v>
      </c>
      <c r="L52" s="48">
        <f t="shared" si="17"/>
        <v>0</v>
      </c>
      <c r="M52" s="48">
        <f t="shared" si="17"/>
        <v>0</v>
      </c>
      <c r="N52" s="48">
        <f t="shared" si="17"/>
        <v>0</v>
      </c>
      <c r="O52" s="48">
        <f t="shared" si="17"/>
        <v>0</v>
      </c>
      <c r="P52" s="48">
        <f t="shared" si="17"/>
        <v>0</v>
      </c>
      <c r="Q52" s="48">
        <f t="shared" si="17"/>
        <v>0</v>
      </c>
    </row>
    <row r="53" spans="1:17">
      <c r="A53" t="s">
        <v>288</v>
      </c>
      <c r="B53" t="s">
        <v>287</v>
      </c>
      <c r="C53" s="48">
        <f>(((C10+C11)*C49)/100)/1000</f>
        <v>109.29587339999999</v>
      </c>
      <c r="D53" s="48">
        <f t="shared" ref="D53:Q53" si="18">(((D10+D11)*D49)/100)/1000</f>
        <v>164.95440500000001</v>
      </c>
      <c r="E53" s="48">
        <f t="shared" si="18"/>
        <v>385.54389299999997</v>
      </c>
      <c r="F53" s="48">
        <f t="shared" si="18"/>
        <v>67.260607400000012</v>
      </c>
      <c r="G53" s="48">
        <f t="shared" si="18"/>
        <v>95.921132999999983</v>
      </c>
      <c r="H53" s="48">
        <f t="shared" si="18"/>
        <v>237.85982149999998</v>
      </c>
      <c r="I53" s="48">
        <f t="shared" si="18"/>
        <v>11456.3805132</v>
      </c>
      <c r="J53" s="48">
        <f t="shared" si="18"/>
        <v>17708.325070799998</v>
      </c>
      <c r="K53" s="48">
        <f t="shared" si="18"/>
        <v>44780.901468199998</v>
      </c>
      <c r="L53" s="48">
        <f t="shared" si="18"/>
        <v>11063.125411999999</v>
      </c>
      <c r="M53" s="48">
        <f t="shared" si="18"/>
        <v>13973.6629395</v>
      </c>
      <c r="N53" s="48">
        <f t="shared" si="18"/>
        <v>83435.905237500003</v>
      </c>
      <c r="O53" s="48">
        <f t="shared" si="18"/>
        <v>402.49934019999995</v>
      </c>
      <c r="P53" s="48">
        <f t="shared" si="18"/>
        <v>495.20521819999999</v>
      </c>
      <c r="Q53" s="48">
        <f t="shared" si="18"/>
        <v>7582.2068466000001</v>
      </c>
    </row>
    <row r="54" spans="1:17">
      <c r="A54" s="264" t="s">
        <v>289</v>
      </c>
      <c r="B54" s="264" t="s">
        <v>290</v>
      </c>
      <c r="C54" s="48">
        <f>C52+C53</f>
        <v>255.79890743218414</v>
      </c>
      <c r="D54" s="48">
        <f t="shared" ref="D54:Q54" si="19">D52+D53</f>
        <v>385.89943453962405</v>
      </c>
      <c r="E54" s="48">
        <f t="shared" si="19"/>
        <v>885.93744309005478</v>
      </c>
      <c r="F54" s="48">
        <f t="shared" si="19"/>
        <v>153.22039996478276</v>
      </c>
      <c r="G54" s="48">
        <f t="shared" si="19"/>
        <v>218.76690702642884</v>
      </c>
      <c r="H54" s="48">
        <f t="shared" si="19"/>
        <v>534.75345233737323</v>
      </c>
      <c r="I54" s="48">
        <f t="shared" si="19"/>
        <v>11456.3805132</v>
      </c>
      <c r="J54" s="48">
        <f t="shared" si="19"/>
        <v>17708.325070799998</v>
      </c>
      <c r="K54" s="48">
        <f t="shared" si="19"/>
        <v>44780.901468199998</v>
      </c>
      <c r="L54" s="48">
        <f t="shared" si="19"/>
        <v>11063.125411999999</v>
      </c>
      <c r="M54" s="48">
        <f t="shared" si="19"/>
        <v>13973.6629395</v>
      </c>
      <c r="N54" s="48">
        <f t="shared" si="19"/>
        <v>83435.905237500003</v>
      </c>
      <c r="O54" s="48">
        <f t="shared" si="19"/>
        <v>402.49934019999995</v>
      </c>
      <c r="P54" s="48">
        <f t="shared" si="19"/>
        <v>495.20521819999999</v>
      </c>
      <c r="Q54" s="48">
        <f t="shared" si="19"/>
        <v>7582.2068466000001</v>
      </c>
    </row>
    <row r="55" spans="1:17">
      <c r="A55" s="54"/>
      <c r="B55" s="54"/>
    </row>
    <row r="56" spans="1:17">
      <c r="A56" t="s">
        <v>291</v>
      </c>
      <c r="B56" t="s">
        <v>292</v>
      </c>
      <c r="C56" s="48">
        <v>2.1469999999999998</v>
      </c>
      <c r="D56" s="48">
        <v>2.1469999999999998</v>
      </c>
      <c r="E56" s="48">
        <v>2.1469999999999998</v>
      </c>
      <c r="F56" s="48">
        <v>2.1469999999999998</v>
      </c>
      <c r="G56" s="48">
        <v>2.1469999999999998</v>
      </c>
      <c r="H56" s="48">
        <v>2.1469999999999998</v>
      </c>
      <c r="I56" s="48">
        <v>2.1469999999999998</v>
      </c>
      <c r="J56" s="48">
        <v>2.1469999999999998</v>
      </c>
      <c r="K56" s="48">
        <v>2.1469999999999998</v>
      </c>
      <c r="L56" s="48">
        <v>2.1469999999999998</v>
      </c>
      <c r="M56" s="48">
        <v>2.1469999999999998</v>
      </c>
      <c r="N56" s="48">
        <v>2.1469999999999998</v>
      </c>
      <c r="O56" s="48">
        <v>2.1469999999999998</v>
      </c>
      <c r="P56" s="48">
        <v>2.1469999999999998</v>
      </c>
      <c r="Q56" s="48">
        <v>2.1469999999999998</v>
      </c>
    </row>
    <row r="57" spans="1:17" ht="45">
      <c r="A57" s="20" t="s">
        <v>293</v>
      </c>
      <c r="B57" t="s">
        <v>292</v>
      </c>
      <c r="C57">
        <v>5</v>
      </c>
      <c r="D57">
        <v>5</v>
      </c>
      <c r="E57">
        <v>5</v>
      </c>
      <c r="F57">
        <v>5</v>
      </c>
      <c r="G57">
        <v>5</v>
      </c>
      <c r="H57">
        <v>5</v>
      </c>
      <c r="I57">
        <v>5</v>
      </c>
      <c r="J57">
        <v>5</v>
      </c>
      <c r="K57">
        <v>5</v>
      </c>
      <c r="L57">
        <v>5</v>
      </c>
      <c r="M57">
        <v>5</v>
      </c>
      <c r="N57">
        <v>5</v>
      </c>
      <c r="O57">
        <v>5</v>
      </c>
      <c r="P57">
        <v>5</v>
      </c>
      <c r="Q57">
        <v>5</v>
      </c>
    </row>
    <row r="58" spans="1:17" s="265" customFormat="1">
      <c r="A58" s="265" t="s">
        <v>294</v>
      </c>
      <c r="B58" s="265" t="s">
        <v>295</v>
      </c>
      <c r="C58" s="266">
        <f>C54/C57</f>
        <v>51.159781486436827</v>
      </c>
      <c r="D58" s="266">
        <f t="shared" ref="D58:Q58" si="20">D54/D57</f>
        <v>77.179886907924811</v>
      </c>
      <c r="E58" s="266">
        <f t="shared" si="20"/>
        <v>177.18748861801095</v>
      </c>
      <c r="F58" s="266">
        <f t="shared" si="20"/>
        <v>30.644079992956552</v>
      </c>
      <c r="G58" s="266">
        <f t="shared" si="20"/>
        <v>43.753381405285765</v>
      </c>
      <c r="H58" s="266">
        <f t="shared" si="20"/>
        <v>106.95069046747464</v>
      </c>
      <c r="I58" s="266">
        <f t="shared" si="20"/>
        <v>2291.2761026399999</v>
      </c>
      <c r="J58" s="266">
        <f t="shared" si="20"/>
        <v>3541.6650141599994</v>
      </c>
      <c r="K58" s="266">
        <f t="shared" si="20"/>
        <v>8956.1802936399999</v>
      </c>
      <c r="L58" s="276">
        <f t="shared" si="20"/>
        <v>2212.6250823999999</v>
      </c>
      <c r="M58" s="276">
        <f t="shared" si="20"/>
        <v>2794.7325879</v>
      </c>
      <c r="N58" s="276">
        <f t="shared" si="20"/>
        <v>16687.181047500002</v>
      </c>
      <c r="O58" s="276">
        <f t="shared" si="20"/>
        <v>80.499868039999996</v>
      </c>
      <c r="P58" s="276">
        <f t="shared" si="20"/>
        <v>99.041043639999998</v>
      </c>
      <c r="Q58" s="276">
        <f t="shared" si="20"/>
        <v>1516.4413693199999</v>
      </c>
    </row>
    <row r="60" spans="1:17">
      <c r="A60" s="265" t="s">
        <v>296</v>
      </c>
      <c r="B60" s="265" t="s">
        <v>297</v>
      </c>
      <c r="C60" s="267">
        <f>E58+H58+K58+N58+Q58</f>
        <v>27443.940889545487</v>
      </c>
    </row>
  </sheetData>
  <mergeCells count="5">
    <mergeCell ref="C1:E1"/>
    <mergeCell ref="F1:H1"/>
    <mergeCell ref="I1:K1"/>
    <mergeCell ref="L1:N1"/>
    <mergeCell ref="O1:Q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59F4B-0302-4DE6-9B03-690989599CAB}">
  <dimension ref="A1:V68"/>
  <sheetViews>
    <sheetView topLeftCell="C1" workbookViewId="0">
      <selection activeCell="L18" sqref="L18"/>
    </sheetView>
  </sheetViews>
  <sheetFormatPr defaultColWidth="8.85546875" defaultRowHeight="15"/>
  <cols>
    <col min="2" max="2" width="13" bestFit="1" customWidth="1"/>
    <col min="3" max="3" width="20.7109375" bestFit="1" customWidth="1"/>
    <col min="4" max="4" width="13.85546875" bestFit="1" customWidth="1"/>
    <col min="5" max="5" width="13.85546875" customWidth="1"/>
    <col min="6" max="6" width="14" bestFit="1" customWidth="1"/>
    <col min="7" max="8" width="11.28515625" bestFit="1" customWidth="1"/>
    <col min="9" max="9" width="14.28515625" bestFit="1" customWidth="1"/>
    <col min="10" max="12" width="12.7109375" bestFit="1" customWidth="1"/>
    <col min="13" max="15" width="11.28515625" bestFit="1" customWidth="1"/>
    <col min="16" max="16" width="11.28515625" customWidth="1"/>
    <col min="17" max="17" width="9.7109375" customWidth="1"/>
    <col min="18" max="18" width="10.7109375" customWidth="1"/>
    <col min="19" max="19" width="11.42578125" bestFit="1" customWidth="1"/>
    <col min="20" max="20" width="11.28515625" bestFit="1" customWidth="1"/>
    <col min="21" max="22" width="12.7109375" bestFit="1" customWidth="1"/>
    <col min="23" max="23" width="13.140625" bestFit="1" customWidth="1"/>
    <col min="24" max="24" width="11.42578125" bestFit="1" customWidth="1"/>
    <col min="25" max="25" width="9.42578125" bestFit="1" customWidth="1"/>
    <col min="26" max="26" width="11.42578125" bestFit="1" customWidth="1"/>
    <col min="27" max="27" width="9.42578125" bestFit="1" customWidth="1"/>
    <col min="28" max="28" width="11.42578125" bestFit="1" customWidth="1"/>
    <col min="29" max="29" width="9.42578125" bestFit="1" customWidth="1"/>
    <col min="30" max="30" width="14.42578125" bestFit="1" customWidth="1"/>
    <col min="31" max="31" width="11.42578125" bestFit="1" customWidth="1"/>
  </cols>
  <sheetData>
    <row r="1" spans="1:22" ht="55.9" customHeight="1">
      <c r="D1" s="65" t="s">
        <v>298</v>
      </c>
      <c r="E1" s="71" t="s">
        <v>299</v>
      </c>
      <c r="F1" s="65" t="s">
        <v>300</v>
      </c>
      <c r="G1" s="93" t="s">
        <v>301</v>
      </c>
      <c r="I1" s="65"/>
      <c r="J1" s="65"/>
      <c r="K1" s="36" t="s">
        <v>302</v>
      </c>
      <c r="L1" s="36" t="s">
        <v>303</v>
      </c>
      <c r="M1" s="36" t="s">
        <v>304</v>
      </c>
      <c r="N1" s="36" t="s">
        <v>305</v>
      </c>
      <c r="O1" s="36" t="s">
        <v>306</v>
      </c>
    </row>
    <row r="2" spans="1:22">
      <c r="B2" t="s">
        <v>307</v>
      </c>
      <c r="C2" s="70" t="s">
        <v>308</v>
      </c>
      <c r="D2" s="81">
        <v>26566.595929262396</v>
      </c>
      <c r="E2" s="85">
        <f>D2/$D$9</f>
        <v>4.4635662793021981E-3</v>
      </c>
      <c r="F2" s="57">
        <f>F17</f>
        <v>29245.42413489916</v>
      </c>
      <c r="G2" s="94">
        <f>F2/$F$9</f>
        <v>4.9151385634886718E-3</v>
      </c>
      <c r="H2" s="50"/>
      <c r="K2" s="63">
        <v>2</v>
      </c>
      <c r="L2" s="39">
        <f t="shared" ref="L2:L8" si="0">F2/K2</f>
        <v>14622.71206744958</v>
      </c>
      <c r="M2" s="39">
        <f t="shared" ref="M2:M8" si="1">L2*G2</f>
        <v>71.872655985512594</v>
      </c>
      <c r="N2" s="35">
        <v>0.58026007187671758</v>
      </c>
      <c r="O2" s="35">
        <v>0.13783597413647813</v>
      </c>
      <c r="U2">
        <v>1990</v>
      </c>
      <c r="V2">
        <f>17612+100161+4351869+480358</f>
        <v>4950000</v>
      </c>
    </row>
    <row r="3" spans="1:22">
      <c r="B3" t="s">
        <v>309</v>
      </c>
      <c r="C3" s="70" t="s">
        <v>310</v>
      </c>
      <c r="D3" s="81">
        <v>55983.612752116169</v>
      </c>
      <c r="E3" s="85">
        <f t="shared" ref="E3:E8" si="2">D3/$D$9</f>
        <v>9.4060438431487151E-3</v>
      </c>
      <c r="F3" s="57">
        <f>G17</f>
        <v>60007.969691052553</v>
      </c>
      <c r="G3" s="94">
        <f t="shared" ref="G3:G4" si="3">F3/$F$9</f>
        <v>1.0085252468374531E-2</v>
      </c>
      <c r="K3" s="63">
        <v>15</v>
      </c>
      <c r="L3" s="39">
        <f t="shared" si="0"/>
        <v>4000.5313127368368</v>
      </c>
      <c r="M3" s="39">
        <f t="shared" si="1"/>
        <v>40.346368296588786</v>
      </c>
      <c r="N3" s="35">
        <v>0.49273024147761241</v>
      </c>
      <c r="O3" s="35">
        <v>7.2717916992056056E-2</v>
      </c>
      <c r="U3">
        <v>2021</v>
      </c>
      <c r="V3">
        <f>140777+800636+12786314+1454645+28628</f>
        <v>15211000</v>
      </c>
    </row>
    <row r="4" spans="1:22">
      <c r="C4" s="70"/>
      <c r="D4" s="81">
        <v>0</v>
      </c>
      <c r="E4" s="85">
        <f t="shared" si="2"/>
        <v>0</v>
      </c>
      <c r="F4" s="57">
        <f>H17</f>
        <v>0</v>
      </c>
      <c r="G4" s="94">
        <f t="shared" si="3"/>
        <v>0</v>
      </c>
      <c r="K4">
        <f>AVERAGE(20,200)</f>
        <v>110</v>
      </c>
      <c r="L4" s="39">
        <f t="shared" si="0"/>
        <v>0</v>
      </c>
      <c r="M4" s="39">
        <f t="shared" si="1"/>
        <v>0</v>
      </c>
      <c r="N4" s="35">
        <v>0.49754365777387549</v>
      </c>
      <c r="O4" s="35">
        <v>1.964701206131458E-2</v>
      </c>
      <c r="U4">
        <f>U3-U2</f>
        <v>31</v>
      </c>
      <c r="V4">
        <f>V3/V2-1</f>
        <v>2.0729292929292931</v>
      </c>
    </row>
    <row r="5" spans="1:22">
      <c r="B5" t="s">
        <v>311</v>
      </c>
      <c r="C5" s="98" t="s">
        <v>312</v>
      </c>
      <c r="D5" s="81">
        <v>190931.33199861538</v>
      </c>
      <c r="E5" s="85">
        <f t="shared" si="2"/>
        <v>3.2079181594829718E-2</v>
      </c>
      <c r="F5" s="57">
        <f>I17+J17</f>
        <v>1145340.7078935737</v>
      </c>
      <c r="G5" s="94">
        <f>F5/$F$9</f>
        <v>0.19249193500269027</v>
      </c>
      <c r="H5" s="35"/>
      <c r="K5" s="63">
        <v>5</v>
      </c>
      <c r="L5" s="39">
        <f t="shared" si="0"/>
        <v>229068.14157871474</v>
      </c>
      <c r="M5" s="39">
        <f t="shared" si="1"/>
        <v>44093.769819957008</v>
      </c>
      <c r="N5" s="101">
        <v>0.344899949930358</v>
      </c>
      <c r="O5" s="101">
        <v>5.8015096048721897E-2</v>
      </c>
      <c r="V5" s="35">
        <f>V4/U4</f>
        <v>6.6868686868686869E-2</v>
      </c>
    </row>
    <row r="6" spans="1:22">
      <c r="C6" s="70"/>
      <c r="D6" s="81">
        <v>855086.7329832426</v>
      </c>
      <c r="E6" s="85">
        <f t="shared" si="2"/>
        <v>0.14366674290471107</v>
      </c>
      <c r="F6" s="57"/>
      <c r="G6" s="94">
        <f>F6/$F$9</f>
        <v>0</v>
      </c>
      <c r="H6" s="35"/>
      <c r="K6">
        <f>AVERAGE(4,13)</f>
        <v>8.5</v>
      </c>
      <c r="L6" s="39">
        <f t="shared" si="0"/>
        <v>0</v>
      </c>
      <c r="M6" s="39">
        <f t="shared" si="1"/>
        <v>0</v>
      </c>
      <c r="N6" s="35">
        <v>0.33003747953527612</v>
      </c>
      <c r="O6" s="35">
        <v>2.5808356020513467E-2</v>
      </c>
      <c r="V6" s="35">
        <f>V5*25</f>
        <v>1.6717171717171717</v>
      </c>
    </row>
    <row r="7" spans="1:22">
      <c r="B7" t="s">
        <v>313</v>
      </c>
      <c r="C7" s="70" t="s">
        <v>314</v>
      </c>
      <c r="D7" s="81">
        <v>1628380.2935006323</v>
      </c>
      <c r="E7" s="85">
        <f t="shared" si="2"/>
        <v>0.27359106854723936</v>
      </c>
      <c r="F7" s="57">
        <f>K17</f>
        <v>718805.25328041683</v>
      </c>
      <c r="G7" s="94">
        <f t="shared" ref="G7:G8" si="4">F7/$F$9</f>
        <v>0.12080616111909233</v>
      </c>
      <c r="H7" s="35"/>
      <c r="K7" s="63">
        <f>AVERAGE(40,60)</f>
        <v>50</v>
      </c>
      <c r="L7" s="39">
        <f t="shared" si="0"/>
        <v>14376.105065608337</v>
      </c>
      <c r="M7" s="39">
        <f t="shared" si="1"/>
        <v>1736.7220648208802</v>
      </c>
      <c r="N7" s="35">
        <v>0.8457076496176642</v>
      </c>
      <c r="O7" s="35">
        <v>3.8010802364927064E-2</v>
      </c>
    </row>
    <row r="8" spans="1:22">
      <c r="B8" t="s">
        <v>315</v>
      </c>
      <c r="C8" s="70" t="s">
        <v>316</v>
      </c>
      <c r="D8" s="81">
        <v>3194928.0863661035</v>
      </c>
      <c r="E8" s="85">
        <f t="shared" si="2"/>
        <v>0.53679339683076899</v>
      </c>
      <c r="F8" s="57">
        <f>L17</f>
        <v>3996671.7889031321</v>
      </c>
      <c r="G8" s="94">
        <f t="shared" si="4"/>
        <v>0.67170151284635415</v>
      </c>
      <c r="H8" s="35"/>
      <c r="K8" s="63">
        <f>AVERAGE(30,40)</f>
        <v>35</v>
      </c>
      <c r="L8" s="39">
        <f t="shared" si="0"/>
        <v>114190.62254008949</v>
      </c>
      <c r="M8" s="39">
        <f t="shared" si="1"/>
        <v>76702.013913045099</v>
      </c>
      <c r="N8" s="35">
        <v>0.50266700163356404</v>
      </c>
      <c r="O8" s="35">
        <v>3.1421722443300611E-2</v>
      </c>
    </row>
    <row r="9" spans="1:22">
      <c r="D9" s="82">
        <f>SUM(D2:D8)</f>
        <v>5951876.6535299718</v>
      </c>
      <c r="E9" s="69">
        <f>SUM(E2:E8)</f>
        <v>1</v>
      </c>
      <c r="F9" s="97">
        <f>SUM(F2:F8)</f>
        <v>5950071.1439030748</v>
      </c>
      <c r="G9" s="89"/>
      <c r="M9" s="95">
        <f>SUM(M2:M8)</f>
        <v>122644.72482210508</v>
      </c>
    </row>
    <row r="10" spans="1:22">
      <c r="D10" s="39"/>
      <c r="F10" s="39"/>
      <c r="L10" s="39"/>
    </row>
    <row r="11" spans="1:22">
      <c r="D11" s="39"/>
      <c r="F11" s="312" t="s">
        <v>317</v>
      </c>
      <c r="G11" s="312"/>
      <c r="H11" s="312"/>
      <c r="I11" s="312"/>
      <c r="J11" s="312"/>
      <c r="K11" s="312"/>
      <c r="L11" s="312"/>
      <c r="Q11" s="40"/>
      <c r="R11" s="46" t="s">
        <v>318</v>
      </c>
      <c r="S11" s="46"/>
      <c r="T11" s="46"/>
      <c r="U11" s="46"/>
    </row>
    <row r="12" spans="1:22" ht="90">
      <c r="A12" s="59"/>
      <c r="B12" s="67" t="s">
        <v>319</v>
      </c>
      <c r="D12" s="39"/>
      <c r="E12" s="20" t="s">
        <v>320</v>
      </c>
      <c r="F12" s="20" t="s">
        <v>308</v>
      </c>
      <c r="G12" s="20" t="s">
        <v>310</v>
      </c>
      <c r="H12" s="20" t="s">
        <v>321</v>
      </c>
      <c r="I12" s="41" t="s">
        <v>322</v>
      </c>
      <c r="J12" s="20" t="s">
        <v>323</v>
      </c>
      <c r="K12" s="20" t="s">
        <v>314</v>
      </c>
      <c r="L12" s="20" t="s">
        <v>316</v>
      </c>
      <c r="O12" s="67" t="s">
        <v>308</v>
      </c>
      <c r="P12" s="67" t="s">
        <v>310</v>
      </c>
      <c r="Q12" s="67"/>
      <c r="R12" s="66" t="s">
        <v>312</v>
      </c>
      <c r="S12" s="67"/>
      <c r="T12" s="67" t="s">
        <v>314</v>
      </c>
      <c r="U12" s="67" t="s">
        <v>316</v>
      </c>
    </row>
    <row r="13" spans="1:22">
      <c r="A13" s="59" t="s">
        <v>324</v>
      </c>
      <c r="B13" s="83">
        <v>1528197.1</v>
      </c>
      <c r="C13" t="s">
        <v>324</v>
      </c>
      <c r="D13">
        <v>7</v>
      </c>
      <c r="E13" s="26">
        <f>SUM(F13:L13)</f>
        <v>1518740.2138985274</v>
      </c>
      <c r="F13" s="18">
        <f>$B$13*E21</f>
        <v>12119.480767784584</v>
      </c>
      <c r="G13" s="18">
        <f t="shared" ref="G13:L13" si="5">$B$13*F21</f>
        <v>23454.676633277253</v>
      </c>
      <c r="H13" s="18">
        <v>0</v>
      </c>
      <c r="I13" s="18">
        <f t="shared" si="5"/>
        <v>66918.834484691135</v>
      </c>
      <c r="J13" s="18">
        <f t="shared" si="5"/>
        <v>297858.51893892908</v>
      </c>
      <c r="K13" s="18">
        <f t="shared" si="5"/>
        <v>303012.16664250853</v>
      </c>
      <c r="L13" s="18">
        <f t="shared" si="5"/>
        <v>815376.53643133666</v>
      </c>
      <c r="O13" s="43">
        <f>(F13/$F$2)*$M$2</f>
        <v>29.784463645598652</v>
      </c>
      <c r="P13" s="39">
        <f>(G13/$F$3)*$M$3</f>
        <v>15.769755694045724</v>
      </c>
      <c r="Q13" s="42"/>
      <c r="R13" s="43">
        <f>(I13/$F$5)*$M$5</f>
        <v>2576.2671876165909</v>
      </c>
      <c r="S13" s="43"/>
      <c r="T13" s="43">
        <f>(K13/$F$7)*$M$7</f>
        <v>732.11473248920277</v>
      </c>
      <c r="U13" s="43">
        <f>(L13/$F$8)*$M$8</f>
        <v>15648.275801724263</v>
      </c>
    </row>
    <row r="14" spans="1:22">
      <c r="A14" s="59" t="s">
        <v>325</v>
      </c>
      <c r="B14" s="83">
        <v>1062382.5</v>
      </c>
      <c r="C14" t="s">
        <v>325</v>
      </c>
      <c r="D14">
        <v>8</v>
      </c>
      <c r="E14" s="26">
        <f t="shared" ref="E14:E16" si="6">SUM(F14:L14)</f>
        <v>1060922.1812002524</v>
      </c>
      <c r="F14" s="18">
        <f>$B$14*E22</f>
        <v>5638.111894196204</v>
      </c>
      <c r="G14" s="18">
        <f t="shared" ref="G14:L14" si="7">$B$14*F22</f>
        <v>7869.6420610738078</v>
      </c>
      <c r="H14" s="18">
        <v>0</v>
      </c>
      <c r="I14" s="18">
        <f t="shared" si="7"/>
        <v>19693.86738671871</v>
      </c>
      <c r="J14" s="18">
        <f t="shared" si="7"/>
        <v>132931.46840261787</v>
      </c>
      <c r="K14" s="18">
        <f t="shared" si="7"/>
        <v>56443.076859375309</v>
      </c>
      <c r="L14" s="18">
        <f t="shared" si="7"/>
        <v>838346.0145962704</v>
      </c>
      <c r="O14" s="43">
        <f>(F14/$F$2)*$M$2</f>
        <v>13.856050598213962</v>
      </c>
      <c r="P14" s="43">
        <f>(G14/$F$3)*$M$3</f>
        <v>5.2911551347779096</v>
      </c>
      <c r="Q14" s="42"/>
      <c r="R14" s="43">
        <f>(I14/$F$5)*$M$5</f>
        <v>758.18212819117184</v>
      </c>
      <c r="S14" s="43"/>
      <c r="T14" s="43">
        <f>(K14/$F$7)*$M$7</f>
        <v>136.37342874262012</v>
      </c>
      <c r="U14" s="43">
        <f>(L14/$F$8)*$M$8</f>
        <v>16089.093894086473</v>
      </c>
    </row>
    <row r="15" spans="1:22">
      <c r="A15" s="59" t="s">
        <v>326</v>
      </c>
      <c r="B15" s="83">
        <v>2194326.4666666668</v>
      </c>
      <c r="C15" t="s">
        <v>326</v>
      </c>
      <c r="D15">
        <v>10</v>
      </c>
      <c r="E15" s="26">
        <f t="shared" si="6"/>
        <v>2192987.6706377333</v>
      </c>
      <c r="F15" s="18">
        <f>$B$15*E24</f>
        <v>4638.5685849476631</v>
      </c>
      <c r="G15" s="18">
        <f t="shared" ref="G15:L15" si="8">$B$15*F24</f>
        <v>7595.3810853415325</v>
      </c>
      <c r="H15" s="18">
        <v>0</v>
      </c>
      <c r="I15" s="18">
        <f t="shared" si="8"/>
        <v>46557.157923404622</v>
      </c>
      <c r="J15" s="18">
        <f t="shared" si="8"/>
        <v>202793.3774180898</v>
      </c>
      <c r="K15" s="18">
        <f t="shared" si="8"/>
        <v>155282.12531493464</v>
      </c>
      <c r="L15" s="18">
        <f t="shared" si="8"/>
        <v>1776121.060311015</v>
      </c>
      <c r="O15" s="43">
        <f>(F15/$F$5)*$M$5</f>
        <v>178.57740851185332</v>
      </c>
      <c r="P15" s="43">
        <f>(G15/$F$3)*$M$3</f>
        <v>5.1067557226123945</v>
      </c>
      <c r="Q15" s="42"/>
      <c r="R15" s="43">
        <f>(I15/$F$5)*$M$5</f>
        <v>1792.3754833803976</v>
      </c>
      <c r="S15" s="43"/>
      <c r="T15" s="43">
        <f>(K15/$F$7)*$M$7</f>
        <v>375.18074899422157</v>
      </c>
      <c r="U15" s="43">
        <f>(L15/$F$8)*$M$8</f>
        <v>34086.377234547981</v>
      </c>
    </row>
    <row r="16" spans="1:22">
      <c r="A16" s="84" t="s">
        <v>327</v>
      </c>
      <c r="B16" s="83">
        <v>1179534.45</v>
      </c>
      <c r="C16" s="54" t="s">
        <v>327</v>
      </c>
      <c r="D16">
        <v>10</v>
      </c>
      <c r="E16" s="26">
        <f t="shared" si="6"/>
        <v>1177421.0781665617</v>
      </c>
      <c r="F16" s="18">
        <f>$B$16*E25</f>
        <v>6849.262887970709</v>
      </c>
      <c r="G16" s="18">
        <f t="shared" ref="G16:L16" si="9">$B$16*F25</f>
        <v>21088.269911359959</v>
      </c>
      <c r="H16" s="18">
        <v>0</v>
      </c>
      <c r="I16" s="18">
        <f t="shared" si="9"/>
        <v>77830.481206681448</v>
      </c>
      <c r="J16" s="18">
        <f t="shared" si="9"/>
        <v>300757.00213244115</v>
      </c>
      <c r="K16" s="18">
        <f t="shared" si="9"/>
        <v>204067.88446359834</v>
      </c>
      <c r="L16" s="18">
        <f t="shared" si="9"/>
        <v>566828.17756451003</v>
      </c>
      <c r="O16" s="43">
        <f>(F16/$F$5)*$M$5</f>
        <v>263.68557332951929</v>
      </c>
      <c r="P16" s="43">
        <f>(G16/$F$3)*$M$3</f>
        <v>14.178701745152759</v>
      </c>
      <c r="Q16" s="42"/>
      <c r="R16" s="43">
        <f>(I16/$F$5)*$M$5</f>
        <v>2996.3479859329259</v>
      </c>
      <c r="S16" s="43"/>
      <c r="T16" s="43">
        <f>(K16/$F$7)*$M$7</f>
        <v>493.05315459483563</v>
      </c>
      <c r="U16" s="43">
        <f>(L16/$F$8)*$M$8</f>
        <v>10878.26698268638</v>
      </c>
    </row>
    <row r="17" spans="1:22">
      <c r="A17" s="59"/>
      <c r="B17" s="88">
        <f>SUM(B13:B16)</f>
        <v>5964440.5166666666</v>
      </c>
      <c r="C17" s="52" t="s">
        <v>328</v>
      </c>
      <c r="D17" t="s">
        <v>329</v>
      </c>
      <c r="E17" s="34">
        <f>SUM(E13:E16)</f>
        <v>5950071.1439030748</v>
      </c>
      <c r="F17" s="39">
        <f>SUM(F13:F16)</f>
        <v>29245.42413489916</v>
      </c>
      <c r="G17" s="39">
        <f t="shared" ref="G17:L17" si="10">SUM(G13:G16)</f>
        <v>60007.969691052553</v>
      </c>
      <c r="H17" s="39">
        <f t="shared" si="10"/>
        <v>0</v>
      </c>
      <c r="I17" s="39">
        <f t="shared" si="10"/>
        <v>211000.34100149589</v>
      </c>
      <c r="J17" s="39">
        <f t="shared" si="10"/>
        <v>934340.36689207784</v>
      </c>
      <c r="K17" s="39">
        <f t="shared" si="10"/>
        <v>718805.25328041683</v>
      </c>
      <c r="L17" s="39">
        <f t="shared" si="10"/>
        <v>3996671.7889031321</v>
      </c>
      <c r="N17" s="44" t="s">
        <v>330</v>
      </c>
      <c r="O17" s="45">
        <f t="shared" ref="O17:P17" si="11">SUM(O13:O16)</f>
        <v>485.90349608518522</v>
      </c>
      <c r="P17" s="45">
        <f t="shared" si="11"/>
        <v>40.346368296588786</v>
      </c>
      <c r="Q17" s="45"/>
      <c r="R17" s="45">
        <f>SUM(R13:R16)</f>
        <v>8123.1727851210871</v>
      </c>
      <c r="S17" s="45"/>
      <c r="T17" s="45">
        <f t="shared" ref="T17:U17" si="12">SUM(T13:T16)</f>
        <v>1736.7220648208802</v>
      </c>
      <c r="U17" s="45">
        <f t="shared" si="12"/>
        <v>76702.013913045099</v>
      </c>
      <c r="V17" s="45">
        <f>SUM(O17:U17)</f>
        <v>87088.158627368844</v>
      </c>
    </row>
    <row r="18" spans="1:22" ht="60">
      <c r="N18" s="65" t="s">
        <v>331</v>
      </c>
      <c r="O18" s="45">
        <f t="shared" ref="O18:P18" si="13">O17*0.75</f>
        <v>364.42762206388892</v>
      </c>
      <c r="P18" s="45">
        <f t="shared" si="13"/>
        <v>30.259776222441587</v>
      </c>
      <c r="Q18" s="45"/>
      <c r="R18" s="45">
        <f>R17*0.75</f>
        <v>6092.3795888408149</v>
      </c>
      <c r="S18" s="45"/>
      <c r="T18" s="45">
        <f t="shared" ref="T18:U18" si="14">T17*0.75</f>
        <v>1302.5415486156601</v>
      </c>
      <c r="U18" s="45">
        <f t="shared" si="14"/>
        <v>57526.510434783821</v>
      </c>
      <c r="V18" s="45">
        <f>SUM(O18:U18)</f>
        <v>65316.11897052663</v>
      </c>
    </row>
    <row r="19" spans="1:22">
      <c r="C19" s="90"/>
      <c r="D19" s="90"/>
      <c r="E19" s="90" t="s">
        <v>332</v>
      </c>
      <c r="F19" s="90"/>
      <c r="G19" s="90"/>
      <c r="H19" s="90" t="s">
        <v>333</v>
      </c>
      <c r="I19" s="90"/>
      <c r="J19" s="90"/>
      <c r="K19" s="90"/>
      <c r="L19" s="90"/>
    </row>
    <row r="20" spans="1:22" ht="30">
      <c r="C20" s="90" t="s">
        <v>334</v>
      </c>
      <c r="D20" s="90" t="s">
        <v>320</v>
      </c>
      <c r="E20" s="90" t="s">
        <v>308</v>
      </c>
      <c r="F20" s="90" t="s">
        <v>310</v>
      </c>
      <c r="G20" s="90" t="s">
        <v>335</v>
      </c>
      <c r="H20" s="90" t="s">
        <v>322</v>
      </c>
      <c r="I20" s="90" t="s">
        <v>323</v>
      </c>
      <c r="J20" s="90" t="s">
        <v>314</v>
      </c>
      <c r="K20" s="90" t="s">
        <v>316</v>
      </c>
      <c r="L20" s="92" t="s">
        <v>336</v>
      </c>
      <c r="N20" s="36" t="s">
        <v>337</v>
      </c>
      <c r="O20" s="39">
        <f>O18*K2</f>
        <v>728.85524412777784</v>
      </c>
      <c r="P20" s="39">
        <f>P18*K3</f>
        <v>453.89664333662381</v>
      </c>
      <c r="Q20" s="39"/>
      <c r="R20" s="39">
        <f>R18*K5</f>
        <v>30461.897944204073</v>
      </c>
      <c r="S20" s="39"/>
      <c r="T20" s="39">
        <f>T18*12</f>
        <v>15630.498583387922</v>
      </c>
      <c r="U20" s="39">
        <f>U18*6</f>
        <v>345159.06260870292</v>
      </c>
      <c r="V20" s="95">
        <f>SUM(O20:U20)</f>
        <v>392434.21102375933</v>
      </c>
    </row>
    <row r="21" spans="1:22" ht="45">
      <c r="C21" s="90" t="s">
        <v>338</v>
      </c>
      <c r="D21" s="90"/>
      <c r="E21" s="91">
        <v>7.930574379302632E-3</v>
      </c>
      <c r="F21" s="91">
        <v>1.5347939498954194E-2</v>
      </c>
      <c r="G21" s="91">
        <v>6.1883369272403262E-3</v>
      </c>
      <c r="H21" s="91">
        <v>4.3789400257788165E-2</v>
      </c>
      <c r="I21" s="91">
        <v>0.19490844403443056</v>
      </c>
      <c r="J21" s="91">
        <v>0.1982808151137759</v>
      </c>
      <c r="K21" s="91">
        <v>0.53355456336838791</v>
      </c>
      <c r="L21" s="91">
        <f>SUM(E21:K21)</f>
        <v>1.0000000735798797</v>
      </c>
      <c r="N21" s="36" t="s">
        <v>339</v>
      </c>
      <c r="O21" s="39">
        <f>O20*Uganda_herd2020!P8</f>
        <v>422.92559634530693</v>
      </c>
      <c r="P21" s="39">
        <f>P20*Uganda_herd2020!P17</f>
        <v>223.64860267713237</v>
      </c>
      <c r="Q21" s="39"/>
      <c r="R21" s="39">
        <f>R20*Uganda_herd2020!P45</f>
        <v>10506.30707573966</v>
      </c>
      <c r="S21" s="39"/>
      <c r="T21" s="39">
        <f>T20*Uganda_herd2020!P53</f>
        <v>13218.83221930923</v>
      </c>
      <c r="U21" s="39">
        <f>U20*Uganda_herd2020!P62</f>
        <v>173500.0710881683</v>
      </c>
      <c r="V21" s="39">
        <f t="shared" ref="V21:V22" si="15">SUM(O21:U21)</f>
        <v>197871.78458223963</v>
      </c>
    </row>
    <row r="22" spans="1:22" ht="30">
      <c r="C22" s="90" t="s">
        <v>340</v>
      </c>
      <c r="D22" s="90"/>
      <c r="E22" s="91">
        <v>5.307045150118911E-3</v>
      </c>
      <c r="F22" s="91">
        <v>7.4075411267352466E-3</v>
      </c>
      <c r="G22" s="91">
        <v>1.3745226985539679E-3</v>
      </c>
      <c r="H22" s="91">
        <v>1.8537454623658342E-2</v>
      </c>
      <c r="I22" s="91">
        <v>0.12512580770355108</v>
      </c>
      <c r="J22" s="91">
        <v>5.3128771284707069E-2</v>
      </c>
      <c r="K22" s="91">
        <v>0.7891188104061112</v>
      </c>
      <c r="L22" s="91">
        <f t="shared" ref="L22:L25" si="16">SUM(E22:K22)</f>
        <v>0.9999999529934358</v>
      </c>
      <c r="N22" s="36" t="s">
        <v>341</v>
      </c>
      <c r="O22" s="39">
        <f>O20*Uganda_herd2020!R8</f>
        <v>100.46247257883284</v>
      </c>
      <c r="P22" s="39">
        <f>P20*Uganda_herd2020!R17</f>
        <v>33.006418433125482</v>
      </c>
      <c r="Q22" s="39"/>
      <c r="R22" s="39">
        <f>R20*Uganda_herd2020!R45</f>
        <v>1767.2499350593635</v>
      </c>
      <c r="S22" s="39"/>
      <c r="T22" s="39">
        <f>T20*Uganda_herd2020!R53</f>
        <v>594.12779251843074</v>
      </c>
      <c r="U22" s="39">
        <f>U20*Uganda_herd2020!R62</f>
        <v>10845.492264080482</v>
      </c>
      <c r="V22" s="39">
        <f t="shared" si="15"/>
        <v>13340.338882670234</v>
      </c>
    </row>
    <row r="23" spans="1:22">
      <c r="C23" s="90" t="s">
        <v>342</v>
      </c>
      <c r="D23" s="90"/>
      <c r="E23" s="91">
        <v>0</v>
      </c>
      <c r="F23" s="91">
        <v>0</v>
      </c>
      <c r="G23" s="91">
        <v>0</v>
      </c>
      <c r="H23" s="91">
        <v>4.0516453672533479E-3</v>
      </c>
      <c r="I23" s="91">
        <v>2.0498938667870906E-2</v>
      </c>
      <c r="J23" s="91">
        <v>0.85249915672266863</v>
      </c>
      <c r="K23" s="91">
        <v>0.12295014205445662</v>
      </c>
      <c r="L23" s="91">
        <f t="shared" si="16"/>
        <v>0.9999998828122495</v>
      </c>
    </row>
    <row r="24" spans="1:22">
      <c r="C24" s="90" t="s">
        <v>343</v>
      </c>
      <c r="D24" s="90"/>
      <c r="E24" s="91">
        <v>2.1138917364442898E-3</v>
      </c>
      <c r="F24" s="91">
        <v>3.4613724077618407E-3</v>
      </c>
      <c r="G24" s="91">
        <v>6.101232406156181E-4</v>
      </c>
      <c r="H24" s="91">
        <v>2.1217060738518163E-2</v>
      </c>
      <c r="I24" s="91">
        <v>9.2417140520638624E-2</v>
      </c>
      <c r="J24" s="91">
        <v>7.0765279311796714E-2</v>
      </c>
      <c r="K24" s="91">
        <v>0.80941513821736166</v>
      </c>
      <c r="L24" s="91">
        <f t="shared" si="16"/>
        <v>1.0000000061731369</v>
      </c>
    </row>
    <row r="25" spans="1:22" ht="45">
      <c r="C25" s="90" t="s">
        <v>344</v>
      </c>
      <c r="D25" s="90"/>
      <c r="E25" s="91">
        <v>5.8067510346736457E-3</v>
      </c>
      <c r="F25" s="91">
        <v>1.7878468841126226E-2</v>
      </c>
      <c r="G25" s="91">
        <v>1.7915730337612547E-3</v>
      </c>
      <c r="H25" s="91">
        <v>6.5984067872440225E-2</v>
      </c>
      <c r="I25" s="91">
        <v>0.25497941338842722</v>
      </c>
      <c r="J25" s="91">
        <v>0.17300714232093717</v>
      </c>
      <c r="K25" s="91">
        <v>0.48055245657683843</v>
      </c>
      <c r="L25" s="91">
        <f t="shared" si="16"/>
        <v>0.99999987306820415</v>
      </c>
      <c r="N25" s="36" t="s">
        <v>339</v>
      </c>
      <c r="O25" s="25">
        <f>O20*N2</f>
        <v>422.92559634530693</v>
      </c>
      <c r="P25" s="25">
        <f>P20*N3</f>
        <v>223.64860267713237</v>
      </c>
      <c r="R25" s="25">
        <f>R20*N5</f>
        <v>10506.30707573966</v>
      </c>
      <c r="T25" s="25">
        <f>T20*N7</f>
        <v>13218.83221930923</v>
      </c>
      <c r="U25" s="25">
        <f>U20*N8</f>
        <v>173500.0710881683</v>
      </c>
    </row>
    <row r="26" spans="1:22" ht="30">
      <c r="C26" s="90"/>
      <c r="D26" s="90"/>
      <c r="E26" s="91"/>
      <c r="F26" s="91"/>
      <c r="G26" s="91"/>
      <c r="H26" s="91"/>
      <c r="I26" s="91"/>
      <c r="J26" s="91"/>
      <c r="K26" s="91"/>
      <c r="L26" s="90"/>
      <c r="N26" s="36" t="s">
        <v>341</v>
      </c>
      <c r="O26" s="25">
        <f>O20*O2</f>
        <v>100.46247257883284</v>
      </c>
      <c r="P26" s="25">
        <f>P20*O3</f>
        <v>33.006418433125482</v>
      </c>
      <c r="R26" s="25">
        <f>R20*O5</f>
        <v>1767.2499350593635</v>
      </c>
      <c r="T26" s="25">
        <f>T20*O7</f>
        <v>594.12779251843074</v>
      </c>
      <c r="U26" s="25">
        <f>U20*O8</f>
        <v>10845.492264080482</v>
      </c>
    </row>
    <row r="27" spans="1:22">
      <c r="C27" s="90"/>
      <c r="D27" s="90"/>
      <c r="E27" s="90"/>
      <c r="F27" s="90"/>
      <c r="G27" s="90"/>
      <c r="H27" s="90"/>
      <c r="I27" s="90"/>
      <c r="J27" s="90"/>
      <c r="K27" s="90"/>
      <c r="L27" s="90"/>
    </row>
    <row r="33" spans="3:4">
      <c r="C33" s="40" t="s">
        <v>345</v>
      </c>
      <c r="D33" s="40" t="s">
        <v>346</v>
      </c>
    </row>
    <row r="34" spans="3:4">
      <c r="C34" t="s">
        <v>326</v>
      </c>
      <c r="D34" t="s">
        <v>347</v>
      </c>
    </row>
    <row r="35" spans="3:4">
      <c r="C35" t="s">
        <v>326</v>
      </c>
      <c r="D35" t="s">
        <v>348</v>
      </c>
    </row>
    <row r="36" spans="3:4">
      <c r="C36" t="s">
        <v>327</v>
      </c>
      <c r="D36" t="s">
        <v>349</v>
      </c>
    </row>
    <row r="37" spans="3:4">
      <c r="C37" t="s">
        <v>327</v>
      </c>
      <c r="D37" t="s">
        <v>350</v>
      </c>
    </row>
    <row r="38" spans="3:4">
      <c r="C38" t="s">
        <v>326</v>
      </c>
      <c r="D38" t="s">
        <v>351</v>
      </c>
    </row>
    <row r="39" spans="3:4">
      <c r="C39" t="s">
        <v>325</v>
      </c>
      <c r="D39" t="s">
        <v>352</v>
      </c>
    </row>
    <row r="40" spans="3:4">
      <c r="C40" t="s">
        <v>326</v>
      </c>
      <c r="D40" t="s">
        <v>353</v>
      </c>
    </row>
    <row r="41" spans="3:4">
      <c r="C41" t="s">
        <v>324</v>
      </c>
      <c r="D41" t="s">
        <v>354</v>
      </c>
    </row>
    <row r="42" spans="3:4">
      <c r="C42" t="s">
        <v>327</v>
      </c>
      <c r="D42" t="s">
        <v>355</v>
      </c>
    </row>
    <row r="43" spans="3:4">
      <c r="C43" t="s">
        <v>325</v>
      </c>
      <c r="D43" t="s">
        <v>356</v>
      </c>
    </row>
    <row r="44" spans="3:4">
      <c r="C44" t="s">
        <v>327</v>
      </c>
      <c r="D44" t="s">
        <v>357</v>
      </c>
    </row>
    <row r="45" spans="3:4">
      <c r="C45" t="s">
        <v>324</v>
      </c>
      <c r="D45" t="s">
        <v>358</v>
      </c>
    </row>
    <row r="46" spans="3:4">
      <c r="C46" t="s">
        <v>325</v>
      </c>
      <c r="D46" t="s">
        <v>359</v>
      </c>
    </row>
    <row r="47" spans="3:4">
      <c r="C47" t="s">
        <v>327</v>
      </c>
      <c r="D47" t="s">
        <v>360</v>
      </c>
    </row>
    <row r="48" spans="3:4">
      <c r="C48" t="s">
        <v>326</v>
      </c>
      <c r="D48" t="s">
        <v>361</v>
      </c>
    </row>
    <row r="49" spans="3:4">
      <c r="C49" t="s">
        <v>326</v>
      </c>
      <c r="D49" t="s">
        <v>362</v>
      </c>
    </row>
    <row r="50" spans="3:4">
      <c r="C50" t="s">
        <v>325</v>
      </c>
      <c r="D50" t="s">
        <v>363</v>
      </c>
    </row>
    <row r="51" spans="3:4">
      <c r="C51" t="s">
        <v>324</v>
      </c>
      <c r="D51" t="s">
        <v>364</v>
      </c>
    </row>
    <row r="52" spans="3:4">
      <c r="C52" t="s">
        <v>324</v>
      </c>
      <c r="D52" t="s">
        <v>365</v>
      </c>
    </row>
    <row r="53" spans="3:4">
      <c r="C53" t="s">
        <v>326</v>
      </c>
      <c r="D53" t="s">
        <v>366</v>
      </c>
    </row>
    <row r="54" spans="3:4">
      <c r="C54" t="s">
        <v>327</v>
      </c>
      <c r="D54" t="s">
        <v>367</v>
      </c>
    </row>
    <row r="55" spans="3:4">
      <c r="C55" t="s">
        <v>327</v>
      </c>
      <c r="D55" t="s">
        <v>368</v>
      </c>
    </row>
    <row r="56" spans="3:4">
      <c r="C56" t="s">
        <v>326</v>
      </c>
      <c r="D56" t="s">
        <v>369</v>
      </c>
    </row>
    <row r="57" spans="3:4">
      <c r="C57" t="s">
        <v>326</v>
      </c>
      <c r="D57" t="s">
        <v>370</v>
      </c>
    </row>
    <row r="58" spans="3:4">
      <c r="C58" t="s">
        <v>326</v>
      </c>
      <c r="D58" t="s">
        <v>371</v>
      </c>
    </row>
    <row r="59" spans="3:4">
      <c r="C59" t="s">
        <v>324</v>
      </c>
      <c r="D59" t="s">
        <v>372</v>
      </c>
    </row>
    <row r="60" spans="3:4">
      <c r="C60" t="s">
        <v>325</v>
      </c>
      <c r="D60" t="s">
        <v>373</v>
      </c>
    </row>
    <row r="61" spans="3:4">
      <c r="C61" t="s">
        <v>327</v>
      </c>
      <c r="D61" t="s">
        <v>374</v>
      </c>
    </row>
    <row r="62" spans="3:4">
      <c r="C62" t="s">
        <v>327</v>
      </c>
      <c r="D62" t="s">
        <v>375</v>
      </c>
    </row>
    <row r="63" spans="3:4">
      <c r="C63" t="s">
        <v>325</v>
      </c>
      <c r="D63" t="s">
        <v>376</v>
      </c>
    </row>
    <row r="64" spans="3:4">
      <c r="C64" t="s">
        <v>324</v>
      </c>
      <c r="D64" t="s">
        <v>377</v>
      </c>
    </row>
    <row r="65" spans="3:4">
      <c r="C65" t="s">
        <v>327</v>
      </c>
      <c r="D65" t="s">
        <v>378</v>
      </c>
    </row>
    <row r="66" spans="3:4">
      <c r="C66" t="s">
        <v>324</v>
      </c>
      <c r="D66" t="s">
        <v>379</v>
      </c>
    </row>
    <row r="67" spans="3:4">
      <c r="C67" t="s">
        <v>325</v>
      </c>
      <c r="D67" t="s">
        <v>380</v>
      </c>
    </row>
    <row r="68" spans="3:4">
      <c r="C68" t="s">
        <v>325</v>
      </c>
      <c r="D68" t="s">
        <v>381</v>
      </c>
    </row>
  </sheetData>
  <autoFilter ref="C33:D68" xr:uid="{9E159F4B-0302-4DE6-9B03-690989599CAB}"/>
  <mergeCells count="1">
    <mergeCell ref="F11:L11"/>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andtime xmlns="505ccb20-7403-45a6-b481-ca1dd862337d" xsi:nil="true"/>
    <TaxCatchAll xmlns="e5565b3b-de73-408f-92ec-2a950ff896c8" xsi:nil="true"/>
    <lcf76f155ced4ddcb4097134ff3c332f xmlns="505ccb20-7403-45a6-b481-ca1dd862337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984E77-1BAB-4876-9B7E-57AB026675F7}"/>
</file>

<file path=customXml/itemProps2.xml><?xml version="1.0" encoding="utf-8"?>
<ds:datastoreItem xmlns:ds="http://schemas.openxmlformats.org/officeDocument/2006/customXml" ds:itemID="{85139C1C-5DA8-4174-9EA5-A08D28B44386}"/>
</file>

<file path=customXml/itemProps3.xml><?xml version="1.0" encoding="utf-8"?>
<ds:datastoreItem xmlns:ds="http://schemas.openxmlformats.org/officeDocument/2006/customXml" ds:itemID="{2FDF9A3E-418B-4205-8826-44556D3B7A00}"/>
</file>

<file path=docProps/app.xml><?xml version="1.0" encoding="utf-8"?>
<Properties xmlns="http://schemas.openxmlformats.org/officeDocument/2006/extended-properties" xmlns:vt="http://schemas.openxmlformats.org/officeDocument/2006/docPropsVTypes">
  <Application>Microsoft Excel Online</Application>
  <Manager/>
  <Company>FAO of the UN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Rulli, Monica (AGAL)</dc:creator>
  <cp:keywords/>
  <dc:description/>
  <cp:lastModifiedBy>Mottet, Anne</cp:lastModifiedBy>
  <cp:revision/>
  <dcterms:created xsi:type="dcterms:W3CDTF">2023-10-06T08:07:44Z</dcterms:created>
  <dcterms:modified xsi:type="dcterms:W3CDTF">2025-01-23T03:08:13Z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y fmtid="{D5CDD505-2E9C-101B-9397-08002B2CF9AE}" pid="4" name="Order">
    <vt:r8>6200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ies>
</file>