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https://unitednations-my.sharepoint.com/personal/jessica_troni_un_org/Documents/Documents/@FOLDERS AND FILES/COUNTRY PROJECTS/GCF COUNTRY PROJECTS/New GCF projects/Mauritania/Submission-April 13 2025/"/>
    </mc:Choice>
  </mc:AlternateContent>
  <xr:revisionPtr revIDLastSave="334" documentId="8_{D4118945-DB6B-4DCC-890C-A9BB2BDA608C}" xr6:coauthVersionLast="47" xr6:coauthVersionMax="47" xr10:uidLastSave="{941CB2DF-990E-419E-B46A-6D9C1EE50D51}"/>
  <bookViews>
    <workbookView xWindow="-110" yWindow="-110" windowWidth="19420" windowHeight="11620" xr2:uid="{00000000-000D-0000-FFFF-FFFF00000000}"/>
  </bookViews>
  <sheets>
    <sheet name="Detailed Budget" sheetId="1" r:id="rId1"/>
    <sheet name="Notes and Assumptions" sheetId="2" r:id="rId2"/>
    <sheet name="Cost categories" sheetId="4" r:id="rId3"/>
  </sheets>
  <definedNames>
    <definedName name="_xlnm._FilterDatabase" localSheetId="0" hidden="1">'Detailed Budget'!$A$3:$N$129</definedName>
    <definedName name="_xlnm._FilterDatabase" localSheetId="1" hidden="1">'Notes and Assumptions'!$C$1:$C$145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1" i="1" l="1"/>
  <c r="N11" i="1"/>
  <c r="M11" i="1"/>
  <c r="L11" i="1"/>
  <c r="K11" i="1"/>
  <c r="J11" i="1"/>
  <c r="I11" i="1"/>
  <c r="H11" i="1"/>
  <c r="G11" i="1"/>
  <c r="L9" i="2"/>
  <c r="K9" i="2"/>
  <c r="J9" i="2"/>
  <c r="I9" i="2"/>
  <c r="H9" i="2"/>
  <c r="G9" i="2"/>
  <c r="F9" i="2"/>
  <c r="G10" i="1"/>
  <c r="L8" i="2"/>
  <c r="M10" i="1" s="1"/>
  <c r="K8" i="2"/>
  <c r="L10" i="1" s="1"/>
  <c r="J8" i="2"/>
  <c r="K10" i="1" s="1"/>
  <c r="F8" i="2"/>
  <c r="I8" i="2" s="1"/>
  <c r="J10" i="1" s="1"/>
  <c r="G8" i="2" l="1"/>
  <c r="H10" i="1" s="1"/>
  <c r="H8" i="2"/>
  <c r="I10" i="1" s="1"/>
  <c r="F22" i="2"/>
  <c r="J22" i="2" s="1"/>
  <c r="N10" i="1" l="1"/>
  <c r="O10" i="1" s="1"/>
  <c r="H22" i="2"/>
  <c r="F103" i="2"/>
  <c r="K103" i="2" s="1"/>
  <c r="L115" i="1" s="1"/>
  <c r="I103" i="2" l="1"/>
  <c r="J115" i="1" s="1"/>
  <c r="L103" i="2"/>
  <c r="M115" i="1" s="1"/>
  <c r="G115" i="1"/>
  <c r="J103" i="2"/>
  <c r="K115" i="1" s="1"/>
  <c r="G103" i="2"/>
  <c r="H115" i="1" s="1"/>
  <c r="H103" i="2"/>
  <c r="I115" i="1" s="1"/>
  <c r="N115" i="1" l="1"/>
  <c r="O115" i="1" s="1"/>
  <c r="F7" i="2"/>
  <c r="F6" i="2"/>
  <c r="L120" i="1"/>
  <c r="M120" i="1"/>
  <c r="F108" i="2"/>
  <c r="I108" i="2" s="1"/>
  <c r="J120" i="1" s="1"/>
  <c r="E47" i="2"/>
  <c r="F42" i="2"/>
  <c r="F46" i="2"/>
  <c r="G108" i="2" l="1"/>
  <c r="H120" i="1" s="1"/>
  <c r="G120" i="1"/>
  <c r="J108" i="2"/>
  <c r="K120" i="1" s="1"/>
  <c r="H108" i="2"/>
  <c r="I120" i="1" s="1"/>
  <c r="F43" i="2"/>
  <c r="L43" i="2" s="1"/>
  <c r="N120" i="1" l="1"/>
  <c r="O120" i="1" s="1"/>
  <c r="I43" i="2"/>
  <c r="J43" i="2"/>
  <c r="K43" i="2"/>
  <c r="F26" i="2"/>
  <c r="L26" i="2" s="1"/>
  <c r="M31" i="1" s="1"/>
  <c r="F32" i="2"/>
  <c r="I32" i="2" s="1"/>
  <c r="J37" i="1" s="1"/>
  <c r="F12" i="2"/>
  <c r="K12" i="2" s="1"/>
  <c r="L14" i="1" s="1"/>
  <c r="E23" i="2"/>
  <c r="H49" i="1"/>
  <c r="I42" i="2"/>
  <c r="J49" i="1" s="1"/>
  <c r="G37" i="1" l="1"/>
  <c r="L12" i="2"/>
  <c r="M14" i="1" s="1"/>
  <c r="G31" i="1"/>
  <c r="G39" i="1" s="1"/>
  <c r="J26" i="2"/>
  <c r="K31" i="1" s="1"/>
  <c r="K26" i="2"/>
  <c r="L31" i="1" s="1"/>
  <c r="G14" i="1"/>
  <c r="G26" i="2"/>
  <c r="H31" i="1" s="1"/>
  <c r="H26" i="2"/>
  <c r="I31" i="1" s="1"/>
  <c r="I26" i="2"/>
  <c r="J31" i="1" s="1"/>
  <c r="J39" i="1" s="1"/>
  <c r="G12" i="2"/>
  <c r="H14" i="1" s="1"/>
  <c r="H12" i="2"/>
  <c r="I14" i="1" s="1"/>
  <c r="I12" i="2"/>
  <c r="J14" i="1" s="1"/>
  <c r="J12" i="2"/>
  <c r="K14" i="1" s="1"/>
  <c r="H32" i="2"/>
  <c r="I37" i="1" s="1"/>
  <c r="G32" i="2"/>
  <c r="H37" i="1" s="1"/>
  <c r="L32" i="2"/>
  <c r="M37" i="1" s="1"/>
  <c r="M39" i="1" s="1"/>
  <c r="K32" i="2"/>
  <c r="L37" i="1" s="1"/>
  <c r="J32" i="2"/>
  <c r="K37" i="1" s="1"/>
  <c r="G49" i="1"/>
  <c r="J42" i="2"/>
  <c r="K49" i="1" s="1"/>
  <c r="K42" i="2"/>
  <c r="L49" i="1" s="1"/>
  <c r="L42" i="2"/>
  <c r="M49" i="1" s="1"/>
  <c r="H42" i="2"/>
  <c r="I49" i="1" s="1"/>
  <c r="M46" i="1"/>
  <c r="L46" i="1"/>
  <c r="K46" i="1"/>
  <c r="J46" i="1"/>
  <c r="I46" i="1"/>
  <c r="H102" i="1"/>
  <c r="F64" i="2"/>
  <c r="G102" i="1" s="1"/>
  <c r="E54" i="2"/>
  <c r="E50" i="2"/>
  <c r="F39" i="2"/>
  <c r="G39" i="2" s="1"/>
  <c r="H46" i="1" s="1"/>
  <c r="F38" i="2"/>
  <c r="F31" i="2"/>
  <c r="G31" i="2" s="1"/>
  <c r="H36" i="1" s="1"/>
  <c r="F30" i="2"/>
  <c r="G30" i="2" s="1"/>
  <c r="H35" i="1" s="1"/>
  <c r="F29" i="2"/>
  <c r="G29" i="2" s="1"/>
  <c r="H34" i="1" s="1"/>
  <c r="D28" i="2"/>
  <c r="F28" i="2" s="1"/>
  <c r="G33" i="1" s="1"/>
  <c r="D27" i="2"/>
  <c r="F27" i="2" s="1"/>
  <c r="F25" i="2"/>
  <c r="L25" i="2" s="1"/>
  <c r="M30" i="1" s="1"/>
  <c r="E24" i="2"/>
  <c r="F24" i="2" s="1"/>
  <c r="G29" i="1" s="1"/>
  <c r="F148" i="1"/>
  <c r="F149" i="1"/>
  <c r="F151" i="1"/>
  <c r="F152" i="1"/>
  <c r="F154" i="1"/>
  <c r="F97" i="2"/>
  <c r="H4" i="1"/>
  <c r="I4" i="1"/>
  <c r="J4" i="1"/>
  <c r="K4" i="1"/>
  <c r="L4" i="1"/>
  <c r="M4" i="1"/>
  <c r="G4" i="1"/>
  <c r="I5" i="1"/>
  <c r="J5" i="1"/>
  <c r="K5" i="1"/>
  <c r="L5" i="1"/>
  <c r="M5" i="1"/>
  <c r="K39" i="1" l="1"/>
  <c r="H39" i="1"/>
  <c r="I39" i="1"/>
  <c r="N37" i="1"/>
  <c r="O37" i="1" s="1"/>
  <c r="N14" i="1"/>
  <c r="O14" i="1" s="1"/>
  <c r="L39" i="1"/>
  <c r="N31" i="1"/>
  <c r="G46" i="1"/>
  <c r="N49" i="1"/>
  <c r="O49" i="1" s="1"/>
  <c r="N46" i="1"/>
  <c r="H64" i="2"/>
  <c r="I102" i="1" s="1"/>
  <c r="I64" i="2"/>
  <c r="J102" i="1" s="1"/>
  <c r="J64" i="2"/>
  <c r="K102" i="1" s="1"/>
  <c r="K64" i="2"/>
  <c r="L102" i="1" s="1"/>
  <c r="L64" i="2"/>
  <c r="M102" i="1" s="1"/>
  <c r="G36" i="1"/>
  <c r="G35" i="1"/>
  <c r="H27" i="2"/>
  <c r="I32" i="1" s="1"/>
  <c r="G32" i="1"/>
  <c r="G34" i="1"/>
  <c r="L31" i="2"/>
  <c r="M36" i="1" s="1"/>
  <c r="G30" i="1"/>
  <c r="L29" i="2"/>
  <c r="M34" i="1" s="1"/>
  <c r="K29" i="2"/>
  <c r="L34" i="1" s="1"/>
  <c r="H31" i="2"/>
  <c r="I36" i="1" s="1"/>
  <c r="K31" i="2"/>
  <c r="L36" i="1" s="1"/>
  <c r="J31" i="2"/>
  <c r="K36" i="1" s="1"/>
  <c r="I31" i="2"/>
  <c r="J36" i="1" s="1"/>
  <c r="L30" i="2"/>
  <c r="M35" i="1" s="1"/>
  <c r="K30" i="2"/>
  <c r="L35" i="1" s="1"/>
  <c r="J30" i="2"/>
  <c r="K35" i="1" s="1"/>
  <c r="I30" i="2"/>
  <c r="J35" i="1" s="1"/>
  <c r="H30" i="2"/>
  <c r="I35" i="1" s="1"/>
  <c r="J29" i="2"/>
  <c r="K34" i="1" s="1"/>
  <c r="I29" i="2"/>
  <c r="J34" i="1" s="1"/>
  <c r="H29" i="2"/>
  <c r="I34" i="1" s="1"/>
  <c r="G28" i="2"/>
  <c r="H33" i="1" s="1"/>
  <c r="H28" i="2"/>
  <c r="I33" i="1" s="1"/>
  <c r="I28" i="2"/>
  <c r="J33" i="1" s="1"/>
  <c r="J28" i="2"/>
  <c r="K33" i="1" s="1"/>
  <c r="K28" i="2"/>
  <c r="L33" i="1" s="1"/>
  <c r="L28" i="2"/>
  <c r="M33" i="1" s="1"/>
  <c r="G27" i="2"/>
  <c r="H32" i="1" s="1"/>
  <c r="L27" i="2"/>
  <c r="M32" i="1" s="1"/>
  <c r="K27" i="2"/>
  <c r="L32" i="1" s="1"/>
  <c r="J27" i="2"/>
  <c r="K32" i="1" s="1"/>
  <c r="I27" i="2"/>
  <c r="J32" i="1" s="1"/>
  <c r="K24" i="2"/>
  <c r="L29" i="1" s="1"/>
  <c r="J24" i="2"/>
  <c r="K29" i="1" s="1"/>
  <c r="H24" i="2"/>
  <c r="I29" i="1" s="1"/>
  <c r="I24" i="2"/>
  <c r="J29" i="1" s="1"/>
  <c r="G24" i="2"/>
  <c r="H29" i="1" s="1"/>
  <c r="L24" i="2"/>
  <c r="M29" i="1" s="1"/>
  <c r="G25" i="2"/>
  <c r="H30" i="1" s="1"/>
  <c r="H25" i="2"/>
  <c r="I30" i="1" s="1"/>
  <c r="I25" i="2"/>
  <c r="J30" i="1" s="1"/>
  <c r="J25" i="2"/>
  <c r="K30" i="1" s="1"/>
  <c r="K25" i="2"/>
  <c r="L30" i="1" s="1"/>
  <c r="G8" i="1"/>
  <c r="L6" i="2"/>
  <c r="G9" i="1"/>
  <c r="G6" i="2"/>
  <c r="H6" i="2"/>
  <c r="I6" i="2"/>
  <c r="J6" i="2"/>
  <c r="K6" i="2"/>
  <c r="G7" i="2"/>
  <c r="H7" i="2"/>
  <c r="I7" i="2"/>
  <c r="J7" i="2"/>
  <c r="K7" i="2"/>
  <c r="L7" i="2"/>
  <c r="J146" i="1"/>
  <c r="N39" i="1" l="1"/>
  <c r="O39" i="1" s="1"/>
  <c r="O31" i="1"/>
  <c r="O46" i="1"/>
  <c r="G38" i="1"/>
  <c r="I38" i="1"/>
  <c r="I40" i="1"/>
  <c r="J38" i="1"/>
  <c r="J40" i="1"/>
  <c r="L40" i="1"/>
  <c r="L38" i="1"/>
  <c r="K38" i="1"/>
  <c r="K40" i="1"/>
  <c r="M40" i="1"/>
  <c r="M38" i="1"/>
  <c r="H38" i="1"/>
  <c r="H40" i="1"/>
  <c r="G40" i="1"/>
  <c r="N102" i="1"/>
  <c r="O102" i="1" s="1"/>
  <c r="N32" i="1"/>
  <c r="O32" i="1" s="1"/>
  <c r="N34" i="1"/>
  <c r="O34" i="1" s="1"/>
  <c r="N29" i="1"/>
  <c r="N33" i="1"/>
  <c r="O33" i="1" s="1"/>
  <c r="N30" i="1"/>
  <c r="O30" i="1" s="1"/>
  <c r="N36" i="1"/>
  <c r="O36" i="1" s="1"/>
  <c r="N35" i="1"/>
  <c r="O35" i="1" s="1"/>
  <c r="K8" i="1"/>
  <c r="M9" i="1"/>
  <c r="J8" i="1"/>
  <c r="I8" i="1"/>
  <c r="L9" i="1"/>
  <c r="I9" i="1"/>
  <c r="K9" i="1"/>
  <c r="M8" i="1"/>
  <c r="H8" i="1"/>
  <c r="J9" i="1"/>
  <c r="H9" i="1"/>
  <c r="L8" i="1"/>
  <c r="C136" i="2"/>
  <c r="C141" i="2"/>
  <c r="C142" i="2"/>
  <c r="C143" i="2"/>
  <c r="C144" i="2"/>
  <c r="N38" i="1" l="1"/>
  <c r="O38" i="1" s="1"/>
  <c r="O29" i="1"/>
  <c r="N40" i="1"/>
  <c r="O40" i="1" s="1"/>
  <c r="N9" i="1"/>
  <c r="O9" i="1" s="1"/>
  <c r="N8" i="1"/>
  <c r="O8" i="1" s="1"/>
  <c r="E111" i="2"/>
  <c r="E88" i="2"/>
  <c r="E82" i="2"/>
  <c r="E78" i="2"/>
  <c r="E75" i="2"/>
  <c r="E69" i="2"/>
  <c r="E65" i="2"/>
  <c r="E58" i="2"/>
  <c r="F41" i="2"/>
  <c r="E40" i="2"/>
  <c r="E35" i="2"/>
  <c r="E18" i="2"/>
  <c r="E14" i="2"/>
  <c r="F14" i="2" s="1"/>
  <c r="E13" i="2"/>
  <c r="E4" i="2"/>
  <c r="M137" i="1"/>
  <c r="L137" i="1"/>
  <c r="K137" i="1"/>
  <c r="J137" i="1"/>
  <c r="I137" i="1"/>
  <c r="H137" i="1"/>
  <c r="G118" i="2"/>
  <c r="H118" i="2"/>
  <c r="I118" i="2"/>
  <c r="J118" i="2"/>
  <c r="K118" i="2"/>
  <c r="L118" i="2"/>
  <c r="E96" i="2"/>
  <c r="N137" i="1" l="1"/>
  <c r="O137" i="1" s="1"/>
  <c r="F47" i="2"/>
  <c r="J47" i="2" l="1"/>
  <c r="L47" i="2"/>
  <c r="K47" i="2"/>
  <c r="I47" i="2"/>
  <c r="E56" i="2" l="1"/>
  <c r="H56" i="2" s="1"/>
  <c r="E99" i="2"/>
  <c r="E72" i="2"/>
  <c r="E70" i="2"/>
  <c r="E66" i="2"/>
  <c r="F66" i="2" s="1"/>
  <c r="H52" i="2"/>
  <c r="F49" i="2"/>
  <c r="H56" i="1"/>
  <c r="J90" i="1"/>
  <c r="K90" i="1"/>
  <c r="L90" i="1"/>
  <c r="M90" i="1"/>
  <c r="J91" i="1"/>
  <c r="K91" i="1"/>
  <c r="L91" i="1"/>
  <c r="M91" i="1"/>
  <c r="J92" i="1"/>
  <c r="K92" i="1"/>
  <c r="L92" i="1"/>
  <c r="M92" i="1"/>
  <c r="J94" i="1"/>
  <c r="K94" i="1"/>
  <c r="L94" i="1"/>
  <c r="M94" i="1"/>
  <c r="J95" i="1"/>
  <c r="K95" i="1"/>
  <c r="L95" i="1"/>
  <c r="M95" i="1"/>
  <c r="J96" i="1"/>
  <c r="K96" i="1"/>
  <c r="L96" i="1"/>
  <c r="M96" i="1"/>
  <c r="J98" i="1"/>
  <c r="K98" i="1"/>
  <c r="L98" i="1"/>
  <c r="M98" i="1"/>
  <c r="J99" i="1"/>
  <c r="K99" i="1"/>
  <c r="L99" i="1"/>
  <c r="M99" i="1"/>
  <c r="J100" i="1"/>
  <c r="K100" i="1"/>
  <c r="L100" i="1"/>
  <c r="M100" i="1"/>
  <c r="J104" i="1"/>
  <c r="K104" i="1"/>
  <c r="L104" i="1"/>
  <c r="M104" i="1"/>
  <c r="J105" i="1"/>
  <c r="L105" i="1"/>
  <c r="J106" i="1"/>
  <c r="L106" i="1"/>
  <c r="J107" i="1"/>
  <c r="L107" i="1"/>
  <c r="J108" i="1"/>
  <c r="K108" i="1"/>
  <c r="L108" i="1"/>
  <c r="M108" i="1"/>
  <c r="J109" i="1"/>
  <c r="K109" i="1"/>
  <c r="L109" i="1"/>
  <c r="M109" i="1"/>
  <c r="J110" i="1"/>
  <c r="K110" i="1"/>
  <c r="L110" i="1"/>
  <c r="M110" i="1"/>
  <c r="J111" i="1"/>
  <c r="K111" i="1"/>
  <c r="L111" i="1"/>
  <c r="M111" i="1"/>
  <c r="J112" i="1"/>
  <c r="K112" i="1"/>
  <c r="L112" i="1"/>
  <c r="M112" i="1"/>
  <c r="J113" i="1"/>
  <c r="K113" i="1"/>
  <c r="L113" i="1"/>
  <c r="M113" i="1"/>
  <c r="I61" i="1"/>
  <c r="J61" i="1"/>
  <c r="K61" i="1"/>
  <c r="L61" i="1"/>
  <c r="M61" i="1"/>
  <c r="I62" i="1"/>
  <c r="J62" i="1"/>
  <c r="K62" i="1"/>
  <c r="L62" i="1"/>
  <c r="M62" i="1"/>
  <c r="I63" i="1"/>
  <c r="J63" i="1"/>
  <c r="K63" i="1"/>
  <c r="L63" i="1"/>
  <c r="M63" i="1"/>
  <c r="I64" i="1"/>
  <c r="J64" i="1"/>
  <c r="K64" i="1"/>
  <c r="L64" i="1"/>
  <c r="M64" i="1"/>
  <c r="I65" i="1"/>
  <c r="J65" i="1"/>
  <c r="K65" i="1"/>
  <c r="L65" i="1"/>
  <c r="M65" i="1"/>
  <c r="I66" i="1"/>
  <c r="J66" i="1"/>
  <c r="K66" i="1"/>
  <c r="L66" i="1"/>
  <c r="M66" i="1"/>
  <c r="I67" i="1"/>
  <c r="J67" i="1"/>
  <c r="K67" i="1"/>
  <c r="L67" i="1"/>
  <c r="M67" i="1"/>
  <c r="J68" i="1"/>
  <c r="K68" i="1"/>
  <c r="L68" i="1"/>
  <c r="M68" i="1"/>
  <c r="I69" i="1"/>
  <c r="M69" i="1"/>
  <c r="I70" i="1"/>
  <c r="J71" i="1"/>
  <c r="K71" i="1"/>
  <c r="L71" i="1"/>
  <c r="M71" i="1"/>
  <c r="J72" i="1"/>
  <c r="K72" i="1"/>
  <c r="L72" i="1"/>
  <c r="M72" i="1"/>
  <c r="J73" i="1"/>
  <c r="K73" i="1"/>
  <c r="L73" i="1"/>
  <c r="M73" i="1"/>
  <c r="I74" i="1"/>
  <c r="L74" i="1"/>
  <c r="M74" i="1"/>
  <c r="I75" i="1"/>
  <c r="J75" i="1"/>
  <c r="K75" i="1"/>
  <c r="I76" i="1"/>
  <c r="L76" i="1"/>
  <c r="M76" i="1"/>
  <c r="I77" i="1"/>
  <c r="L77" i="1"/>
  <c r="M77" i="1"/>
  <c r="I78" i="1"/>
  <c r="L78" i="1"/>
  <c r="M78" i="1"/>
  <c r="I79" i="1"/>
  <c r="J79" i="1"/>
  <c r="K79" i="1"/>
  <c r="I84" i="1"/>
  <c r="K84" i="1"/>
  <c r="L84" i="1"/>
  <c r="M84" i="1"/>
  <c r="I85" i="1"/>
  <c r="K85" i="1"/>
  <c r="L85" i="1"/>
  <c r="M85" i="1"/>
  <c r="I86" i="1"/>
  <c r="J86" i="1"/>
  <c r="I80" i="1"/>
  <c r="L80" i="1"/>
  <c r="M80" i="1"/>
  <c r="I81" i="1"/>
  <c r="L81" i="1"/>
  <c r="M81" i="1"/>
  <c r="I82" i="1"/>
  <c r="J82" i="1"/>
  <c r="K82" i="1"/>
  <c r="I83" i="1"/>
  <c r="L83" i="1"/>
  <c r="M83" i="1"/>
  <c r="J114" i="1"/>
  <c r="K114" i="1"/>
  <c r="L114" i="1"/>
  <c r="M114" i="1"/>
  <c r="J116" i="1"/>
  <c r="K116" i="1"/>
  <c r="L116" i="1"/>
  <c r="M116" i="1"/>
  <c r="I117" i="1"/>
  <c r="I118" i="1"/>
  <c r="I119" i="1"/>
  <c r="J119" i="1"/>
  <c r="K119" i="1"/>
  <c r="L119" i="1"/>
  <c r="M119" i="1"/>
  <c r="I121" i="1"/>
  <c r="K121" i="1"/>
  <c r="L121" i="1"/>
  <c r="M121" i="1"/>
  <c r="J122" i="1"/>
  <c r="K122" i="1"/>
  <c r="L122" i="1"/>
  <c r="M122" i="1"/>
  <c r="J123" i="1"/>
  <c r="K123" i="1"/>
  <c r="L123" i="1"/>
  <c r="M123" i="1"/>
  <c r="J124" i="1"/>
  <c r="K124" i="1"/>
  <c r="L124" i="1"/>
  <c r="M124" i="1"/>
  <c r="J125" i="1"/>
  <c r="K125" i="1"/>
  <c r="L125" i="1"/>
  <c r="M125" i="1"/>
  <c r="I126" i="1"/>
  <c r="J126" i="1"/>
  <c r="K126" i="1"/>
  <c r="L126" i="1"/>
  <c r="M126" i="1"/>
  <c r="H92" i="1"/>
  <c r="H93" i="1"/>
  <c r="H94" i="1"/>
  <c r="H95" i="1"/>
  <c r="H96" i="1"/>
  <c r="H97" i="1"/>
  <c r="H98" i="1"/>
  <c r="H99" i="1"/>
  <c r="H100" i="1"/>
  <c r="H101" i="1"/>
  <c r="H103" i="1"/>
  <c r="H104" i="1"/>
  <c r="H105" i="1"/>
  <c r="H106" i="1"/>
  <c r="H107" i="1"/>
  <c r="H108" i="1"/>
  <c r="H109" i="1"/>
  <c r="H110" i="1"/>
  <c r="H111" i="1"/>
  <c r="H112" i="1"/>
  <c r="H113" i="1"/>
  <c r="H68" i="1"/>
  <c r="H69" i="1"/>
  <c r="H70" i="1"/>
  <c r="H72" i="1"/>
  <c r="H74" i="1"/>
  <c r="H75" i="1"/>
  <c r="H76" i="1"/>
  <c r="H77" i="1"/>
  <c r="H78" i="1"/>
  <c r="H79" i="1"/>
  <c r="H84" i="1"/>
  <c r="H85" i="1"/>
  <c r="H86" i="1"/>
  <c r="H80" i="1"/>
  <c r="H81" i="1"/>
  <c r="H82" i="1"/>
  <c r="H83" i="1"/>
  <c r="H114" i="1"/>
  <c r="H116" i="1"/>
  <c r="H117" i="1"/>
  <c r="H118" i="1"/>
  <c r="H119" i="1"/>
  <c r="H121" i="1"/>
  <c r="H122" i="1"/>
  <c r="H123" i="1"/>
  <c r="H124" i="1"/>
  <c r="H125" i="1"/>
  <c r="H126" i="1"/>
  <c r="L123" i="2"/>
  <c r="I88" i="1" l="1"/>
  <c r="H66" i="2"/>
  <c r="I104" i="1" s="1"/>
  <c r="N104" i="1" s="1"/>
  <c r="I90" i="1"/>
  <c r="L49" i="2"/>
  <c r="M56" i="1" s="1"/>
  <c r="F56" i="2"/>
  <c r="I49" i="2"/>
  <c r="H49" i="2"/>
  <c r="N126" i="1"/>
  <c r="G56" i="1"/>
  <c r="J49" i="2"/>
  <c r="K49" i="2"/>
  <c r="N119" i="1"/>
  <c r="F124" i="2"/>
  <c r="F125" i="2"/>
  <c r="F126" i="2"/>
  <c r="G148" i="1" s="1"/>
  <c r="F52" i="2"/>
  <c r="I150" i="1"/>
  <c r="J150" i="1"/>
  <c r="K150" i="1"/>
  <c r="L150" i="1"/>
  <c r="M150" i="1"/>
  <c r="H150" i="1"/>
  <c r="K126" i="2" l="1"/>
  <c r="L56" i="1"/>
  <c r="K56" i="1"/>
  <c r="G147" i="1"/>
  <c r="I56" i="1"/>
  <c r="J56" i="1"/>
  <c r="L146" i="1"/>
  <c r="K146" i="1"/>
  <c r="M146" i="1"/>
  <c r="G126" i="2"/>
  <c r="H126" i="2"/>
  <c r="I126" i="2"/>
  <c r="J126" i="2"/>
  <c r="J125" i="2"/>
  <c r="K125" i="2"/>
  <c r="L125" i="2"/>
  <c r="G125" i="2"/>
  <c r="H125" i="2"/>
  <c r="I125" i="2"/>
  <c r="H124" i="2"/>
  <c r="G124" i="2"/>
  <c r="N150" i="1"/>
  <c r="N56" i="1" l="1"/>
  <c r="O56" i="1" s="1"/>
  <c r="L126" i="2"/>
  <c r="J147" i="1"/>
  <c r="I147" i="1"/>
  <c r="H147" i="1"/>
  <c r="M147" i="1"/>
  <c r="L147" i="1"/>
  <c r="K147" i="1"/>
  <c r="N147" i="1" l="1"/>
  <c r="O147" i="1" s="1"/>
  <c r="F89" i="2" l="1"/>
  <c r="G104" i="1"/>
  <c r="H132" i="2"/>
  <c r="I132" i="2"/>
  <c r="J132" i="2"/>
  <c r="K132" i="2"/>
  <c r="L132" i="2"/>
  <c r="G132" i="2"/>
  <c r="H130" i="2"/>
  <c r="I130" i="2"/>
  <c r="J130" i="2"/>
  <c r="K130" i="2"/>
  <c r="L130" i="2"/>
  <c r="G130" i="2"/>
  <c r="H129" i="2"/>
  <c r="I129" i="2"/>
  <c r="J129" i="2"/>
  <c r="K129" i="2"/>
  <c r="L129" i="2"/>
  <c r="G129" i="2"/>
  <c r="H127" i="2"/>
  <c r="I127" i="2"/>
  <c r="J127" i="2"/>
  <c r="K127" i="2"/>
  <c r="L127" i="2"/>
  <c r="G127" i="2"/>
  <c r="M145" i="1"/>
  <c r="I148" i="1"/>
  <c r="K154" i="1" l="1"/>
  <c r="L154" i="1"/>
  <c r="J154" i="1"/>
  <c r="H154" i="1"/>
  <c r="M154" i="1"/>
  <c r="I154" i="1"/>
  <c r="G74" i="1"/>
  <c r="J151" i="1"/>
  <c r="K149" i="1"/>
  <c r="I151" i="1"/>
  <c r="H152" i="1"/>
  <c r="H151" i="1"/>
  <c r="L152" i="1"/>
  <c r="M151" i="1"/>
  <c r="K152" i="1"/>
  <c r="L149" i="1"/>
  <c r="J149" i="1"/>
  <c r="I149" i="1"/>
  <c r="M152" i="1"/>
  <c r="H149" i="1"/>
  <c r="L151" i="1"/>
  <c r="J152" i="1"/>
  <c r="M149" i="1"/>
  <c r="M156" i="1" s="1"/>
  <c r="K151" i="1"/>
  <c r="I152" i="1"/>
  <c r="J148" i="1"/>
  <c r="H148" i="1"/>
  <c r="K148" i="1"/>
  <c r="K156" i="1" l="1"/>
  <c r="H156" i="1"/>
  <c r="I156" i="1"/>
  <c r="J156" i="1"/>
  <c r="L156" i="1"/>
  <c r="N154" i="1"/>
  <c r="N152" i="1"/>
  <c r="N149" i="1"/>
  <c r="N151" i="1"/>
  <c r="L148" i="1"/>
  <c r="M148" i="1"/>
  <c r="H141" i="1"/>
  <c r="H164" i="1" s="1"/>
  <c r="I141" i="1"/>
  <c r="I164" i="1" s="1"/>
  <c r="J141" i="1"/>
  <c r="J164" i="1" s="1"/>
  <c r="K141" i="1"/>
  <c r="L141" i="1"/>
  <c r="L164" i="1" s="1"/>
  <c r="M141" i="1"/>
  <c r="M164" i="1" s="1"/>
  <c r="N141" i="1"/>
  <c r="N164" i="1" s="1"/>
  <c r="G141" i="1"/>
  <c r="G139" i="1"/>
  <c r="F117" i="2"/>
  <c r="F119" i="2"/>
  <c r="L119" i="2" l="1"/>
  <c r="H119" i="2"/>
  <c r="J119" i="2"/>
  <c r="K119" i="2"/>
  <c r="I119" i="2"/>
  <c r="G119" i="2"/>
  <c r="N148" i="1"/>
  <c r="K164" i="1"/>
  <c r="G164" i="1"/>
  <c r="O164" i="1" s="1"/>
  <c r="H42" i="1"/>
  <c r="J42" i="1"/>
  <c r="K42" i="1"/>
  <c r="L42" i="1"/>
  <c r="M42" i="1"/>
  <c r="H43" i="1"/>
  <c r="J43" i="1"/>
  <c r="K43" i="1"/>
  <c r="L43" i="1"/>
  <c r="M43" i="1"/>
  <c r="H44" i="1"/>
  <c r="J44" i="1"/>
  <c r="K44" i="1"/>
  <c r="L44" i="1"/>
  <c r="M44" i="1"/>
  <c r="I45" i="1"/>
  <c r="J45" i="1"/>
  <c r="K45" i="1"/>
  <c r="L45" i="1"/>
  <c r="M45" i="1"/>
  <c r="I47" i="1"/>
  <c r="J47" i="1"/>
  <c r="K47" i="1"/>
  <c r="L47" i="1"/>
  <c r="M47" i="1"/>
  <c r="H48" i="1"/>
  <c r="H50" i="1"/>
  <c r="H51" i="1"/>
  <c r="H52" i="1"/>
  <c r="H53" i="1"/>
  <c r="H54" i="1"/>
  <c r="H55" i="1"/>
  <c r="H57" i="1"/>
  <c r="J41" i="1"/>
  <c r="K41" i="1"/>
  <c r="L41" i="1"/>
  <c r="M41" i="1"/>
  <c r="H41" i="1"/>
  <c r="F40" i="2"/>
  <c r="E118" i="2"/>
  <c r="I132" i="1"/>
  <c r="J132" i="1"/>
  <c r="K132" i="1"/>
  <c r="L132" i="1"/>
  <c r="M132" i="1"/>
  <c r="H132" i="1"/>
  <c r="G132" i="1"/>
  <c r="F74" i="2"/>
  <c r="F65" i="2"/>
  <c r="F92" i="2"/>
  <c r="F98" i="2"/>
  <c r="F101" i="2"/>
  <c r="F106" i="2"/>
  <c r="F93" i="2"/>
  <c r="F87" i="2"/>
  <c r="H90" i="1"/>
  <c r="H91" i="1"/>
  <c r="H128" i="1" s="1"/>
  <c r="F85" i="2"/>
  <c r="F81" i="2"/>
  <c r="F83" i="2"/>
  <c r="F84" i="2"/>
  <c r="F86" i="2"/>
  <c r="F88" i="2"/>
  <c r="F90" i="2"/>
  <c r="F91" i="2"/>
  <c r="F94" i="2"/>
  <c r="F95" i="2"/>
  <c r="F96" i="2"/>
  <c r="F99" i="2"/>
  <c r="F100" i="2"/>
  <c r="F82" i="2"/>
  <c r="F77" i="2"/>
  <c r="F78" i="2"/>
  <c r="F79" i="2"/>
  <c r="F114" i="2"/>
  <c r="F111" i="2"/>
  <c r="F112" i="2"/>
  <c r="I6" i="1"/>
  <c r="J6" i="1"/>
  <c r="K6" i="1"/>
  <c r="L6" i="1"/>
  <c r="M6" i="1"/>
  <c r="I7" i="1"/>
  <c r="J7" i="1"/>
  <c r="K7" i="1"/>
  <c r="L7" i="1"/>
  <c r="M7" i="1"/>
  <c r="I12" i="1"/>
  <c r="J12" i="1"/>
  <c r="K12" i="1"/>
  <c r="L12" i="1"/>
  <c r="M12" i="1"/>
  <c r="I13" i="1"/>
  <c r="J13" i="1"/>
  <c r="K13" i="1"/>
  <c r="L13" i="1"/>
  <c r="M13" i="1"/>
  <c r="H18" i="1"/>
  <c r="I18" i="1"/>
  <c r="J18" i="1"/>
  <c r="K18" i="1"/>
  <c r="L18" i="1"/>
  <c r="M18" i="1"/>
  <c r="I19" i="1"/>
  <c r="J19" i="1"/>
  <c r="K19" i="1"/>
  <c r="L19" i="1"/>
  <c r="M19" i="1"/>
  <c r="I20" i="1"/>
  <c r="J20" i="1"/>
  <c r="K20" i="1"/>
  <c r="L20" i="1"/>
  <c r="M20" i="1"/>
  <c r="I21" i="1"/>
  <c r="J21" i="1"/>
  <c r="K21" i="1"/>
  <c r="L21" i="1"/>
  <c r="M21" i="1"/>
  <c r="I22" i="1"/>
  <c r="J22" i="1"/>
  <c r="K22" i="1"/>
  <c r="L22" i="1"/>
  <c r="M22" i="1"/>
  <c r="H23" i="1"/>
  <c r="J23" i="1"/>
  <c r="K23" i="1"/>
  <c r="L23" i="1"/>
  <c r="M23" i="1"/>
  <c r="H24" i="1"/>
  <c r="J24" i="1"/>
  <c r="K24" i="1"/>
  <c r="L24" i="1"/>
  <c r="M24" i="1"/>
  <c r="H25" i="1"/>
  <c r="J25" i="1"/>
  <c r="K25" i="1"/>
  <c r="L25" i="1"/>
  <c r="M25" i="1"/>
  <c r="D73" i="2"/>
  <c r="F73" i="2" s="1"/>
  <c r="F107" i="2"/>
  <c r="D72" i="2"/>
  <c r="F72" i="2" s="1"/>
  <c r="D71" i="2"/>
  <c r="D70" i="2"/>
  <c r="F70" i="2" s="1"/>
  <c r="D68" i="2"/>
  <c r="F68" i="2" s="1"/>
  <c r="D67" i="2"/>
  <c r="F67" i="2" s="1"/>
  <c r="H140" i="1"/>
  <c r="I140" i="1"/>
  <c r="J140" i="1"/>
  <c r="K140" i="1"/>
  <c r="L140" i="1"/>
  <c r="M140" i="1"/>
  <c r="N140" i="1"/>
  <c r="G140" i="1"/>
  <c r="D63" i="2"/>
  <c r="F63" i="2" s="1"/>
  <c r="F61" i="2"/>
  <c r="F59" i="2"/>
  <c r="F55" i="2"/>
  <c r="F57" i="2"/>
  <c r="F58" i="2"/>
  <c r="F60" i="2"/>
  <c r="F69" i="2"/>
  <c r="F75" i="2"/>
  <c r="F76" i="2"/>
  <c r="F80" i="2"/>
  <c r="F53" i="2"/>
  <c r="F54" i="2"/>
  <c r="F109" i="2"/>
  <c r="F110" i="2"/>
  <c r="F113" i="2"/>
  <c r="D48" i="2"/>
  <c r="F48" i="2" s="1"/>
  <c r="F50" i="2"/>
  <c r="I54" i="1"/>
  <c r="G54" i="1"/>
  <c r="I50" i="1"/>
  <c r="J54" i="1"/>
  <c r="K54" i="1"/>
  <c r="L54" i="1"/>
  <c r="M54" i="1"/>
  <c r="H139" i="1"/>
  <c r="H163" i="1" s="1"/>
  <c r="I163" i="1"/>
  <c r="J163" i="1"/>
  <c r="K163" i="1"/>
  <c r="L163" i="1"/>
  <c r="M163" i="1"/>
  <c r="F36" i="2"/>
  <c r="G163" i="1"/>
  <c r="F44" i="2"/>
  <c r="G133" i="1"/>
  <c r="G134" i="1"/>
  <c r="G135" i="1"/>
  <c r="F120" i="2"/>
  <c r="F127" i="2"/>
  <c r="F128" i="2"/>
  <c r="F129" i="2"/>
  <c r="F130" i="2"/>
  <c r="F131" i="2"/>
  <c r="F132" i="2"/>
  <c r="F123" i="2"/>
  <c r="F37" i="2"/>
  <c r="H127" i="1" l="1"/>
  <c r="H129" i="1" s="1"/>
  <c r="G63" i="1"/>
  <c r="G101" i="1"/>
  <c r="G76" i="1"/>
  <c r="M50" i="1"/>
  <c r="G125" i="1"/>
  <c r="G105" i="1"/>
  <c r="G106" i="1"/>
  <c r="G75" i="1"/>
  <c r="G113" i="1"/>
  <c r="G98" i="1"/>
  <c r="G67" i="1"/>
  <c r="K50" i="1"/>
  <c r="G121" i="1"/>
  <c r="G96" i="1"/>
  <c r="G78" i="1"/>
  <c r="G51" i="1"/>
  <c r="G92" i="1"/>
  <c r="G95" i="1"/>
  <c r="G110" i="1"/>
  <c r="G81" i="1"/>
  <c r="G118" i="1"/>
  <c r="G73" i="1"/>
  <c r="K123" i="2"/>
  <c r="G91" i="1"/>
  <c r="G93" i="1"/>
  <c r="G119" i="1"/>
  <c r="O119" i="1" s="1"/>
  <c r="G85" i="1"/>
  <c r="G68" i="1"/>
  <c r="G83" i="1"/>
  <c r="L50" i="1"/>
  <c r="G122" i="1"/>
  <c r="G108" i="1"/>
  <c r="G154" i="1"/>
  <c r="O154" i="1" s="1"/>
  <c r="G65" i="1"/>
  <c r="G97" i="1"/>
  <c r="G111" i="1"/>
  <c r="G126" i="1"/>
  <c r="O126" i="1" s="1"/>
  <c r="G84" i="1"/>
  <c r="G66" i="1"/>
  <c r="G55" i="1"/>
  <c r="G61" i="1"/>
  <c r="G79" i="1"/>
  <c r="G70" i="1"/>
  <c r="G77" i="1"/>
  <c r="K120" i="2"/>
  <c r="J120" i="2"/>
  <c r="K136" i="1" s="1"/>
  <c r="L120" i="2"/>
  <c r="M136" i="1" s="1"/>
  <c r="G99" i="1"/>
  <c r="F62" i="2"/>
  <c r="J50" i="1"/>
  <c r="G153" i="1"/>
  <c r="I131" i="2"/>
  <c r="J131" i="2"/>
  <c r="H131" i="2"/>
  <c r="K131" i="2"/>
  <c r="L131" i="2"/>
  <c r="G131" i="2"/>
  <c r="G94" i="1"/>
  <c r="I94" i="1"/>
  <c r="N94" i="1" s="1"/>
  <c r="G86" i="2"/>
  <c r="G71" i="1"/>
  <c r="H69" i="2"/>
  <c r="G107" i="1"/>
  <c r="G79" i="2"/>
  <c r="G64" i="1"/>
  <c r="J98" i="2"/>
  <c r="G80" i="1"/>
  <c r="G38" i="2"/>
  <c r="G45" i="1"/>
  <c r="H37" i="2"/>
  <c r="G44" i="1"/>
  <c r="J41" i="2"/>
  <c r="G48" i="1"/>
  <c r="H46" i="2"/>
  <c r="G53" i="1"/>
  <c r="G40" i="2"/>
  <c r="G47" i="1"/>
  <c r="G77" i="2"/>
  <c r="G62" i="1"/>
  <c r="I65" i="2"/>
  <c r="G103" i="1"/>
  <c r="H74" i="2"/>
  <c r="G112" i="1"/>
  <c r="H112" i="2"/>
  <c r="G124" i="1"/>
  <c r="H111" i="2"/>
  <c r="G123" i="1"/>
  <c r="K97" i="2"/>
  <c r="G86" i="1"/>
  <c r="K84" i="2"/>
  <c r="G69" i="1"/>
  <c r="H36" i="2"/>
  <c r="G43" i="1"/>
  <c r="I50" i="2"/>
  <c r="G57" i="1"/>
  <c r="L100" i="2"/>
  <c r="G82" i="1"/>
  <c r="H87" i="2"/>
  <c r="G72" i="1"/>
  <c r="G149" i="1"/>
  <c r="J123" i="2"/>
  <c r="G123" i="2"/>
  <c r="H123" i="2"/>
  <c r="I123" i="2"/>
  <c r="G152" i="1"/>
  <c r="O152" i="1" s="1"/>
  <c r="G151" i="1"/>
  <c r="O151" i="1" s="1"/>
  <c r="G150" i="1"/>
  <c r="O150" i="1" s="1"/>
  <c r="C145" i="2"/>
  <c r="G145" i="1"/>
  <c r="M134" i="1"/>
  <c r="H134" i="1"/>
  <c r="L134" i="1"/>
  <c r="K134" i="1"/>
  <c r="J134" i="1"/>
  <c r="I134" i="1"/>
  <c r="J92" i="2"/>
  <c r="K94" i="2"/>
  <c r="O148" i="1"/>
  <c r="G146" i="1"/>
  <c r="N54" i="1"/>
  <c r="I146" i="1"/>
  <c r="G136" i="1"/>
  <c r="G138" i="1" s="1"/>
  <c r="G162" i="1" s="1"/>
  <c r="I117" i="2"/>
  <c r="I120" i="2"/>
  <c r="G120" i="2"/>
  <c r="K117" i="2"/>
  <c r="J117" i="2"/>
  <c r="H120" i="2"/>
  <c r="L117" i="2"/>
  <c r="H117" i="2"/>
  <c r="G117" i="2"/>
  <c r="J44" i="2"/>
  <c r="I85" i="2"/>
  <c r="L85" i="2"/>
  <c r="K85" i="2"/>
  <c r="J85" i="2"/>
  <c r="J101" i="2"/>
  <c r="I101" i="2"/>
  <c r="L48" i="2"/>
  <c r="H88" i="2"/>
  <c r="I106" i="2"/>
  <c r="L97" i="2"/>
  <c r="J106" i="2"/>
  <c r="I84" i="2"/>
  <c r="H86" i="2"/>
  <c r="I92" i="2"/>
  <c r="I96" i="2"/>
  <c r="I99" i="2"/>
  <c r="J97" i="2"/>
  <c r="J99" i="2"/>
  <c r="K100" i="2"/>
  <c r="L94" i="2"/>
  <c r="G78" i="2"/>
  <c r="I98" i="2"/>
  <c r="I95" i="2"/>
  <c r="I93" i="2"/>
  <c r="J93" i="2"/>
  <c r="J84" i="2"/>
  <c r="I89" i="2"/>
  <c r="G88" i="2"/>
  <c r="J89" i="2"/>
  <c r="I91" i="2"/>
  <c r="J91" i="2"/>
  <c r="K90" i="2"/>
  <c r="L90" i="2"/>
  <c r="H83" i="2"/>
  <c r="G81" i="2"/>
  <c r="G82" i="2"/>
  <c r="G80" i="2"/>
  <c r="G76" i="2"/>
  <c r="N18" i="1"/>
  <c r="I109" i="2"/>
  <c r="L68" i="2"/>
  <c r="J68" i="2"/>
  <c r="H68" i="2"/>
  <c r="H73" i="2"/>
  <c r="L69" i="2"/>
  <c r="H65" i="2"/>
  <c r="L65" i="2"/>
  <c r="F71" i="2"/>
  <c r="J69" i="2"/>
  <c r="H113" i="2"/>
  <c r="L106" i="2"/>
  <c r="K106" i="2"/>
  <c r="K63" i="2"/>
  <c r="L63" i="2"/>
  <c r="L67" i="2"/>
  <c r="J67" i="2"/>
  <c r="H60" i="2"/>
  <c r="H54" i="2"/>
  <c r="H75" i="2"/>
  <c r="H67" i="2"/>
  <c r="H110" i="2"/>
  <c r="H72" i="2"/>
  <c r="H70" i="2"/>
  <c r="L59" i="2"/>
  <c r="K59" i="2"/>
  <c r="I59" i="2"/>
  <c r="H59" i="2"/>
  <c r="J59" i="2"/>
  <c r="H57" i="2"/>
  <c r="J63" i="2"/>
  <c r="K65" i="2"/>
  <c r="H58" i="2"/>
  <c r="H63" i="2"/>
  <c r="I63" i="2"/>
  <c r="J65" i="2"/>
  <c r="H61" i="2"/>
  <c r="I55" i="2"/>
  <c r="L55" i="2"/>
  <c r="H53" i="2"/>
  <c r="K55" i="2"/>
  <c r="J55" i="2"/>
  <c r="H55" i="2"/>
  <c r="G90" i="1"/>
  <c r="I46" i="2"/>
  <c r="K46" i="2"/>
  <c r="L50" i="2"/>
  <c r="J46" i="2"/>
  <c r="K48" i="2"/>
  <c r="J48" i="2"/>
  <c r="H48" i="2"/>
  <c r="I48" i="2"/>
  <c r="K50" i="2"/>
  <c r="J50" i="2"/>
  <c r="H50" i="2"/>
  <c r="L46" i="2"/>
  <c r="L44" i="2"/>
  <c r="I44" i="2"/>
  <c r="H44" i="2"/>
  <c r="I41" i="2"/>
  <c r="L41" i="2"/>
  <c r="H41" i="2"/>
  <c r="K41" i="2"/>
  <c r="K44" i="2"/>
  <c r="F35" i="2"/>
  <c r="G16" i="1"/>
  <c r="F13" i="2"/>
  <c r="G13" i="2" s="1"/>
  <c r="F34" i="2"/>
  <c r="F11" i="2"/>
  <c r="F15" i="2"/>
  <c r="F16" i="2"/>
  <c r="F17" i="2"/>
  <c r="F18" i="2"/>
  <c r="F19" i="2"/>
  <c r="F20" i="2"/>
  <c r="F21" i="2"/>
  <c r="F23" i="2"/>
  <c r="F102" i="2"/>
  <c r="F104" i="2"/>
  <c r="H104" i="2" s="1"/>
  <c r="I116" i="1" s="1"/>
  <c r="N116" i="1" s="1"/>
  <c r="F105" i="2"/>
  <c r="G156" i="1" l="1"/>
  <c r="G155" i="1"/>
  <c r="G165" i="1"/>
  <c r="D174" i="1" s="1"/>
  <c r="G88" i="1"/>
  <c r="G87" i="1"/>
  <c r="N50" i="1"/>
  <c r="G21" i="1"/>
  <c r="J48" i="1"/>
  <c r="K93" i="1"/>
  <c r="M107" i="1"/>
  <c r="I51" i="1"/>
  <c r="I96" i="1"/>
  <c r="N96" i="1" s="1"/>
  <c r="O96" i="1" s="1"/>
  <c r="L118" i="1"/>
  <c r="H47" i="1"/>
  <c r="N47" i="1" s="1"/>
  <c r="O47" i="1" s="1"/>
  <c r="J51" i="1"/>
  <c r="K53" i="1"/>
  <c r="I91" i="1"/>
  <c r="L103" i="1"/>
  <c r="I92" i="1"/>
  <c r="M118" i="1"/>
  <c r="I106" i="1"/>
  <c r="H61" i="1"/>
  <c r="J76" i="1"/>
  <c r="J80" i="1"/>
  <c r="J77" i="1"/>
  <c r="J83" i="1"/>
  <c r="J135" i="1"/>
  <c r="K133" i="1"/>
  <c r="L153" i="1"/>
  <c r="L167" i="1" s="1"/>
  <c r="M153" i="1"/>
  <c r="G114" i="1"/>
  <c r="L51" i="1"/>
  <c r="M57" i="1"/>
  <c r="K101" i="1"/>
  <c r="I98" i="1"/>
  <c r="I125" i="1"/>
  <c r="N125" i="1" s="1"/>
  <c r="O125" i="1" s="1"/>
  <c r="K106" i="1"/>
  <c r="H65" i="1"/>
  <c r="N65" i="1" s="1"/>
  <c r="K74" i="1"/>
  <c r="H63" i="1"/>
  <c r="I71" i="1"/>
  <c r="K83" i="1"/>
  <c r="H133" i="1"/>
  <c r="K135" i="1"/>
  <c r="I72" i="1"/>
  <c r="L69" i="1"/>
  <c r="I112" i="1"/>
  <c r="N112" i="1" s="1"/>
  <c r="I53" i="1"/>
  <c r="K80" i="1"/>
  <c r="H71" i="1"/>
  <c r="I153" i="1"/>
  <c r="I167" i="1" s="1"/>
  <c r="I105" i="1"/>
  <c r="M97" i="1"/>
  <c r="I111" i="1"/>
  <c r="N111" i="1" s="1"/>
  <c r="O111" i="1" s="1"/>
  <c r="K76" i="1"/>
  <c r="M55" i="1"/>
  <c r="J133" i="1"/>
  <c r="I43" i="1"/>
  <c r="N43" i="1" s="1"/>
  <c r="O43" i="1" s="1"/>
  <c r="I124" i="1"/>
  <c r="N124" i="1" s="1"/>
  <c r="O124" i="1" s="1"/>
  <c r="H45" i="1"/>
  <c r="N45" i="1" s="1"/>
  <c r="O45" i="1" s="1"/>
  <c r="E62" i="2"/>
  <c r="G116" i="1"/>
  <c r="O116" i="1" s="1"/>
  <c r="G19" i="1"/>
  <c r="G18" i="1"/>
  <c r="M51" i="1"/>
  <c r="I57" i="1"/>
  <c r="M93" i="1"/>
  <c r="G17" i="1"/>
  <c r="M53" i="1"/>
  <c r="K57" i="1"/>
  <c r="L53" i="1"/>
  <c r="J93" i="1"/>
  <c r="I95" i="1"/>
  <c r="N95" i="1" s="1"/>
  <c r="O95" i="1" s="1"/>
  <c r="K105" i="1"/>
  <c r="K107" i="1"/>
  <c r="M106" i="1"/>
  <c r="H67" i="1"/>
  <c r="N67" i="1" s="1"/>
  <c r="O67" i="1" s="1"/>
  <c r="H73" i="1"/>
  <c r="M79" i="1"/>
  <c r="J69" i="1"/>
  <c r="K70" i="1"/>
  <c r="L133" i="1"/>
  <c r="K153" i="1"/>
  <c r="K167" i="1" s="1"/>
  <c r="I101" i="1"/>
  <c r="G24" i="1"/>
  <c r="G13" i="1"/>
  <c r="L48" i="1"/>
  <c r="L57" i="1"/>
  <c r="J53" i="1"/>
  <c r="I99" i="1"/>
  <c r="N99" i="1" s="1"/>
  <c r="O99" i="1" s="1"/>
  <c r="K97" i="1"/>
  <c r="I108" i="1"/>
  <c r="N108" i="1" s="1"/>
  <c r="O108" i="1" s="1"/>
  <c r="M105" i="1"/>
  <c r="G109" i="1"/>
  <c r="J121" i="1"/>
  <c r="H66" i="1"/>
  <c r="N66" i="1" s="1"/>
  <c r="O66" i="1" s="1"/>
  <c r="J74" i="1"/>
  <c r="L82" i="1"/>
  <c r="K118" i="1"/>
  <c r="H135" i="1"/>
  <c r="H136" i="1"/>
  <c r="M82" i="1"/>
  <c r="L86" i="1"/>
  <c r="J103" i="1"/>
  <c r="K48" i="1"/>
  <c r="H64" i="1"/>
  <c r="N64" i="1" s="1"/>
  <c r="O64" i="1" s="1"/>
  <c r="J153" i="1"/>
  <c r="J167" i="1" s="1"/>
  <c r="L136" i="1"/>
  <c r="K55" i="1"/>
  <c r="L97" i="1"/>
  <c r="G117" i="1"/>
  <c r="L55" i="1"/>
  <c r="G23" i="1"/>
  <c r="G41" i="1"/>
  <c r="M103" i="1"/>
  <c r="I68" i="1"/>
  <c r="K69" i="1"/>
  <c r="K81" i="1"/>
  <c r="M86" i="1"/>
  <c r="L135" i="1"/>
  <c r="J136" i="1"/>
  <c r="G42" i="1"/>
  <c r="L93" i="1"/>
  <c r="I113" i="1"/>
  <c r="N113" i="1" s="1"/>
  <c r="O113" i="1" s="1"/>
  <c r="J84" i="1"/>
  <c r="N84" i="1" s="1"/>
  <c r="O84" i="1" s="1"/>
  <c r="I136" i="1"/>
  <c r="I48" i="1"/>
  <c r="J55" i="1"/>
  <c r="K103" i="1"/>
  <c r="I97" i="1"/>
  <c r="I110" i="1"/>
  <c r="N110" i="1" s="1"/>
  <c r="O110" i="1" s="1"/>
  <c r="M101" i="1"/>
  <c r="G22" i="1"/>
  <c r="G15" i="1"/>
  <c r="M48" i="1"/>
  <c r="I55" i="1"/>
  <c r="I93" i="1"/>
  <c r="J97" i="1"/>
  <c r="I122" i="1"/>
  <c r="N122" i="1" s="1"/>
  <c r="O122" i="1" s="1"/>
  <c r="I103" i="1"/>
  <c r="M75" i="1"/>
  <c r="K78" i="1"/>
  <c r="K86" i="1"/>
  <c r="J118" i="1"/>
  <c r="J70" i="1"/>
  <c r="I133" i="1"/>
  <c r="I135" i="1"/>
  <c r="L79" i="1"/>
  <c r="J57" i="1"/>
  <c r="I123" i="1"/>
  <c r="N123" i="1" s="1"/>
  <c r="O123" i="1" s="1"/>
  <c r="H62" i="1"/>
  <c r="I44" i="1"/>
  <c r="N44" i="1" s="1"/>
  <c r="I107" i="1"/>
  <c r="G50" i="1"/>
  <c r="L75" i="1"/>
  <c r="J78" i="1"/>
  <c r="J81" i="1"/>
  <c r="I73" i="1"/>
  <c r="K51" i="1"/>
  <c r="M133" i="1"/>
  <c r="M135" i="1"/>
  <c r="K77" i="1"/>
  <c r="H153" i="1"/>
  <c r="G100" i="1"/>
  <c r="O149" i="1"/>
  <c r="G20" i="1"/>
  <c r="G18" i="2"/>
  <c r="G25" i="1"/>
  <c r="H23" i="2"/>
  <c r="M70" i="1"/>
  <c r="L101" i="1"/>
  <c r="L128" i="1" s="1"/>
  <c r="J85" i="1"/>
  <c r="N85" i="1" s="1"/>
  <c r="O85" i="1" s="1"/>
  <c r="L70" i="1"/>
  <c r="L88" i="1" s="1"/>
  <c r="J101" i="1"/>
  <c r="J128" i="1" s="1"/>
  <c r="L145" i="1"/>
  <c r="K145" i="1"/>
  <c r="H145" i="1"/>
  <c r="J145" i="1"/>
  <c r="I145" i="1"/>
  <c r="N134" i="1"/>
  <c r="O134" i="1" s="1"/>
  <c r="H146" i="1"/>
  <c r="G142" i="1"/>
  <c r="L14" i="2"/>
  <c r="H14" i="2"/>
  <c r="K14" i="2"/>
  <c r="G14" i="2"/>
  <c r="J14" i="2"/>
  <c r="I14" i="2"/>
  <c r="G11" i="2"/>
  <c r="L13" i="2"/>
  <c r="K13" i="2"/>
  <c r="J13" i="2"/>
  <c r="H13" i="2"/>
  <c r="I13" i="2"/>
  <c r="G17" i="2"/>
  <c r="F45" i="2"/>
  <c r="G52" i="1" s="1"/>
  <c r="I15" i="2"/>
  <c r="L15" i="2"/>
  <c r="H15" i="2"/>
  <c r="J15" i="2"/>
  <c r="K15" i="2"/>
  <c r="G15" i="2"/>
  <c r="O94" i="1"/>
  <c r="H71" i="2"/>
  <c r="H62" i="2"/>
  <c r="I105" i="2"/>
  <c r="L105" i="2"/>
  <c r="K105" i="2"/>
  <c r="J105" i="2"/>
  <c r="H21" i="2"/>
  <c r="O104" i="1"/>
  <c r="H102" i="2"/>
  <c r="N90" i="1"/>
  <c r="G20" i="2"/>
  <c r="G19" i="2"/>
  <c r="H35" i="2"/>
  <c r="O54" i="1"/>
  <c r="H34" i="2"/>
  <c r="J88" i="1" l="1"/>
  <c r="I155" i="1"/>
  <c r="J155" i="1"/>
  <c r="J157" i="1" s="1"/>
  <c r="K88" i="1"/>
  <c r="K155" i="1"/>
  <c r="K166" i="1" s="1"/>
  <c r="K168" i="1" s="1"/>
  <c r="G128" i="1"/>
  <c r="M88" i="1"/>
  <c r="M167" i="1"/>
  <c r="M155" i="1"/>
  <c r="M166" i="1" s="1"/>
  <c r="H155" i="1"/>
  <c r="H166" i="1" s="1"/>
  <c r="L155" i="1"/>
  <c r="L157" i="1" s="1"/>
  <c r="M128" i="1"/>
  <c r="L87" i="1"/>
  <c r="H58" i="1"/>
  <c r="G127" i="1"/>
  <c r="G89" i="1"/>
  <c r="U116" i="1" s="1"/>
  <c r="N98" i="1"/>
  <c r="O98" i="1" s="1"/>
  <c r="N91" i="1"/>
  <c r="O91" i="1" s="1"/>
  <c r="N77" i="1"/>
  <c r="O77" i="1" s="1"/>
  <c r="N79" i="1"/>
  <c r="O79" i="1" s="1"/>
  <c r="N63" i="1"/>
  <c r="O63" i="1" s="1"/>
  <c r="H88" i="1"/>
  <c r="N61" i="1"/>
  <c r="H87" i="1"/>
  <c r="N121" i="1"/>
  <c r="O121" i="1" s="1"/>
  <c r="N72" i="1"/>
  <c r="O72" i="1" s="1"/>
  <c r="N92" i="1"/>
  <c r="O92" i="1" s="1"/>
  <c r="K128" i="1"/>
  <c r="J87" i="1"/>
  <c r="K87" i="1"/>
  <c r="N62" i="1"/>
  <c r="O62" i="1" s="1"/>
  <c r="M87" i="1"/>
  <c r="N68" i="1"/>
  <c r="O68" i="1" s="1"/>
  <c r="I87" i="1"/>
  <c r="J138" i="1"/>
  <c r="J142" i="1" s="1"/>
  <c r="N80" i="1"/>
  <c r="O80" i="1" s="1"/>
  <c r="N71" i="1"/>
  <c r="O71" i="1" s="1"/>
  <c r="N51" i="1"/>
  <c r="N57" i="1"/>
  <c r="O57" i="1" s="1"/>
  <c r="N74" i="1"/>
  <c r="O74" i="1" s="1"/>
  <c r="K138" i="1"/>
  <c r="K142" i="1" s="1"/>
  <c r="N78" i="1"/>
  <c r="O78" i="1" s="1"/>
  <c r="N75" i="1"/>
  <c r="O75" i="1" s="1"/>
  <c r="N118" i="1"/>
  <c r="O118" i="1" s="1"/>
  <c r="L138" i="1"/>
  <c r="L142" i="1" s="1"/>
  <c r="N69" i="1"/>
  <c r="O69" i="1" s="1"/>
  <c r="N97" i="1"/>
  <c r="O97" i="1" s="1"/>
  <c r="N73" i="1"/>
  <c r="O73" i="1" s="1"/>
  <c r="M138" i="1"/>
  <c r="M142" i="1" s="1"/>
  <c r="N81" i="1"/>
  <c r="I138" i="1"/>
  <c r="I142" i="1" s="1"/>
  <c r="N48" i="1"/>
  <c r="N107" i="1"/>
  <c r="O107" i="1" s="1"/>
  <c r="N76" i="1"/>
  <c r="O76" i="1" s="1"/>
  <c r="H59" i="1"/>
  <c r="N83" i="1"/>
  <c r="O83" i="1" s="1"/>
  <c r="N55" i="1"/>
  <c r="O55" i="1" s="1"/>
  <c r="N105" i="1"/>
  <c r="O105" i="1" s="1"/>
  <c r="N153" i="1"/>
  <c r="O153" i="1" s="1"/>
  <c r="H138" i="1"/>
  <c r="H142" i="1" s="1"/>
  <c r="U117" i="1"/>
  <c r="N93" i="1"/>
  <c r="O93" i="1" s="1"/>
  <c r="N82" i="1"/>
  <c r="O82" i="1" s="1"/>
  <c r="N133" i="1"/>
  <c r="O133" i="1" s="1"/>
  <c r="N86" i="1"/>
  <c r="O86" i="1" s="1"/>
  <c r="N103" i="1"/>
  <c r="O103" i="1" s="1"/>
  <c r="N53" i="1"/>
  <c r="O53" i="1" s="1"/>
  <c r="H17" i="1"/>
  <c r="L117" i="1"/>
  <c r="L127" i="1" s="1"/>
  <c r="L129" i="1" s="1"/>
  <c r="L17" i="1"/>
  <c r="L15" i="1"/>
  <c r="I16" i="1"/>
  <c r="N136" i="1"/>
  <c r="O136" i="1" s="1"/>
  <c r="K117" i="1"/>
  <c r="K127" i="1" s="1"/>
  <c r="K15" i="1"/>
  <c r="L16" i="1"/>
  <c r="I25" i="1"/>
  <c r="N25" i="1" s="1"/>
  <c r="O25" i="1" s="1"/>
  <c r="H13" i="1"/>
  <c r="N13" i="1" s="1"/>
  <c r="O13" i="1" s="1"/>
  <c r="M117" i="1"/>
  <c r="M127" i="1" s="1"/>
  <c r="K17" i="1"/>
  <c r="M15" i="1"/>
  <c r="M16" i="1"/>
  <c r="I41" i="1"/>
  <c r="N41" i="1" s="1"/>
  <c r="H22" i="1"/>
  <c r="N22" i="1" s="1"/>
  <c r="O22" i="1" s="1"/>
  <c r="I17" i="1"/>
  <c r="H20" i="1"/>
  <c r="N20" i="1" s="1"/>
  <c r="J117" i="1"/>
  <c r="J127" i="1" s="1"/>
  <c r="M17" i="1"/>
  <c r="N106" i="1"/>
  <c r="O106" i="1" s="1"/>
  <c r="I114" i="1"/>
  <c r="N114" i="1" s="1"/>
  <c r="O114" i="1" s="1"/>
  <c r="J16" i="1"/>
  <c r="H21" i="1"/>
  <c r="N21" i="1" s="1"/>
  <c r="O21" i="1" s="1"/>
  <c r="I24" i="1"/>
  <c r="N24" i="1" s="1"/>
  <c r="O24" i="1" s="1"/>
  <c r="J17" i="1"/>
  <c r="H19" i="1"/>
  <c r="N19" i="1" s="1"/>
  <c r="N135" i="1"/>
  <c r="O135" i="1" s="1"/>
  <c r="H15" i="1"/>
  <c r="J15" i="1"/>
  <c r="K16" i="1"/>
  <c r="I42" i="1"/>
  <c r="N42" i="1" s="1"/>
  <c r="O42" i="1" s="1"/>
  <c r="I23" i="1"/>
  <c r="N23" i="1" s="1"/>
  <c r="O23" i="1" s="1"/>
  <c r="G58" i="1"/>
  <c r="I15" i="1"/>
  <c r="H16" i="1"/>
  <c r="U114" i="1"/>
  <c r="H167" i="1"/>
  <c r="N156" i="1"/>
  <c r="G167" i="1"/>
  <c r="N146" i="1"/>
  <c r="O146" i="1" s="1"/>
  <c r="N70" i="1"/>
  <c r="O70" i="1" s="1"/>
  <c r="I100" i="1"/>
  <c r="N100" i="1" s="1"/>
  <c r="G157" i="1"/>
  <c r="N101" i="1"/>
  <c r="I109" i="1"/>
  <c r="N109" i="1" s="1"/>
  <c r="O109" i="1" s="1"/>
  <c r="N145" i="1"/>
  <c r="O145" i="1" s="1"/>
  <c r="K45" i="2"/>
  <c r="G166" i="1"/>
  <c r="O65" i="1"/>
  <c r="O90" i="1"/>
  <c r="J45" i="2"/>
  <c r="H45" i="2"/>
  <c r="I45" i="2"/>
  <c r="L45" i="2"/>
  <c r="N132" i="1"/>
  <c r="O50" i="1"/>
  <c r="N139" i="1"/>
  <c r="M168" i="1" l="1"/>
  <c r="M89" i="1"/>
  <c r="N88" i="1"/>
  <c r="G129" i="1"/>
  <c r="I128" i="1"/>
  <c r="N128" i="1" s="1"/>
  <c r="H60" i="1"/>
  <c r="G59" i="1"/>
  <c r="L89" i="1"/>
  <c r="N167" i="1"/>
  <c r="O167" i="1" s="1"/>
  <c r="I89" i="1"/>
  <c r="K89" i="1"/>
  <c r="M129" i="1"/>
  <c r="K129" i="1"/>
  <c r="M157" i="1"/>
  <c r="J129" i="1"/>
  <c r="J89" i="1"/>
  <c r="O41" i="1"/>
  <c r="I127" i="1"/>
  <c r="N127" i="1" s="1"/>
  <c r="N87" i="1"/>
  <c r="H89" i="1"/>
  <c r="O61" i="1"/>
  <c r="N89" i="1"/>
  <c r="J162" i="1"/>
  <c r="J165" i="1" s="1"/>
  <c r="O81" i="1"/>
  <c r="L166" i="1"/>
  <c r="L168" i="1" s="1"/>
  <c r="K162" i="1"/>
  <c r="K165" i="1" s="1"/>
  <c r="I162" i="1"/>
  <c r="I165" i="1" s="1"/>
  <c r="K157" i="1"/>
  <c r="M162" i="1"/>
  <c r="M165" i="1" s="1"/>
  <c r="J166" i="1"/>
  <c r="J168" i="1" s="1"/>
  <c r="L27" i="1"/>
  <c r="K27" i="1"/>
  <c r="N16" i="1"/>
  <c r="O16" i="1" s="1"/>
  <c r="N17" i="1"/>
  <c r="O17" i="1" s="1"/>
  <c r="N15" i="1"/>
  <c r="O15" i="1" s="1"/>
  <c r="J27" i="1"/>
  <c r="K52" i="1"/>
  <c r="M27" i="1"/>
  <c r="I52" i="1"/>
  <c r="I59" i="1" s="1"/>
  <c r="I27" i="1"/>
  <c r="M58" i="1"/>
  <c r="L52" i="1"/>
  <c r="N117" i="1"/>
  <c r="O117" i="1" s="1"/>
  <c r="L58" i="1"/>
  <c r="I58" i="1"/>
  <c r="K58" i="1"/>
  <c r="M52" i="1"/>
  <c r="J58" i="1"/>
  <c r="J52" i="1"/>
  <c r="H168" i="1"/>
  <c r="G168" i="1"/>
  <c r="B174" i="1" s="1"/>
  <c r="H157" i="1"/>
  <c r="O101" i="1"/>
  <c r="O100" i="1"/>
  <c r="I157" i="1"/>
  <c r="N155" i="1"/>
  <c r="I166" i="1"/>
  <c r="O132" i="1"/>
  <c r="N138" i="1"/>
  <c r="N142" i="1" s="1"/>
  <c r="L162" i="1"/>
  <c r="L165" i="1" s="1"/>
  <c r="H162" i="1"/>
  <c r="H165" i="1" s="1"/>
  <c r="N163" i="1"/>
  <c r="O163" i="1" s="1"/>
  <c r="O48" i="1"/>
  <c r="G60" i="1" l="1"/>
  <c r="L59" i="1"/>
  <c r="L160" i="1" s="1"/>
  <c r="J59" i="1"/>
  <c r="J160" i="1" s="1"/>
  <c r="J170" i="1" s="1"/>
  <c r="K59" i="1"/>
  <c r="K160" i="1" s="1"/>
  <c r="K170" i="1" s="1"/>
  <c r="M59" i="1"/>
  <c r="I160" i="1"/>
  <c r="I170" i="1" s="1"/>
  <c r="I129" i="1"/>
  <c r="N129" i="1" s="1"/>
  <c r="N52" i="1"/>
  <c r="N59" i="1" s="1"/>
  <c r="I168" i="1"/>
  <c r="N166" i="1"/>
  <c r="N157" i="1"/>
  <c r="I60" i="1"/>
  <c r="N162" i="1"/>
  <c r="O44" i="1"/>
  <c r="J60" i="1" l="1"/>
  <c r="M60" i="1"/>
  <c r="K60" i="1"/>
  <c r="M160" i="1"/>
  <c r="M170" i="1" s="1"/>
  <c r="L60" i="1"/>
  <c r="N58" i="1"/>
  <c r="O52" i="1"/>
  <c r="N60" i="1"/>
  <c r="N168" i="1"/>
  <c r="O168" i="1" s="1"/>
  <c r="O166" i="1"/>
  <c r="O162" i="1"/>
  <c r="N165" i="1"/>
  <c r="O165" i="1" s="1"/>
  <c r="L170" i="1"/>
  <c r="F145" i="1" l="1"/>
  <c r="F146" i="1"/>
  <c r="F4" i="2" l="1"/>
  <c r="F5" i="2"/>
  <c r="F10" i="2"/>
  <c r="F3" i="2"/>
  <c r="G12" i="1" l="1"/>
  <c r="G7" i="1"/>
  <c r="G6" i="1"/>
  <c r="G5" i="1"/>
  <c r="G3" i="2"/>
  <c r="G27" i="1"/>
  <c r="G160" i="1" s="1"/>
  <c r="G4" i="2"/>
  <c r="G10" i="2"/>
  <c r="G5" i="2"/>
  <c r="G28" i="1" l="1"/>
  <c r="H6" i="1"/>
  <c r="N6" i="1" s="1"/>
  <c r="H5" i="1"/>
  <c r="N5" i="1" s="1"/>
  <c r="H12" i="1"/>
  <c r="N12" i="1" s="1"/>
  <c r="H7" i="1"/>
  <c r="N4" i="1"/>
  <c r="O19" i="1"/>
  <c r="O20" i="1"/>
  <c r="H27" i="1" l="1"/>
  <c r="N7" i="1"/>
  <c r="O12" i="1"/>
  <c r="G170" i="1"/>
  <c r="O6" i="1"/>
  <c r="O18" i="1"/>
  <c r="N27" i="1" l="1"/>
  <c r="H160" i="1"/>
  <c r="N160" i="1" s="1"/>
  <c r="O4" i="1"/>
  <c r="O7" i="1"/>
  <c r="H170" i="1" l="1"/>
  <c r="N170" i="1" s="1"/>
  <c r="O170" i="1" s="1"/>
  <c r="O160" i="1"/>
  <c r="H26" i="1"/>
  <c r="H159" i="1" s="1"/>
  <c r="I26" i="1"/>
  <c r="J26" i="1"/>
  <c r="J159" i="1" s="1"/>
  <c r="K26" i="1"/>
  <c r="M26" i="1"/>
  <c r="L26" i="1"/>
  <c r="L159" i="1" s="1"/>
  <c r="M28" i="1" l="1"/>
  <c r="M159" i="1"/>
  <c r="K28" i="1"/>
  <c r="K159" i="1"/>
  <c r="K169" i="1" s="1"/>
  <c r="K171" i="1" s="1"/>
  <c r="I28" i="1"/>
  <c r="I159" i="1"/>
  <c r="N26" i="1"/>
  <c r="L169" i="1"/>
  <c r="L171" i="1" s="1"/>
  <c r="L161" i="1"/>
  <c r="J169" i="1"/>
  <c r="J171" i="1" s="1"/>
  <c r="J161" i="1"/>
  <c r="J28" i="1"/>
  <c r="H28" i="1"/>
  <c r="L28" i="1"/>
  <c r="N159" i="1" l="1"/>
  <c r="K161" i="1"/>
  <c r="I161" i="1"/>
  <c r="I169" i="1"/>
  <c r="I171" i="1" s="1"/>
  <c r="H169" i="1"/>
  <c r="H161" i="1"/>
  <c r="M161" i="1"/>
  <c r="M169" i="1"/>
  <c r="M171" i="1" s="1"/>
  <c r="N28" i="1"/>
  <c r="N161" i="1" l="1"/>
  <c r="N169" i="1"/>
  <c r="N171" i="1" s="1"/>
  <c r="H171" i="1"/>
  <c r="G26" i="1" l="1"/>
  <c r="G159" i="1" s="1"/>
  <c r="G169" i="1" s="1"/>
  <c r="D173" i="1" l="1"/>
  <c r="D175" i="1" s="1"/>
  <c r="B173" i="1"/>
  <c r="G161" i="1"/>
  <c r="O161" i="1" s="1"/>
  <c r="O159" i="1" l="1"/>
  <c r="O169" i="1"/>
  <c r="G171" i="1" l="1"/>
  <c r="B175" i="1" s="1"/>
  <c r="O17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Anna Kontorov</author>
  </authors>
  <commentList>
    <comment ref="A8" authorId="0" shapeId="0" xr:uid="{B820E5DB-D63A-4883-8687-BA8A2E0DD474}">
      <text>
        <r>
          <rPr>
            <b/>
            <sz val="9"/>
            <color indexed="81"/>
            <rFont val="Tahoma"/>
            <family val="2"/>
          </rPr>
          <t>Anna Kontorov:</t>
        </r>
        <r>
          <rPr>
            <sz val="9"/>
            <color indexed="81"/>
            <rFont val="Tahoma"/>
            <family val="2"/>
          </rPr>
          <t xml:space="preserve">
New line</t>
        </r>
      </text>
    </comment>
    <comment ref="A9" authorId="0" shapeId="0" xr:uid="{D37C4D10-097B-42ED-AFDE-984E96FB9902}">
      <text>
        <r>
          <rPr>
            <b/>
            <sz val="9"/>
            <color indexed="81"/>
            <rFont val="Tahoma"/>
            <family val="2"/>
          </rPr>
          <t>Anna Kontorov:</t>
        </r>
        <r>
          <rPr>
            <sz val="9"/>
            <color indexed="81"/>
            <rFont val="Tahoma"/>
            <family val="2"/>
          </rPr>
          <t xml:space="preserve">
New line</t>
        </r>
      </text>
    </comment>
  </commentList>
</comments>
</file>

<file path=xl/sharedStrings.xml><?xml version="1.0" encoding="utf-8"?>
<sst xmlns="http://schemas.openxmlformats.org/spreadsheetml/2006/main" count="933" uniqueCount="468">
  <si>
    <t>Annex 4. Detailed budget plan</t>
  </si>
  <si>
    <t>Project/Programme Title: Strengthening the resilience of ecosystems and populations in four regional hubs in northern Mauritania</t>
  </si>
  <si>
    <t>Output</t>
  </si>
  <si>
    <t>Activity</t>
  </si>
  <si>
    <t>Sub-activity</t>
  </si>
  <si>
    <t>Financing Source</t>
  </si>
  <si>
    <t xml:space="preserve">Budget Account Description </t>
  </si>
  <si>
    <t>Notes and Assumptions*</t>
  </si>
  <si>
    <t>Total cost (USD)</t>
  </si>
  <si>
    <t>Amount Year 1 (USD)</t>
  </si>
  <si>
    <t>Amount Year 2 (USD)</t>
  </si>
  <si>
    <t>Amount Year 3 (USD)</t>
  </si>
  <si>
    <t>Amount Year 4 (USD)</t>
  </si>
  <si>
    <t>Amount Year 5 (USD)</t>
  </si>
  <si>
    <t>Amount Year 6 (USD)</t>
  </si>
  <si>
    <t>Total (USD)</t>
  </si>
  <si>
    <t>Check</t>
  </si>
  <si>
    <t>GCF</t>
  </si>
  <si>
    <t>Training, workshops, and conferences</t>
  </si>
  <si>
    <t>A1</t>
  </si>
  <si>
    <t>Professional / Contractual Services</t>
  </si>
  <si>
    <t>A2</t>
  </si>
  <si>
    <t>Travel</t>
  </si>
  <si>
    <t>A3</t>
  </si>
  <si>
    <t>GoM</t>
  </si>
  <si>
    <t>A4</t>
  </si>
  <si>
    <t>Staff cost</t>
  </si>
  <si>
    <t>A5</t>
  </si>
  <si>
    <t>A6</t>
  </si>
  <si>
    <t>A7</t>
  </si>
  <si>
    <t>A8</t>
  </si>
  <si>
    <t>A9</t>
  </si>
  <si>
    <t>A10</t>
  </si>
  <si>
    <t>A11</t>
  </si>
  <si>
    <t>A12</t>
  </si>
  <si>
    <t>4 Regions (DREDDs)</t>
  </si>
  <si>
    <t>A13</t>
  </si>
  <si>
    <t>A14</t>
  </si>
  <si>
    <t>A15</t>
  </si>
  <si>
    <t>A16</t>
  </si>
  <si>
    <t>A17</t>
  </si>
  <si>
    <t>A18</t>
  </si>
  <si>
    <t>A19</t>
  </si>
  <si>
    <t>Subtotal GCF cost for Output 1.1</t>
  </si>
  <si>
    <t>Subtotal GoM cost for Output 1.1</t>
  </si>
  <si>
    <t>Subtotal Output 1</t>
  </si>
  <si>
    <t>B1</t>
  </si>
  <si>
    <t>B2</t>
  </si>
  <si>
    <t>B3</t>
  </si>
  <si>
    <t>B4</t>
  </si>
  <si>
    <t>B5</t>
  </si>
  <si>
    <t>B6</t>
  </si>
  <si>
    <t>Equipment</t>
  </si>
  <si>
    <t>B7</t>
  </si>
  <si>
    <t>Maintenance</t>
  </si>
  <si>
    <t>B8</t>
  </si>
  <si>
    <t>B9</t>
  </si>
  <si>
    <t>B10</t>
  </si>
  <si>
    <t>B11</t>
  </si>
  <si>
    <t>B12</t>
  </si>
  <si>
    <t>B15</t>
  </si>
  <si>
    <t>B16</t>
  </si>
  <si>
    <t>B17</t>
  </si>
  <si>
    <t>Subtotal GCF cost for Output 2.1</t>
  </si>
  <si>
    <t>Subtotal GoM cost for Output 2.1</t>
  </si>
  <si>
    <t>Subtotal Output 2.1</t>
  </si>
  <si>
    <t>C1</t>
  </si>
  <si>
    <t>C2</t>
  </si>
  <si>
    <t>C3</t>
  </si>
  <si>
    <t>C4</t>
  </si>
  <si>
    <t>C5</t>
  </si>
  <si>
    <t>C6</t>
  </si>
  <si>
    <t>C7</t>
  </si>
  <si>
    <t>C8</t>
  </si>
  <si>
    <t>C9</t>
  </si>
  <si>
    <t>C10</t>
  </si>
  <si>
    <t>C11</t>
  </si>
  <si>
    <t>C12</t>
  </si>
  <si>
    <t>C13</t>
  </si>
  <si>
    <t>C14</t>
  </si>
  <si>
    <t>C15</t>
  </si>
  <si>
    <t>C16</t>
  </si>
  <si>
    <t>C17</t>
  </si>
  <si>
    <t>C18</t>
  </si>
  <si>
    <t>C19</t>
  </si>
  <si>
    <t>C20</t>
  </si>
  <si>
    <t>C21</t>
  </si>
  <si>
    <t>C22</t>
  </si>
  <si>
    <t>C23</t>
  </si>
  <si>
    <t>C24</t>
  </si>
  <si>
    <t>C25</t>
  </si>
  <si>
    <t>C26</t>
  </si>
  <si>
    <t>C27</t>
  </si>
  <si>
    <t>C28</t>
  </si>
  <si>
    <t>C29</t>
  </si>
  <si>
    <t>C30</t>
  </si>
  <si>
    <t>C31</t>
  </si>
  <si>
    <t>C32</t>
  </si>
  <si>
    <t>C33</t>
  </si>
  <si>
    <t>C34</t>
  </si>
  <si>
    <t>C35</t>
  </si>
  <si>
    <t>C36</t>
  </si>
  <si>
    <t>C37</t>
  </si>
  <si>
    <t>C38</t>
  </si>
  <si>
    <t>C39</t>
  </si>
  <si>
    <t>C40</t>
  </si>
  <si>
    <t>C41</t>
  </si>
  <si>
    <t>C42</t>
  </si>
  <si>
    <t>C43</t>
  </si>
  <si>
    <t>C44</t>
  </si>
  <si>
    <t>C45</t>
  </si>
  <si>
    <t>Construction cost</t>
  </si>
  <si>
    <t>C46</t>
  </si>
  <si>
    <t>C47</t>
  </si>
  <si>
    <t>C48</t>
  </si>
  <si>
    <t>C49</t>
  </si>
  <si>
    <t>C50</t>
  </si>
  <si>
    <t>Agriculture</t>
  </si>
  <si>
    <t>2.2.1</t>
  </si>
  <si>
    <t>Financial mechanism</t>
  </si>
  <si>
    <t>C51</t>
  </si>
  <si>
    <t>Water</t>
  </si>
  <si>
    <t>2.2.2</t>
  </si>
  <si>
    <t>C52</t>
  </si>
  <si>
    <t>On-granting</t>
  </si>
  <si>
    <t>2.2.3</t>
  </si>
  <si>
    <t>C53</t>
  </si>
  <si>
    <t>C54</t>
  </si>
  <si>
    <t>C55</t>
  </si>
  <si>
    <t>Local consultants</t>
  </si>
  <si>
    <t>C56</t>
  </si>
  <si>
    <t>C57</t>
  </si>
  <si>
    <t>C58</t>
  </si>
  <si>
    <t>C59</t>
  </si>
  <si>
    <t>C61</t>
  </si>
  <si>
    <t>Subtotal GCF cost for Output 2.2</t>
  </si>
  <si>
    <t>Subtotal GoM cost for Output 2.2</t>
  </si>
  <si>
    <t>Subtotal Output 2.2</t>
  </si>
  <si>
    <t>Monitoring and Evaluation Costs</t>
  </si>
  <si>
    <t xml:space="preserve">Implementation of safeguards management plan </t>
  </si>
  <si>
    <t>M&amp;E1</t>
  </si>
  <si>
    <t>Environmental and Social Safeguards Officer</t>
  </si>
  <si>
    <t>M&amp;E2</t>
  </si>
  <si>
    <t>Implementation of gender mainstreaming</t>
  </si>
  <si>
    <t>M&amp;E3</t>
  </si>
  <si>
    <t>M&amp;E4</t>
  </si>
  <si>
    <t>Monitoring and Evaluation officer</t>
  </si>
  <si>
    <t>M&amp;E5</t>
  </si>
  <si>
    <t>Implementation of M&amp;E plan</t>
  </si>
  <si>
    <t>M&amp;E6</t>
  </si>
  <si>
    <t>Subtotal GCF monitoring and evaluation costs</t>
  </si>
  <si>
    <t>Subtotal GoM monitoring and evaluation costs</t>
  </si>
  <si>
    <t>Subtotal 4 Regions monitoring and evaluation costs</t>
  </si>
  <si>
    <t>Subtotal UNEP monitoring and evaluation costs</t>
  </si>
  <si>
    <t>Total monitoring and evaluation costs</t>
  </si>
  <si>
    <t>Project Management Costs</t>
  </si>
  <si>
    <t>Project Coordinator</t>
  </si>
  <si>
    <t>Procurement Officer</t>
  </si>
  <si>
    <t>Financial and Administrative Officer</t>
  </si>
  <si>
    <t>PM3</t>
  </si>
  <si>
    <t>Facilities and administration</t>
  </si>
  <si>
    <t>Office supplies and stationary</t>
  </si>
  <si>
    <t>PM6</t>
  </si>
  <si>
    <t>IT equipment</t>
  </si>
  <si>
    <t>Audits</t>
  </si>
  <si>
    <t>PMU travel costs</t>
  </si>
  <si>
    <t>PM9</t>
  </si>
  <si>
    <t>Project meeting costs</t>
  </si>
  <si>
    <t>Total GCF project management costs</t>
  </si>
  <si>
    <t>Total GoM project management costs</t>
  </si>
  <si>
    <t>Total project management costs</t>
  </si>
  <si>
    <t>Total GCF cost for project interventions</t>
  </si>
  <si>
    <t>Total GoM cost for project interventions</t>
  </si>
  <si>
    <t>Total cost of project interventions</t>
  </si>
  <si>
    <t>Total GCF cost for M&amp;E</t>
  </si>
  <si>
    <t>Total GoM cost for M&amp;E</t>
  </si>
  <si>
    <t>Total UNEP cost for M&amp;E</t>
  </si>
  <si>
    <t>Total cost for M&amp;E</t>
  </si>
  <si>
    <t>Total GCF cost for PMC</t>
  </si>
  <si>
    <t>Total GoM cost for PMC</t>
  </si>
  <si>
    <t>Total cost for PMC</t>
  </si>
  <si>
    <t>Total GCF cost for project (interventions, M&amp;E and PMC)</t>
  </si>
  <si>
    <t>Total GoM cost for project (interventions, M&amp;E and PMC)</t>
  </si>
  <si>
    <t>Total project cost (GCF, GoM, 4 Regions and UNEP)</t>
  </si>
  <si>
    <t>Total project budget</t>
  </si>
  <si>
    <t>Total PMC budget</t>
  </si>
  <si>
    <t>PMC Budget %</t>
  </si>
  <si>
    <t>Detailed Budget Notes</t>
  </si>
  <si>
    <t>Unit</t>
  </si>
  <si>
    <t>Quantity</t>
  </si>
  <si>
    <t>Unit cost</t>
  </si>
  <si>
    <t>Total cost</t>
  </si>
  <si>
    <t>Year 1</t>
  </si>
  <si>
    <t>Year 2</t>
  </si>
  <si>
    <t>Year 3</t>
  </si>
  <si>
    <t>Year 4</t>
  </si>
  <si>
    <t>Year 5</t>
  </si>
  <si>
    <t>Year 6</t>
  </si>
  <si>
    <t xml:space="preserve">A 2-day inception workshop will be facilitated by the MEDD. The roles and responsibilities of the PMU and other relevant stakeholders will be finalised and the project design will be presented to the task team, to ensure all involved are familiar with the project objective, outcomes and outputs. Workshop costs will include venue hire and the venue, administrative costs of organising the meetings, printing costs, tea and refreshments. </t>
  </si>
  <si>
    <t>Two-day workshop</t>
  </si>
  <si>
    <t>Cost for a contracted policy expert or NGO to lead the establishment of commune-level technical and coordination committees (CTCs) in each of the 12 target communes in Northern Mauritania. The contracted expert will work closely with the MEDD, its subsidiaries, and relevant project staff to develop guidelines and policies for the CTCs and lead a participatory member selection process. 
This sub-activity will include: i) 18 days allocated to field visits to consult with relevant stakeholders; ii) 8 days to prepare for and facilitate 2-day participatory workshops in each of the four target hubs, to facilitate the selection of CTC members; iii) 50 days to undertake further consultations (as required) and draft the guidelines and protocols for CTCs; and iv) 4 days at the end of the consultation to prepare for and facilitate a 1-day validation workshop with the MEDD to validate the guidelines and protocols.</t>
  </si>
  <si>
    <t>Days</t>
  </si>
  <si>
    <t xml:space="preserve">The cost of 27 days of travel to consult with relevant stakeholders and lead the establishment of CTCs will include: i) a daily subsistence allowance (DSA) of US$62/day; ii) fuel costs of US$150/day; and iii) vehicle rental costs of US$200/day. </t>
  </si>
  <si>
    <t>Years</t>
  </si>
  <si>
    <t>Costs for a 1-day validation workshop for 50 people, including representatives from relevant governmental institutions, local municipalities, local communities, and NGOs, as well as experts to validate the guidelines and policies developed for CTCs. Cost of the validation workshop is US$3,000, including printing of draft documents for participants, venue hire, tea, lunch and refreshments.</t>
  </si>
  <si>
    <t>One-day workshop</t>
  </si>
  <si>
    <t xml:space="preserve">Cost of contracting a local policy expert or NGO to review existing wilayah-, moughataa- and commune-level development plans, policies and briefs and identify gaps and opportunities for the integration of gender and climate change adaptation into them; the policy expert will be expected to review policies remotely. </t>
  </si>
  <si>
    <t xml:space="preserve">Two-day workshop </t>
  </si>
  <si>
    <t>Cost of contracting an ecologist or NGO to conduct baseline assessments on land-use practices and the status of natural ecosystems in each of the 12 priority communes, with support and guidance from the Executing Entity (MEDD) and CTCs. These baseline assessments will inform the development of commune-level land rehabilitation plans for each priority commune, wherein specific sites for ecosystem restoration and dune fixation will be identified. 
Baseline assessment costs will include 27 days of consulting @ US$400/day.
These 27 days will allow for:
- 12 days of site visits for data collection and analysis (one day per commune);
- 3 days for drafting a report to present the findings for each commune after site visits; and
- 12 days of attending workshops (one day at each priority commune) to validate the selection of the specific sites for rehabilitation.</t>
  </si>
  <si>
    <t>Cost of a 1-day workshop for 50 people, led by the CTCs and DREDDs, with support from the National Consultant (ecologist), to refine the specific  locations and approaches for ecosystem restoration and planting treelines in each priority commune (based on findings of baseline analysis). 
One workshop will take place in each of the 12 communes. Workshops attendees will include project beneficiaries (local community members), representatives from relevant government institutions (involved in regional land-use planning), members of the DREDDS and CTCs, and organisations involved in ecosystem restoration in the target region (e.g. AGCLs). Cost of the workshop is US$2,000, including printing of draft documents for participants, venue hire, tea, lunch and refreshments.</t>
  </si>
  <si>
    <t>Costs for DREDD representatives to provide technical support to CTCs in the development of 12 commune-level rehabilitation plans. The plans will incorporate findings by the restoration ecologist, particularly the areas that are identified for the establishment of community-managed conservation areas within each target commune. Costs will be made up of:
- Technical guidance;
- Technical review;
- Validation workshops;
- Logistics</t>
  </si>
  <si>
    <t>Plans</t>
  </si>
  <si>
    <t>Hectares</t>
  </si>
  <si>
    <t>Communes</t>
  </si>
  <si>
    <t>Kilometres</t>
  </si>
  <si>
    <t xml:space="preserve">Travel expenses for four extension officers (one each from the MEDD, Ministry of Rural Development (MDR), Ministry of Livestock Farming (MLF) and the Ministry of Agriculture) to each target commune, to deliver three-day training workshops each year for climate-resilient livestock management practices. Costs include: i) a daily subsistence allowance (DSA) of US$62/day/person; ii) fuel costs of US$150/day; and iii) vehicle rental costs of US$200/day. </t>
  </si>
  <si>
    <r>
      <t xml:space="preserve">Input costs (including equipment, seed, etc) for the establishment of a nursery at each of the 12 priority communes. Nurseries will supply seedlings and other plant materials required for restoration activities. Includes costs for establishment in year 2 (US$3,000 to UA$20,000 per nursery; mean of ~US$11,500 per nursery) and annual maintenance of facilities and equipment (O&amp;M costs of US$1,000 per nursery per year = US$12,000 per year). This sub-activity will be carried out by a contracted NGO, in collaboration with the CTCs.
</t>
    </r>
    <r>
      <rPr>
        <u/>
        <sz val="10"/>
        <rFont val="Arial"/>
        <family val="2"/>
      </rPr>
      <t xml:space="preserve">References
</t>
    </r>
    <r>
      <rPr>
        <sz val="10"/>
        <rFont val="Arial"/>
        <family val="2"/>
      </rPr>
      <t xml:space="preserve">Farmer-managed nurseries in Cameroon: ~US$3,000 per nursery (https://www.researchgate.net/publication/254236970_Feasibility_of_farmer-managed_vegetative_propagation_nurseries_in_Cameroon)
Tuvalu: ~US$20,000 per nursery incl. seed banks (GCF Tuvalu Budget; C4ES)
Adaptation Fund in Mauritania: ~US$1,500 per village-level nursery 
(https://www.adaptation-fund.org/wp-content/uploads/2015/01/AFB.PPRC_.9.18.Rev_.1%20Proposal%20for%20Mauritania.pdf). </t>
    </r>
  </si>
  <si>
    <t>Nursery</t>
  </si>
  <si>
    <t>US$11,500
+ US$1,000 O&amp;M per year</t>
  </si>
  <si>
    <t xml:space="preserve">Cost to train nursery workers at each of the community nurseries to manage and maintain the nurseries, as well as produce high quality indigenous seedlings. Training will be provided over the course of 3 days at each of the established nurseries and will be presented by an Extension Officer from the MEDD and AGPO representatives during the nurseries' first week of operation. Workshop costs will include a fee of US$500 for AGPO representative attendance at each workshop. (US$1,500 for venue hire, lunch, tea and refreshments + US$500 for AGPO representation). </t>
  </si>
  <si>
    <t xml:space="preserve">Input costs (including equipment, seed, etc) for the establishment of a seed bank at each of the 12 communes. Includes costs for establishment in year 2 (US$15,000) and annual maintenance of facilities and equipment (US$500 per seed bank, per year x 12 seed banks = US$24,000). This sub-activity will be delivered by a contracted NGO, in collaboration with CTCs. 
A 15% contingency has been added to the total cost, to account for pricing and foreign exchange fluctuations.
(Reference: https://www.globalgiving.org/pfil/19909/projdoc.pdf) 
</t>
  </si>
  <si>
    <t>Seed bank</t>
  </si>
  <si>
    <t>Cost to train workers at each of the seed banks to manage and maintain the seed banks. Training will be provided over the course of 3 days at each of the established nurseries and will be presented by an Extension Officer from the Ministry of Agriculture during the seed bank's first week of operation.</t>
  </si>
  <si>
    <t xml:space="preserve">1-day training workshop for communities in each of the 12 communes to identify and collect cuttings and seeds to serve as stock material for nurseries and seed banks. Workshops will be provided by a representative from the relevant CTC. </t>
  </si>
  <si>
    <t>Cost for CTC representatives and DREDDs to provide technical support for collection of stock material for seed banks and nurseries, while collaborating with CTCs to hire and oversee labourers. The cost of providing expert technical assistance is estimated at ~10% of labour costs from C10.</t>
  </si>
  <si>
    <t>Technical support provided to seed bank</t>
  </si>
  <si>
    <t xml:space="preserve">Travel expenses for one agronomist from the Ministry of Agriculture and two extension officers from the MEDD and MDR to each target commune, to deliver annual three-day training workshops for representatives of CTCs, FBOs and WFGs. Costs include: i) a daily subsistence allowance (DSA) of US$62/day/person; ii) fuel costs of US$150/day; and iii) vehicle rental costs of US$200/day. </t>
  </si>
  <si>
    <t xml:space="preserve">Input costs for establishing 12 market garden demonstration plots (1 Ha each), to showcase the benefits of CSA practices. The total cost includes equipment, labour, climate-resilient seedlings etc. required for establishment in year 2, as well as annual maintenance costs (US$75/ha per year x 12 demonstration plots = US$3,600). 
Cost for establishing a 1.5 acre (~6 Ha) market garden = ~USD40,000 
(Reference: http://www.permaculturevoices.com/podcast/grow-better-not-bigger-the-market-gardener-selling-140000-on-1-5-acres-pvp051/). Cost for 1 demonstration plot = USD40,000/6 = ~USD6,667. 
A 15% contingency has been added to the total cost, to account for pricing and foreign exchange fluctuations.
This sub-activity will be delivered by a contracted NGO, in collaboration with CTCs. </t>
  </si>
  <si>
    <t>Demonstration plot</t>
  </si>
  <si>
    <t xml:space="preserve">Cost to provide technical support to communities in the 12 communes via three-day workshops to facilitate the uptake of sustainable livelihood activities. Workshops will include field-days and will be conducted once every two years. Workshops will be conducted by an expert agronomist and supported by Extension Officers from the MEDD and MDR. </t>
  </si>
  <si>
    <t>Cost for an expert agronomist from the Ministry of Agriculture to provide technical support to workshops and support the uptake of sustainable and diversified livelihoods through engagement with existing small-scale sustainable livelihoods in the target hubs.</t>
  </si>
  <si>
    <t xml:space="preserve">The cost of 108 days of travel to consult with relevant stakeholders and lead three-day workshops to facilitate the uptake of sustainable livelihood activities will include: i) a daily subsistence allowance (DSA) of US$62/day; ii) fuel costs of US$150/day; and iii) vehicle rental costs of US$200/day. </t>
  </si>
  <si>
    <t>Households</t>
  </si>
  <si>
    <t xml:space="preserve">Total cost of initial beekeeping inputs, to be directly dispersed to beneficiary households in target communes (5 households will receive beehives per priority commune). These input costs will include resources for a single modern beehive (US$100 each) and a single set of protective gear (US$50) per beneficiary household. Households receiving beekeeping inputs will be identified via CTCs and the produce/profit will be shared among target populations.  
A 15% contingency has been added, to account for pricing and foreign exchange fluctuations. Costs for the annual maintenance of the system and purchase of inputs are expected to be derived from the profits made by beneficiaries. Assuming five households per commune are practicing apiculture. 
This sub-activity will be delivered by a contracted NGO, in collaboration with CTCs. </t>
  </si>
  <si>
    <t xml:space="preserve">Total cost of initial drip irrigation sets to be directly dispersed to beneficiary households (Drip irrigation sets cost US$500 each). Assuming 15 households per commune are practicing drip irrigation)
A 15% contingency has been added, to account for pricing and foreign exchange fluctuations.
This sub-activity will be delivered by a contracted NGO, in collaboration with CTCs. </t>
  </si>
  <si>
    <t xml:space="preserve">Cost for a contracted National Consultant, community engagement specialist, policy expert or NGO to lead the establishment of commune-level WUGs in each of the 12 priority communes in  the four target hubs. The consultant will work closely with the MEDD, its subsidiaries and relevant project staff to develop guidelines and policies for the WUGs and lead a participatory member selection process. 
This sub-activity will include: i) 12 days allocated to field visits to consult with relevant stakeholders; ii) 3 days to prepare for and facilitate 1-day participatory workshops in each of the 12 priority communes, to facilitate the selection of WUG members; and iii) 20 days to undertake further consultations (as required) and draft the guidelines and protocols for WUGs. </t>
  </si>
  <si>
    <t>Costs for a 1-day participatory workshop within each priority commune for 50 people, including representatives from relevant governmental institutions, local municipalities, local communities and NGOs. In this workshop, a participatory process will be conducted to select members of commune-level WUGs. Costs per day are US$1,500, including venue hire, tea, lunch and refreshments.</t>
  </si>
  <si>
    <t xml:space="preserve">Workshop </t>
  </si>
  <si>
    <t xml:space="preserve">The cost of 12 days of travel for the National Consultant to engage with relevant stakeholders and lead the establishment of WUGs will include: i) a daily subsistence allowance (DSA) of US$62/day; ii) fuel costs of US$150/day; and iii) vehicle rental costs of US$200/day. </t>
  </si>
  <si>
    <t xml:space="preserve">Cost of contracting a local hydrogeological expert or NGO to prepare training material (5 days) and deliver training at each 3-day workshop (36 days). </t>
  </si>
  <si>
    <t xml:space="preserve">The cost of 36 days of travel for the National Consultant and two extension officers to engage with relevant stakeholders and lead the establishment of WUGs will include: i) a daily subsistence allowance (DSA) of US$62/day; ii) fuel costs of US$150/day; and iii) vehicle rental costs of US$200/day. </t>
  </si>
  <si>
    <t xml:space="preserve">Costs for a hydrogeological expert or NGO, in collaboration with WUGs and CTCs,  to facilitate the development of community-based water use monitoring and regulation plans for each target site. Costs include stakeholder consultations to inform the drafting of plans and site visits to determine needs. One plan will be developed for each for the twelve priority communes. </t>
  </si>
  <si>
    <t>Commune-level water monitoring and regulation plans</t>
  </si>
  <si>
    <t>3-day workshops</t>
  </si>
  <si>
    <t xml:space="preserve">Cost for a contracted hydrological modelling expert or NGO to work with relevant government officials to undertake long-term hydrological modelling for the four target hubs, to inform the selection of sites for water resources management infrastructure. Costs include: i) 30 days of modelling for each target hub (50% in the field; 50% remotely); ii) 8 days of report-writing and workshop preparation; and iii) 12 days of participatory workshops with WUG members (one per priority commune), to engage with stakeholders regarding suitable sites for water infrastructure. </t>
  </si>
  <si>
    <t>Cost for 12 one-day workshops (one per priority commune), in which WUG members will be engaged to assist a National Consultant (Hydrological Modelling Expert) in identifying target sites for water management infrastructure (including the identification of four wadis for groundwater dams, sites for 16 km of dykes, 16 km of gabions and 320 ha of stone bunds across the four target hubs). Costs per day are US$1500, including venue hire, tea, lunch and refreshments.</t>
  </si>
  <si>
    <t xml:space="preserve">The cost of 72 days of travel for the National Consultant (hydrological modelling expert) to engage with relevant stakeholders and  collect data for hydrological modelling and water infrastructure site selection via participatory workshops: i) a daily subsistence allowance (DSA) of US$62/day; ii) fuel costs of US$150/day; and iii) vehicle rental costs of US$200/day. </t>
  </si>
  <si>
    <t>Groundwater dam</t>
  </si>
  <si>
    <t xml:space="preserve">Annual maintenance costs for the eight groundwater dams, including materials and labour from year 5 to 6. US$ 2,500 per dam per year; therefore, US$10,000 per year. </t>
  </si>
  <si>
    <t xml:space="preserve">Costs for the construction of 8 kilometres of earthen dykes across the four target hubs, in sites identified by the hydrogeological expert and WUG members. Costs include labour, equipment and materials.
(Reference: https://www.nature.com/articles/s41598-022-22331-9) </t>
  </si>
  <si>
    <t xml:space="preserve">Costs for the construction of 320 ha of stone bunds across the four target hubs, in sites identified by the hydrogeological expert and WUG members. Costs include all equipment and material costs and labour costs for a team of 10 labourers (US$500 per ha)
(Reference: https://www.nature.com/articles/s41598-022-22331-9) </t>
  </si>
  <si>
    <t xml:space="preserve">Cost for 12 two-day workshops (one per priority commune), in which WUG members will select sites for the installation of RWH systems and be trained on the installation and management of these systems, in collaboration with CTC members and DREDD representatives. The cost per day is US$1,500, including venue, refreshments and lunch. </t>
  </si>
  <si>
    <t>Two-day workshops</t>
  </si>
  <si>
    <t xml:space="preserve">Installation of 144 rainwater harvesting systems and communal cisterns (12 per priority commune) across the four target hubs. 
Cost of one 5000 L rainwater harvesting system and cistern = US$2500
Cost of labour for installation = US$50 per hour x 8 hours per installation = US$400
(Reference: https://tech-action.unepccc.org/wp-content/uploads/sites/2/2022/02/water-resources-policy-brief-jamaica.pdf)
A 15% contingency has been added, to account for pricing and foreign exchange fluctuations.
This sub-activity will be delivered by a contracted NGO, in collaboration with CTCs. 
</t>
  </si>
  <si>
    <t>RWH systems</t>
  </si>
  <si>
    <t xml:space="preserve">Annual maintenance costs for RWH systems, including materials and labour from year 4 to 6. US$500 per system per year; therefore, US$72,000 per year. </t>
  </si>
  <si>
    <t>Units</t>
  </si>
  <si>
    <r>
      <t xml:space="preserve">Input costs for 48 boreholes across the target region (4 per priority commune), either in </t>
    </r>
    <r>
      <rPr>
        <i/>
        <sz val="10"/>
        <rFont val="Arial"/>
        <family val="2"/>
      </rPr>
      <t xml:space="preserve">graras </t>
    </r>
    <r>
      <rPr>
        <sz val="10"/>
        <rFont val="Arial"/>
        <family val="2"/>
      </rPr>
      <t>or along historical transhumance routes, as identified by the hydrogeological expert and WUG members. 
One borehole is estimated at US$8,000, including  (https://www.localpros.co.za/cost/borehole-drilling-cost/#:~:text=In%20total%2C%20the%20average%20borehole,000%2C%20including%20installation%20and%20equipment). 
The total cost includes all equipment costs and labour costs for a team of 20 labourers (20 x US$25  x 8 hours per day x 5 days per week x 96 weeks = US$384,000)</t>
    </r>
  </si>
  <si>
    <t>Boreholes</t>
  </si>
  <si>
    <t xml:space="preserve">Install a total of 48 solar-powered ground water pumps alongside each borehole, to improve access to groundwater and reduce dependence on diesel (non-renewables). 
(Reference: https://www.rpssolarpumps.com/solar-pump-faq/how-much-does-a-solar-water-pump-cost/)
A 15% contingency has been added, to account for pricing and foreign exchange fluctuations.
This sub-activity will be delivered by a contracted NGO, in collaboration with CTCs. </t>
  </si>
  <si>
    <t>Solar-powered groundwater pumps</t>
  </si>
  <si>
    <t xml:space="preserve">Annual maintenance costs for boreholes and solar-powered groundwater pumps, including materials and labour from year 4 to 6. US$500 per pump per year; therefore, US$12,000 per year. </t>
  </si>
  <si>
    <t>Salaries of permanent SGF employees — hired competitively by the project Procurement Officer — to operate the SGF. SGF staff members will include: i) an experienced fund manager; ii) an administrator; iii) an environmental economist; and iv) a fund monitoring and  evaluation officer. On average, each staff member will receive a salary of US$60,000 per annum. 
If the SGF is operationalised at the start of year 3, the team of staff will receive salaries for 4 years. 
(4 staff x US$60,000 = US$240,000 per annum)</t>
  </si>
  <si>
    <t>Small grants</t>
  </si>
  <si>
    <t>Costs for legal services to assist the CTCs and SGF partners to register the fund as a legal entity and formalise its long-term legal mechanisms, including contracts and by-laws.</t>
  </si>
  <si>
    <t>Legal services</t>
  </si>
  <si>
    <t>Launch event</t>
  </si>
  <si>
    <t>Cost of one-day workshop for 50 people (including DREDD representatives, the Wali of each target wilayah and other relevant government representatives) in each target hub, wherein the National Consultant (Financial Expert) to present budget briefs and recommendations to wilayah-level authorities. Cost of a one-day workshop is US$1,500, including venue, refreshments, lunch and tea.</t>
  </si>
  <si>
    <t>One-day Workshops</t>
  </si>
  <si>
    <t>Environmental and Social Safeguards Officer (full-time)</t>
  </si>
  <si>
    <t>Implementation of gender mainstreaming (travel, stakeholder meetings etc.) as detailed in the GAP and logframe. The total cost for implementing the GAP, as presented in Annex 8, is US$25,000. This amount has been spread equally across the project's 6 years of implementation, resulting in an annual cost of US$4,167.</t>
  </si>
  <si>
    <t>Monitoring Plan</t>
  </si>
  <si>
    <t>PM1</t>
  </si>
  <si>
    <t>Project Coordinator (full-time)</t>
  </si>
  <si>
    <t>PM2</t>
  </si>
  <si>
    <t>Procurement Officer (part-time)</t>
  </si>
  <si>
    <t>Financial and Administrative Officer (full-time)</t>
  </si>
  <si>
    <t>PM4</t>
  </si>
  <si>
    <t>PM5</t>
  </si>
  <si>
    <t>Facilities and administration costs, based in Nouakchott; - Includes electricity, water, telephone, cleaning and security.</t>
  </si>
  <si>
    <t>Office supplies and stationary for the PMU.</t>
  </si>
  <si>
    <t>PM7</t>
  </si>
  <si>
    <t>IT equipment for the PMU, including laptops, printers, cameras, projectors, etc.</t>
  </si>
  <si>
    <t>PM8</t>
  </si>
  <si>
    <t>Costs to cover annual independent financial audits of the project</t>
  </si>
  <si>
    <t>Mission-related travel costs of the PMU, including car hire and fuel</t>
  </si>
  <si>
    <t>PM10</t>
  </si>
  <si>
    <t xml:space="preserve">Costs to cover monthly project management meetings, quarterly project steering committee meetings and annual project meetings. </t>
  </si>
  <si>
    <t>PMU Salary Spreads (Annual Pro-forma Salary)</t>
  </si>
  <si>
    <t>#</t>
  </si>
  <si>
    <t>Position</t>
  </si>
  <si>
    <t xml:space="preserve">Amount </t>
  </si>
  <si>
    <t xml:space="preserve">Project Coordinator </t>
  </si>
  <si>
    <t xml:space="preserve">Procurement Officer </t>
  </si>
  <si>
    <t xml:space="preserve">Financial and Administrative Officer </t>
  </si>
  <si>
    <t xml:space="preserve">Chief Technical Advisor </t>
  </si>
  <si>
    <t xml:space="preserve">Environmental and Social Safeguards Officer </t>
  </si>
  <si>
    <t xml:space="preserve">Gender Officer </t>
  </si>
  <si>
    <t xml:space="preserve">Monitoring and Evaluation Officer </t>
  </si>
  <si>
    <t>Total</t>
  </si>
  <si>
    <t>Cost categories</t>
  </si>
  <si>
    <t>Budget note descriptions for each cost category</t>
  </si>
  <si>
    <t>Please eloborate on staff position involved in this particular stage of the project as well as associated costs</t>
  </si>
  <si>
    <t>BN to detail unit cost and duration of consultant(s) work and position</t>
  </si>
  <si>
    <t>International consultants</t>
  </si>
  <si>
    <t>Similar to above (A2)</t>
  </si>
  <si>
    <t>Include machinery spec, equipment name, quantity and unit cost in BN</t>
  </si>
  <si>
    <t>Constuction cost</t>
  </si>
  <si>
    <t xml:space="preserve">Provide breakdown of construction at each level/stage by cost as much as possible. </t>
  </si>
  <si>
    <t>Ensure the number of workshops anticipated, number of people attending, target group, cost per work workshop, venue cost is provided</t>
  </si>
  <si>
    <t>Breakdown travel cost information by number of people and cost per person and separating DSA where applicable.</t>
  </si>
  <si>
    <t>Monitoring and evaluation</t>
  </si>
  <si>
    <t xml:space="preserve">Identify professional costs. NB. Auditing costs are Project Management Costs. </t>
  </si>
  <si>
    <t>Funding source</t>
  </si>
  <si>
    <t>NGO (Nafore)</t>
  </si>
  <si>
    <r>
      <rPr>
        <b/>
        <sz val="11"/>
        <rFont val="Arial"/>
        <family val="2"/>
      </rPr>
      <t>Output 1.1.</t>
    </r>
    <r>
      <rPr>
        <sz val="11"/>
        <rFont val="Arial"/>
        <family val="2"/>
      </rPr>
      <t xml:space="preserve"> Governance structures are strengthened to support the implementation of EbA measures and the integration of climate change considerations and EbA into government plans, policies and budgets.</t>
    </r>
  </si>
  <si>
    <r>
      <rPr>
        <b/>
        <sz val="11"/>
        <rFont val="Arial"/>
        <family val="2"/>
      </rPr>
      <t>Activity 1.1.1.</t>
    </r>
    <r>
      <rPr>
        <sz val="11"/>
        <rFont val="Arial"/>
        <family val="2"/>
      </rPr>
      <t xml:space="preserve"> Establish coordination platforms to facilitate knowledge sharing, natural-resource management, sustainable land-use planning and the implementation of EbA activities at regional and local levels.</t>
    </r>
  </si>
  <si>
    <r>
      <t xml:space="preserve">Sub-activity 1.1.1.1. </t>
    </r>
    <r>
      <rPr>
        <sz val="11"/>
        <rFont val="Arial"/>
        <family val="2"/>
      </rPr>
      <t>Establish commune-level technical committees (CTCs) within each priority commune in the four target hubs.</t>
    </r>
  </si>
  <si>
    <r>
      <t xml:space="preserve">Sub-activity 1.1.1.2. </t>
    </r>
    <r>
      <rPr>
        <sz val="11"/>
        <rFont val="Arial"/>
        <family val="2"/>
      </rPr>
      <t>Deliver training workshops to CTCs, enhancing members' capacities to implement and manage project activities, support the integration of climate change in regional- and commune-level policies, plans and budgets, and facilitate knowledge sharing between regional- and local-level stakeholders.</t>
    </r>
  </si>
  <si>
    <r>
      <rPr>
        <b/>
        <sz val="11"/>
        <rFont val="Arial"/>
        <family val="2"/>
      </rPr>
      <t>Sub-activity 1.1.1.4.</t>
    </r>
    <r>
      <rPr>
        <sz val="11"/>
        <rFont val="Arial"/>
        <family val="2"/>
      </rPr>
      <t xml:space="preserve"> Conduct a review of existing wilayah-, moughataa- and commune-level development plans, policies and budgets and prepare policy briefs for the integration of climate considerations and gender-responsiveness into these documents.</t>
    </r>
  </si>
  <si>
    <r>
      <t>Sub-activity 1.1.1.5.</t>
    </r>
    <r>
      <rPr>
        <sz val="11"/>
        <rFont val="Arial"/>
        <family val="2"/>
      </rPr>
      <t xml:space="preserve">  Convene training workshops for Regional and Communal Councils and relevant sectors to support the integration of climate change in regional- and commune-level policies, plans and budgets, including through the presentation of the policy briefs prepared under Sub-activity 1.1.1.4.</t>
    </r>
  </si>
  <si>
    <r>
      <t xml:space="preserve">Output 1.2. </t>
    </r>
    <r>
      <rPr>
        <sz val="11"/>
        <color theme="1"/>
        <rFont val="Arial"/>
        <family val="2"/>
      </rPr>
      <t>Knowledge products developed and disseminated to support decision making and upscaling.</t>
    </r>
  </si>
  <si>
    <r>
      <t>Activity 1.2.1.</t>
    </r>
    <r>
      <rPr>
        <sz val="11"/>
        <color theme="1"/>
        <rFont val="Arial"/>
        <family val="2"/>
      </rPr>
      <t xml:space="preserve"> Develop knowledge products on project lessons learned and best practices through a participatory process engaging the communities.</t>
    </r>
  </si>
  <si>
    <r>
      <t>Activity 1.2.2.</t>
    </r>
    <r>
      <rPr>
        <sz val="11"/>
        <color theme="1"/>
        <rFont val="Arial"/>
        <family val="2"/>
      </rPr>
      <t xml:space="preserve"> Enhance the dissemination of adaptation knowledge to sub-national decision-makers and communities to support upscaling.</t>
    </r>
  </si>
  <si>
    <r>
      <rPr>
        <b/>
        <sz val="11"/>
        <color theme="1"/>
        <rFont val="Arial"/>
        <family val="2"/>
      </rPr>
      <t>Sub-activity 1.2.2.3.</t>
    </r>
    <r>
      <rPr>
        <sz val="11"/>
        <color theme="1"/>
        <rFont val="Arial"/>
        <family val="2"/>
      </rPr>
      <t xml:space="preserve"> Disseminate locally-accessible knowledge products in target and non-target communes across the four project wilayahs to catalyze upscaling, with support from the DREDDs and CTCs.</t>
    </r>
  </si>
  <si>
    <r>
      <rPr>
        <b/>
        <sz val="11"/>
        <rFont val="Arial"/>
        <family val="2"/>
      </rPr>
      <t>Output 2.1.</t>
    </r>
    <r>
      <rPr>
        <sz val="11"/>
        <rFont val="Arial"/>
        <family val="2"/>
      </rPr>
      <t xml:space="preserve"> Green-grey dune fixation infrastructure is established to control sand encroachment, enhance the provision of ecosystem services and slow the rate of desertification within the four target hubs.</t>
    </r>
  </si>
  <si>
    <r>
      <rPr>
        <b/>
        <sz val="11"/>
        <rFont val="Arial"/>
        <family val="2"/>
      </rPr>
      <t>Activity 2.1.1.</t>
    </r>
    <r>
      <rPr>
        <sz val="11"/>
        <rFont val="Arial"/>
        <family val="2"/>
      </rPr>
      <t xml:space="preserve"> Establish 2,123 hectares of EbA dune-fixation infrastructure and 120 kilometres of protective fencing across the four target hubs, to facilitate the rehabilitation and maintenance of degraded landscapes and enhance ecosystem services related to dune stabilisation and the supply of natural resources.</t>
    </r>
  </si>
  <si>
    <r>
      <t xml:space="preserve">Sub-activity 2.1.1.1. </t>
    </r>
    <r>
      <rPr>
        <sz val="11"/>
        <rFont val="Arial"/>
        <family val="2"/>
      </rPr>
      <t xml:space="preserve">Support CTCs to co-develop commune-level land rehabilitation plans in collaboration with village-level stakeholders, members of project management teams and DREDD representatives.   </t>
    </r>
  </si>
  <si>
    <r>
      <t xml:space="preserve">Sub-activity 2.1.1.2. </t>
    </r>
    <r>
      <rPr>
        <sz val="11"/>
        <rFont val="Arial"/>
        <family val="2"/>
      </rPr>
      <t>Install ~2,123 ha of dune-stabilisation infrastructure (1,138 ha of green belts; 985 ha of biological and mechanical dune-fixation infrastructure) at strategic sites across the four target hubs — to protect critical areas against the impacts of sand inundation.</t>
    </r>
  </si>
  <si>
    <r>
      <t>Sub-activity 2.1.1.3.</t>
    </r>
    <r>
      <rPr>
        <sz val="11"/>
        <rFont val="Arial"/>
        <family val="2"/>
      </rPr>
      <t xml:space="preserve"> Install ~120 km of fence lines around dune-fixation sites established under sub-activity 2.1.1.2, to protect biological dune-fixation infrastructure against damage from livestock and unsustainable use of natural resources. </t>
    </r>
  </si>
  <si>
    <r>
      <t xml:space="preserve">Sub-activity 2.1.1.4. </t>
    </r>
    <r>
      <rPr>
        <sz val="11"/>
        <rFont val="Arial"/>
        <family val="2"/>
      </rPr>
      <t>Train livestock herders within the target communes to implement climate-resilient livestock management practices, such as rotational grazing, transhumance, supplementary feeding, agro-silvopasture, collective herding and 'livestock collar re-seeding'.</t>
    </r>
  </si>
  <si>
    <r>
      <t>Output 2.2.</t>
    </r>
    <r>
      <rPr>
        <sz val="11"/>
        <color theme="1"/>
        <rFont val="Arial"/>
        <family val="2"/>
      </rPr>
      <t xml:space="preserve"> Improved access to water for agricultural and land rehabilitation activities.</t>
    </r>
  </si>
  <si>
    <r>
      <t>Activity 2.2.1.</t>
    </r>
    <r>
      <rPr>
        <sz val="11"/>
        <color theme="1"/>
        <rFont val="Arial"/>
        <family val="2"/>
      </rPr>
      <t xml:space="preserve"> Establish community-managed Water User Groups (WUGs) and commune-level water monitoring and regulation plans.</t>
    </r>
  </si>
  <si>
    <r>
      <t xml:space="preserve">Sub-activity 2.2.1.1. </t>
    </r>
    <r>
      <rPr>
        <sz val="11"/>
        <rFont val="Arial"/>
        <family val="2"/>
      </rPr>
      <t>Establish community-managed Water User Groups (WUGs) within each target commune and train members to implement and maintain water-related activities introduced under Activity 2.2.2 of the project.</t>
    </r>
  </si>
  <si>
    <r>
      <t xml:space="preserve">Sub-activity 2.2.1.2. </t>
    </r>
    <r>
      <rPr>
        <sz val="11"/>
        <rFont val="Arial"/>
        <family val="2"/>
      </rPr>
      <t>Support CTCs to raise awareness about sustainable water usage and co-develop commune-level water monitoring and regulation plans in collaboration with WUGs.</t>
    </r>
  </si>
  <si>
    <r>
      <t xml:space="preserve">Sub-activity 2.2.1.3. </t>
    </r>
    <r>
      <rPr>
        <sz val="11"/>
        <rFont val="Arial"/>
        <family val="2"/>
      </rPr>
      <t>Conduct hydrogeological studies (or consult existing hydrogeological maps, where applicable) and engage with WUG members to identify priority sites to install water-management infrastructure (Sub-activities 2.2.2.1, 2.2.2.2 and 2.2.3.1) in each target commune. Summarise the finding of site selection into a commune-level water management plan for each priority commune.</t>
    </r>
  </si>
  <si>
    <r>
      <t>Activity 2.2.2.</t>
    </r>
    <r>
      <rPr>
        <sz val="11"/>
        <color theme="1"/>
        <rFont val="Arial"/>
        <family val="2"/>
      </rPr>
      <t xml:space="preserve"> Install physical water management infrastructure — including weirs, gabions, dikes, stone- and earthen bunds, groundwater dams and water access points for pastoralists. </t>
    </r>
  </si>
  <si>
    <r>
      <rPr>
        <b/>
        <sz val="11"/>
        <rFont val="Arial"/>
        <family val="2"/>
      </rPr>
      <t>Sub-activity 2.2.2.1.</t>
    </r>
    <r>
      <rPr>
        <sz val="11"/>
        <rFont val="Arial"/>
        <family val="2"/>
      </rPr>
      <t xml:space="preserve">  Install physical water management infrastructure — including weirs, gabions, dikes, stone- and earthen bunds, groundwater dams and solar-powered pumps — at strategic sites within each target commune, to improve water access and availability, increase groundwater recharge rates and reduce flood risks in the target hubs.</t>
    </r>
  </si>
  <si>
    <r>
      <rPr>
        <b/>
        <sz val="11"/>
        <rFont val="Arial"/>
        <family val="2"/>
      </rPr>
      <t xml:space="preserve">Sub-activity 2.2.2.2. </t>
    </r>
    <r>
      <rPr>
        <sz val="11"/>
        <rFont val="Arial"/>
        <family val="2"/>
      </rPr>
      <t>Establish water access points along historical transhumance routes and in graras, to improve nomadic pastoralists' access to water and reduce sedentarisation among livestock herders.</t>
    </r>
  </si>
  <si>
    <r>
      <t>Activity 2.2.3.</t>
    </r>
    <r>
      <rPr>
        <sz val="11"/>
        <color theme="1"/>
        <rFont val="Arial"/>
        <family val="2"/>
      </rPr>
      <t xml:space="preserve"> Install 12 rainwater-harvesting systems and communal cisterns (5,000 L per system) within each target commune</t>
    </r>
  </si>
  <si>
    <r>
      <rPr>
        <b/>
        <sz val="11"/>
        <rFont val="Arial"/>
        <family val="2"/>
      </rPr>
      <t>Sub-activity 2.2.3.1.</t>
    </r>
    <r>
      <rPr>
        <sz val="11"/>
        <rFont val="Arial"/>
        <family val="2"/>
      </rPr>
      <t xml:space="preserve"> Install 12 rainwater-harvesting systems and communal cisterns (5000L per system) within each target commune across the four hubs, to improve access to water for agricultural livelihood activities.</t>
    </r>
  </si>
  <si>
    <r>
      <rPr>
        <b/>
        <sz val="11"/>
        <rFont val="Arial"/>
        <family val="2"/>
      </rPr>
      <t xml:space="preserve">Output 2.3. </t>
    </r>
    <r>
      <rPr>
        <sz val="11"/>
        <rFont val="Arial"/>
        <family val="2"/>
      </rPr>
      <t xml:space="preserve">Climate-resilient agricultural livelihoods based on sustainable land- and natural resource-use are developed and/or strengthened to reduce land degradation and support climate-resilient income-generation by community members within the target regions. </t>
    </r>
  </si>
  <si>
    <r>
      <t>Activity 2.3.1.</t>
    </r>
    <r>
      <rPr>
        <sz val="11"/>
        <rFont val="Arial"/>
        <family val="2"/>
      </rPr>
      <t xml:space="preserve"> Facilitate the adoption of climate-smart agricultural practices and sustainable diversified livelihoods by farmers and community members within the target communes..</t>
    </r>
  </si>
  <si>
    <r>
      <t xml:space="preserve">Sub-activity 2.3.1.1. </t>
    </r>
    <r>
      <rPr>
        <sz val="11"/>
        <rFont val="Arial"/>
        <family val="2"/>
      </rPr>
      <t>Establish nurseries and seed banks in each target commune to supply activities related to land rehabilitation and dune fixation (Activity 2.1.1), CSA practices (Sub-activity 2.3.1.3) and horticultural activities such as market-gardening (Sub-activity 2.3.1.4).</t>
    </r>
  </si>
  <si>
    <r>
      <t xml:space="preserve">Sub-activity 2.3.1.2. </t>
    </r>
    <r>
      <rPr>
        <sz val="11"/>
        <rFont val="Arial"/>
        <family val="2"/>
      </rPr>
      <t xml:space="preserve">Collect cuttings and seeds from agricultural crop species, as well as indigenous grass and tree species, to serve as stock material for nurseries and seed banks established under Sub-activity 2.3.1.1. </t>
    </r>
  </si>
  <si>
    <r>
      <t xml:space="preserve">Sub-activity 2.3.1.3. </t>
    </r>
    <r>
      <rPr>
        <sz val="11"/>
        <rFont val="Arial"/>
        <family val="2"/>
      </rPr>
      <t>Train farmers within the target communes to practice climate-resilient crop agriculture and use improved agricultural technologies, including drip irrigation kits, solar powered pumps, integrated pest management strategies, zai pits and half-moons.</t>
    </r>
  </si>
  <si>
    <r>
      <t xml:space="preserve">Sub-activity 2.3.1.4. </t>
    </r>
    <r>
      <rPr>
        <sz val="11"/>
        <rFont val="Arial"/>
        <family val="2"/>
      </rPr>
      <t xml:space="preserve">Conduct site visits and provide technical support to facilitate the uptake of sustainable livelihood activities — including horticulture (market-gardening), apiculture, poultry farming, livestock feed production and the collection and sale of non-timber forest products — by community members within the target communes. </t>
    </r>
  </si>
  <si>
    <r>
      <t xml:space="preserve">Sub-activity 2.3.1.5. </t>
    </r>
    <r>
      <rPr>
        <sz val="11"/>
        <rFont val="Arial"/>
        <family val="2"/>
      </rPr>
      <t>Supply farmers and horticulturalists with water-efficient irrigation equipment and climate-resilient crop varieties to support the uptake of agricultural activities adopted under Sub-activities 2.3.1.3 and 2.3.1.4.</t>
    </r>
  </si>
  <si>
    <r>
      <t>Sub-activity 2.3.1.6.</t>
    </r>
    <r>
      <rPr>
        <sz val="11"/>
        <rFont val="Arial"/>
        <family val="2"/>
      </rPr>
      <t xml:space="preserve"> Improve access to urban markets and develop value chains for offloading agricultural produce within each target commune, to enhance income generated from sustainable agricultural livelihoods.</t>
    </r>
  </si>
  <si>
    <r>
      <t>Sub-activity 2.3.2.1.</t>
    </r>
    <r>
      <rPr>
        <sz val="11"/>
        <rFont val="Arial"/>
        <family val="2"/>
      </rPr>
      <t xml:space="preserve"> Establish and operationalise a Small Grants Facility (SGF) to facilitate continued investment in upscaling successful EbA activities and sustainable livelihoods introduced under the projec</t>
    </r>
    <r>
      <rPr>
        <b/>
        <sz val="11"/>
        <rFont val="Arial"/>
        <family val="2"/>
      </rPr>
      <t xml:space="preserve">t. </t>
    </r>
  </si>
  <si>
    <t>A20</t>
  </si>
  <si>
    <t>A21</t>
  </si>
  <si>
    <t>A22</t>
  </si>
  <si>
    <t>A23</t>
  </si>
  <si>
    <t>A24</t>
  </si>
  <si>
    <t>A25</t>
  </si>
  <si>
    <t>A26</t>
  </si>
  <si>
    <t>Subtotal GCF cost for Output 1.2</t>
  </si>
  <si>
    <t>Subtotal GoM cost for Output 1.2</t>
  </si>
  <si>
    <t>Subtotal Output 1.2</t>
  </si>
  <si>
    <t>Subtotal GCF cost for Output 2.3</t>
  </si>
  <si>
    <t>Subtotal GoM cost for Output 2.3</t>
  </si>
  <si>
    <t>Subtotal Output 2.3</t>
  </si>
  <si>
    <t>Costs for the construction of sixteen groundwater dams, designed and supervised by a hydrological engineer. Total costs include labour, equipment and materials and costs of conducting an EIA at each site = US$70,000 (Reference: https://www.emergency-wash.org/water/en/technologies/technology/groundwater-dam; https://thewaterproject.org/)
It is estimated to cost ~US5,000 per 1,000 m3 of storage capacity; therefore, for US$50,000, one could build a sub-surface dam with a capacity of ~10,000 m3 (Reference: https://www.samsamwater.com/library/Sand_dam_manual_FINAL.pdf; https://thewaterproject.org/) 
A 15% contingency cost has been added to account for changes in foreign exchange rates.</t>
  </si>
  <si>
    <t>Workshops</t>
  </si>
  <si>
    <t>Costs of an official public events to launch the SGF in each target hub, including presenting the fund's strategic plan and vision. Launch events will take place in Aoujeft, Rachid, Tamchekett and Néma. Included in the costs will be the printing of communications material, refreshments and snacks, and the transport of participants from the project's three target watersheds. It is envisaged that at least three such events will take place in each target hub to ensure all stakeholders are aware of the SGF.</t>
  </si>
  <si>
    <t xml:space="preserve">Cost of procuring two national knowledge management experts to prepare and present training material for both government officials and CTC members on how to use existing climate knowledge management platforms. Experts will each be allocated 5 days to develop training material and 5 days to travel-to and conduct training within each of the four target hubs (travel costs are allocated on a separate budgetline). </t>
  </si>
  <si>
    <r>
      <t>Sub-activity 1.2.1.1.</t>
    </r>
    <r>
      <rPr>
        <sz val="11"/>
        <color theme="1"/>
        <rFont val="Arial"/>
        <family val="2"/>
      </rPr>
      <t xml:space="preserve"> Hold bi-annual gender-inclusive discussions between representatives from the PMU, CTCs and communities in the target hubs on project intervention successes and challenges, and develop these discussions into community engagement reports.</t>
    </r>
  </si>
  <si>
    <r>
      <t>Sub-activity 1.2.1.2</t>
    </r>
    <r>
      <rPr>
        <sz val="11"/>
        <color theme="1"/>
        <rFont val="Arial"/>
        <family val="2"/>
      </rPr>
      <t>. Identify lessons learned and best practices used in project interventions, and develop these into implementation guides and best practice reports.</t>
    </r>
  </si>
  <si>
    <t xml:space="preserve">Costs for contracting a policy expert to convene a 2-day workshop in each target hub. Costs will include: i) 3 days to prepare the content of workshops (remotely); ii) a total of 12 days for in-country travelling and supporting climate change integration (including presenting policy briefs to stakeholders) in each target hub. </t>
  </si>
  <si>
    <t xml:space="preserve">Cost of contracting a local knowledge management expert to attend gender-inclusive discussions with CTCs and target communitities on project intervention successes and challenges (8 days per year).  Following these meetings, the knowledge management expert will then compile their findings from each meeting into a community engagement report. 2 days per meeting is allocated to compiling these reports, totalling an additional 16 days per year. </t>
  </si>
  <si>
    <t>Cost of contracting a local knowledge management expert to identify lessons learned and best practices used in project interventions, and develop these into implementation guides and best practice reports. This will be based on the infromation contained in the community engagement reports compiled under Sub-Activity 1.2.1.1.  The expert is allocated 16 days per year to compile these guides and reports.</t>
  </si>
  <si>
    <t>Cost for local knowledge management expert to package knowledge in the MEDD adaptation knowledge management platform into formats that are accessible at local level. 30 days per year are allocated to this.</t>
  </si>
  <si>
    <t>Cost for local knowledge management expert to manage knowledge products created through the project and upload them on the MEDD adaptation knowledge management platform. 5 days per year are allocated for this.</t>
  </si>
  <si>
    <t>Cost of 3-day training sessions at each of the project's 12 target communes, to train CTC members and beneficiaries on how install and maintain biological and mechanical dune-fixation infrastructure.  Costs will include venue hire, printing of restoration protocols, PPE for participants, as well as refreshments and lunch (totalling US$1,500 per day).</t>
  </si>
  <si>
    <t>B5 (ii)</t>
  </si>
  <si>
    <t xml:space="preserve">Costs of workshops for four extension officers to train livestock herders within the target communes on how to implement climate-resilient livestock management practices. 
Training will be provided at the 12 communes via annual three-day training workshops starting from year 2 of project implementation (12 communes x 3 days x 5 years = 180 days). Cost for a one-day workshop for 50 people is estimated at US$1,500, including printed material, venue hire, tea, lunch and refreshments. 
</t>
  </si>
  <si>
    <t xml:space="preserve">Cost of four extension officers to present the trainings. Trainings will be presented by Extension Officers from the MEDD, Ministry of Rural Development (MDR), Ministry of Livestock Farming (MLF) and the Ministry of Agriculture. A national livestock specialist from the Ministry of Livestock (MLF) will engage with local community members and collaboratively develop a rotational grazing strategy for each priority commune. The costs of in-kind consulting fees for the four extension officers = 4 x 180 days = 720 days. 720 x US$100 per day = US$72,000
</t>
  </si>
  <si>
    <t>Costs of 3-day training sessions at each of the project's 12 target communes. Costs will include printing of handbooks, venue hire, refreshments and lunch.</t>
  </si>
  <si>
    <t>Staff costs for two extension officers from the Ministry of Water and Sanitation (MHA) to develop training material (5 days each) and deliver training at each 3-day workshop (36 days), with support from the independent National Consultant (hydrogeological expert). Training material will include information on how to implement and maintain water-related activities introduced under the project. 
1 staff member = 5 days + 36 days = 41 days
2 staff members = 82 days</t>
  </si>
  <si>
    <t xml:space="preserve">Costs of workshops for CTCs, in collaboration with DREDDs and WUG members, to facilitate training of 150 people per priority commune on: i) plumbing; ii) monitoring of water use; iii) monitoring of water quality; and iv) engaging with other community members to reduce wastage and demand — at religious centres, community centres, schools and farms. 50% of the participants will be women, who will also be trained as water-wise ambassadors to assist with awareness raising. Costs include a 3-day workshop per commune (50 people per workshop) per year over years 3, 4 and 5. Costs will include transport for participants, venues, training materials, refreshments and lunch. </t>
  </si>
  <si>
    <t>Costs for CTCs, with support from DREDD representatives and WUG members, to raise awareness about community-based water-use monitoring and management plans, to reduce water wastage and demand. This will include collecting information on water resource management interventions that have been demonstrated to be effective in areas with similar water scarcity problems and climatic conditions, which will be presented to local communities during the awareness raising activities. US$25,000 is allocated to awareness-raising (US$2,000 per hub) annually from years 3 to 6.</t>
  </si>
  <si>
    <t xml:space="preserve">Technical support provided by DREDD </t>
  </si>
  <si>
    <t>C12 (ii)</t>
  </si>
  <si>
    <t>Cost to provide annual three-day training workshops for climate smart agriculture and the use of improved agricultural technologies in each of the 12 target communes (for the last 5 years of the project). The training will target representatives of CTCs, FBOs and WFGs.</t>
  </si>
  <si>
    <t>Cost of provision of training on climate smart agriculture and the use of improved agricultural technologies by expert agronomists from the Ministry of Agriculture and Extension Officers from the MEDD and Ministry of Rural Development (MDR.)</t>
  </si>
  <si>
    <t>Cost of three-day training workshops in each of the 12 target communes for: i) best practices for running and establishing businesses relating to sustainable livelihoods activities; ii) the establishment of financial mechanisms to facilitate payment for their services; and iii) generating plans for regular transport to urban centres for offloading of produce. Training will be directed at local community members, including representatives of CTCs, FBOs and WFGs.</t>
  </si>
  <si>
    <t>DREDD technical support and supervision per hub</t>
  </si>
  <si>
    <t xml:space="preserve">Cost for DREDD representatives to provide technical support and supervision to teams installing boreholes and solar-powered groundwater pumps. </t>
  </si>
  <si>
    <t>B7 (ii)</t>
  </si>
  <si>
    <t xml:space="preserve">Cost of annual one-day workshop for 50 people (including two MEDD extension officers, three PMU staff and 45 CTC members) in each target hub, to train members of CTCs on implementing and managing project activities and faciliting knowledge-sharing between regional- and local-level stakeholders, using the training material povided developed by the National Consultant. Costs per day are US$1,500 (including venue hire, tea, lunch and refreshments). </t>
  </si>
  <si>
    <t>A8 (ii)</t>
  </si>
  <si>
    <t xml:space="preserve"> Input costs for two extension officers from the MEDD to conduct a 3-day training session at each of the project's 12 target communes, to train CTC members and beneficiaries on how to install and maintain biological and mechanical dune-fixation infrastructure. Training material will include information relating to the establishment and maintenance of ecosystem restoration and dune-fixation interventions. Costs will include wages for two extension officers (in-kind at US$100 per day per person).</t>
  </si>
  <si>
    <t>Travel expenses for a financial expert to travel to each target commune, to deliver three-day training workshops to local community members and community representatives. Costs include: i) a daily subsistence allowance (DSA) of US$62/day/person; ii) fuel costs of US$150/day; and iii) vehicle rental costs of US$200/day. One additional travel-day is allocated for each commune.</t>
  </si>
  <si>
    <t xml:space="preserve">In-kind consulting cost ($400/day) for a financial expert from a relevant national government ministry to prepare and provide three-day training workshops in each of the 12 target communes for: i) best practices for running and establishing businesses relating to sustainable livelihoods activities; ii) the establishment of financial mechanisms to facilitate payment for their services; and iii) generating plans for regular transport to urban centres for offloading of produce. The budget includes 10 days to prepare the training material, and 48 days for delivering workshops. </t>
  </si>
  <si>
    <t xml:space="preserve">Travel expenses for two local knowledge management experts to conduct one-day training workshops for CTCs and government representatives in each target hub (4 workshops, and an additional day for preparation). Costs include: i) a daily subsistence allowance (DSA) of US$62/day/person; ii) fuel costs of US$150/day; and iii) vehicle rental costs of US$200/day. </t>
  </si>
  <si>
    <t>Domestic travel expenses for a National Consultant (Policy Expert) to conduct two-day participatory workshops within each target hub. Costs include: i) a daily subsistence allowance (DSA) of US$62/day/person; ii) fuel costs of US$150/day; and iii) vehicle rental costs of US$200/day. The cost includes 1 travel day for each hub.</t>
  </si>
  <si>
    <t xml:space="preserve">Travel expenses for three people (members of the PMU and Knowledge management expert) to visit each target hub on a bi-annual basis to hold gender-inclusive discussions with CTCs and target communitities on project intervention successes and challenges. Costs include: i) a daily subsistence allowance (DSA) of US$62/day/person; ii) fuel costs of US$150/day; and iii) vehicle rental costs of US$200/day. Costs include 2 days for each hub.  </t>
  </si>
  <si>
    <t>Travel expenses for three members of the PMU (including a Gender Specialist and ESS Specialist) to visit each target hub on an annual basis, to conduct one-day training workshops for CTCs, in collaboration with MEDD extension officers. Costs include: i) a daily subsistence allowance (DSA) of US$62/day/person; ii) fuel costs of US$150/day; and iii) vehicle rental costs of US$200/day. Two days per hub (one for travel, one for workshop) have been included.</t>
  </si>
  <si>
    <t>Travel expenses for the local consultant (ecologist) to visit each target hub to conduct baseline assessments on the ecosystems across the 12 priority communes. Costs include: i) a daily subsistence allowance (DSA) of US$62/day/person; ii) fuel costs of US$150/day; and iii) vehicle rental costs of US$200/day. Costs include 2 days for each commune.</t>
  </si>
  <si>
    <t>Travel expenses for two extension officers from the MEDD to each target commune, to deliver three-day training workshops for CTCs. Costs include: i) a daily subsistence allowance (DSA) of US$62/day/person; ii) fuel costs of US$150/day; and iii) vehicle rental costs of US$200/day. An additional travel day is allocated for each commune.</t>
  </si>
  <si>
    <t>Travel expenses for one extension officer from the MEDD to each target commune, to deliver a three-day training workshop for community nursery management practices. Costs include: i) a daily subsistence allowance (DSA) of US$62/day/person; ii) fuel costs of US$150/day; and iii) vehicle rental costs of US$200/day. One additional travel day per commune is included.</t>
  </si>
  <si>
    <t>Travel expenses for one extension officer from the Ministry of Agriculture to each target commune, to deliver a three-day training workshop for community nursery management practices. Costs include: i) a daily subsistence allowance (DSA) of US$62/day/person; ii) fuel costs of US$150/day; and iii) vehicle rental costs of US$200/day. One additional travel day per commune is included.</t>
  </si>
  <si>
    <t>Cost of one-day workshop for 50 people (including two knowledge management experts, two DREDD representatives and 6 CTC representatives) in each target hub, to train relevant stakeholders on how best to use existing knowledge management platforms developed under the NAP. Costs per one-day workshop are US$1,500 (including venue hire, tea, lunch and refreshments).</t>
  </si>
  <si>
    <t xml:space="preserve">Travel expenses for national consultant (Financial Expert) to conduct one-day training workshops for CTCs in each target hub, in collaboration with members of the PMU. Costs will include: i) a daily subsistence allowance (DSA) of US$62/day/person; ii) fuel costs of US$150/day; and iii) vehicle rental costs of US$200/day. </t>
  </si>
  <si>
    <t>A26 (ii)</t>
  </si>
  <si>
    <t xml:space="preserve">Cost of procuring a national consultant or NGO (environmental management consultant) to prepare standardised training material for annual one-day workshops on: i) EbA solutions and physical measures for dune fixation and rehabilitation of degraded ecosystems; ii) climate-smart agricultural and livestock practices; iii) diversified and natural resource-based livelihoods; iv) climate-resilient water resource management; and v) channelling funds generated from sustainable livelihoods and ecosystem services towards reinvestment in the operation, maintenance and upscaling of successful project interventions. National Consultant is to spend 10 days developing training material remotely. Training material will be passed on to the PMU and extension officers from MEDD, for use in training CTC members on an annual basis. </t>
  </si>
  <si>
    <t>Travel expenses for two extension officers from the MEDD to visit each target hub on an annual basis, to conduct one-day training workshops for CTCs, in collaboration with members of the PMU. Costs will include: i) a daily subsistence allowance (DSA) of US$62/day/person; ii) fuel costs of US$150/day; and iii) vehicle rental costs of US$200/day. Two days per hub (one for travel, one for workshop) have been included.</t>
  </si>
  <si>
    <t xml:space="preserve">Input costs for 2 extension officers from MEDD to conduct the annual one-day training workshops for CTC members, in each target hub (in collaboration with PMU members). 2 days per hub / year / person have been allocated, to include also travel. </t>
  </si>
  <si>
    <t>Input costs for a DREDD officer in each hub to disseminate locally-accessible knoweldge products in target and non-target communes to catalyze upscaling (with support from the CTCs). 2 days per hub per year have been budgeted.</t>
  </si>
  <si>
    <t>A21 (ii)</t>
  </si>
  <si>
    <t>GCF grant contribution to input costs for implementation of dune stabilisation infrastructure interventions (biological and mechanical) at project sites according to rehabilitation plans developed. 
This includes all equipment needed, as follows (unit costs per hectare):
Plant material for wattle: US$0.5 / m x 1,000m = US$500 / ha
Transport of plant material: US$300 / delivery x 3 deliveries = US$900 / ha
Water: US$2 / m3 x 32 m3 = US$64 / ha
Plastic bags: US$30 / ha
Seeds: US$26 / ha
Total cost per hectaire: US$ 1,520
Total area: 1,218 ha 
Total cost = US$1,520 * 1,218 = US$1,851,360
A 15% contingency has been added, to account for pricing and foreign exchange fluctuations.</t>
  </si>
  <si>
    <t>Government co-finance contribution to input costs for implementation of dune stabilisation infrastructure interventions (biological and mechanical) at project sites, according to rehabilitation plans developed. 
This includes all equipment needed, as detailed under previous line.
Cost per hectare = US$1,520
Total area : 905 ha 
Total cost = US$1,520 * 905 = US$1,375,600
A 15% contingency has been added, to account for pricing and foreign exchange fluctuations.</t>
  </si>
  <si>
    <t>Cost of labour for dune stabilisation infrastructure interventions, as follows (unit costs per hectare):
Installation of wattle: US$0.5 / m x 1,000m = US$500 / ha
Plant production in nurseries: US$0.3 / plant x 500 plants = US$150 / ha
Planting: US$0.1 / plant x 400 plants: US$40 / ha
Watering: US$10 / man work day x 20 days = US$200 / ha
Total labour cost: $890 / hectare. 
Labour will be sourced from local communities, and all labourers will be procured by members of CTCs.</t>
  </si>
  <si>
    <t xml:space="preserve">Labour costs to maintain and operate nurseries over the timespan of the project. Assuming 2 persons full time are required for each nursery, at $10 / day / person (365 days x 2 persons x 12 nurseries x 5 years = 43,800 days x US$10).  </t>
  </si>
  <si>
    <t xml:space="preserve">Labour costs to maintain and operate seed banks over the timespan of the project. Assuming 2 persons full time are required for each seed bank, at $10 / day / person (365 days x 2 persons x 12 seed banks x 5 years = 43,800 days x US$10).  </t>
  </si>
  <si>
    <t>Part-time labour cost for collection of cuttings and seeds from agricultural crop species by members of CTCs under the supervision of CTCs to serve as stock material for nurseries and seed banks. Assuming 5 days per month of labour required for each commune, at $10 / day (5 days x 12 months x 12 nurseries x 5 years = 3,600 days x $US10)</t>
  </si>
  <si>
    <t xml:space="preserve">Annual maintenance costs for earthen dykes, stone gabions and stone bunds, including materials and labour from year 5 to 6. US$ 5,000 per hub per year; therefore, US$20,000 per year. </t>
  </si>
  <si>
    <t>Cubic meter</t>
  </si>
  <si>
    <t xml:space="preserve">Costs for the construction of 8 kilometres of stone gabions across the four target hubs, in sites identified by the hydrogeological expert and WUG members. Costs include all equipment, material and transport costs (US$40 / m3) and labour costs (US$65 / m3)
(Reference: https://www.nature.com/articles/s41598-022-22331-9) </t>
  </si>
  <si>
    <t xml:space="preserve">Provide climate-resilient seed varietals to each priority commune for commencement of climate-smart agriculture operations. Seedling costs are estimated at US$5 per seedling. Approximately 100 seedlings will be provided per household, and the project will target 15 households in each commune. Total cost = US$5*100*15*12 = US$90,000.
A 10% contingency has been added, to account for pricing and foreign exchange fluctuations.
This sub-activity will be delivered by a contracted NGO, in collaboration with CTCs. 
</t>
  </si>
  <si>
    <t>O&amp;M costs are estimated at US$15,500.00 per commune per year for dune stabilisation inputs, infrastructure and equipment (including replanting to replace lost plants, labour and the replacement of tools, etc)</t>
  </si>
  <si>
    <t>5 ha parcel</t>
  </si>
  <si>
    <t>Maintenance costs of 10% of fencing costs to replace broken equipment and maintain fence lines.</t>
  </si>
  <si>
    <t>Costs for extension officers from the DREDDs to: i) provide technical support for restoration interventions; and ii) work with CTCs to hire and oversee labourers. Cost of providing expert technical support is estimated to be approximately 10% of labour costs for dune stabilization.</t>
  </si>
  <si>
    <t>C54 (ii)</t>
  </si>
  <si>
    <t>Capacity building</t>
  </si>
  <si>
    <t>Costs of contracting a suitable consultancy to undertake capacity building for potential small grant recipients. The consultancy will be contracted by MEDD during the project implementation phase. The consultancy will work with potential sub-grant recipients to: i) strengthen organisational and financial management capacity; ii) increase their capacity to develop and submit project concepts so as to access funds from the SGF; and iii) improve their capacity successfully implement EbA measures funded through the SGF. Costs include professional time, travel and meeting costs.</t>
  </si>
  <si>
    <t>Pool of funds established for disbursing grants under the SGF. Small Grants disbursed under the SGF and on-granting facility will have a maximum value of US$25,000 per sub-project. This amount is based on the average grant size of the GEF SGF, which conducts similar work in developing countries (Reference: https://www.thegef.org/what-we-do/topics/gef-small-grants-programme). Each year, a maximum of five projects per commune will be funded through the SGF. 
Maximum number of grants disbursed per year = 5 x 12 communes = 60
Maximum number of grants disbursed over project lifecycle = 60 x 4 years = 240</t>
  </si>
  <si>
    <r>
      <t xml:space="preserve">Activity 2.3.2. </t>
    </r>
    <r>
      <rPr>
        <sz val="11"/>
        <rFont val="Arial"/>
        <family val="2"/>
      </rPr>
      <t>Establish a small grants facility to facilitate continued investment in upscaling successful EbA activities and sustainable livelihoods.</t>
    </r>
  </si>
  <si>
    <r>
      <t xml:space="preserve">Sub-activity 2.3.2.2. </t>
    </r>
    <r>
      <rPr>
        <sz val="11"/>
        <rFont val="Arial"/>
        <family val="2"/>
      </rPr>
      <t>Prepare budget briefs for directing regional government funds into the SGF established under Sub-activity 2.3.2.1. to promote government investment in CCA.</t>
    </r>
  </si>
  <si>
    <r>
      <t xml:space="preserve">Sub-activity 2.3.2.3. </t>
    </r>
    <r>
      <rPr>
        <sz val="11"/>
        <rFont val="Arial"/>
        <family val="2"/>
      </rPr>
      <t>Develop monitoring and reporting mechanisms to ensure the traceability and risk management of funds between the SGF and local-level stakeholders.</t>
    </r>
  </si>
  <si>
    <r>
      <t>Sub-activity 1.2.2.1</t>
    </r>
    <r>
      <rPr>
        <sz val="11"/>
        <color theme="1"/>
        <rFont val="Arial"/>
        <family val="2"/>
      </rPr>
      <t>. Upload knowledge products (e.g. implementation guides, monitoring and evaluation reports, community engagement reports, policy briefs, lessons learned and best practice reports) onto the NAP knowledge management platform.</t>
    </r>
  </si>
  <si>
    <r>
      <t xml:space="preserve">Sub-activity 1.2.2.2. </t>
    </r>
    <r>
      <rPr>
        <sz val="11"/>
        <color theme="1"/>
        <rFont val="Arial"/>
        <family val="2"/>
      </rPr>
      <t>Package knowledge in the NAP knowledge management platform into formats that are accessible at local level (e.g. brochures, TV and radio programmes, awareness-raising materials).</t>
    </r>
  </si>
  <si>
    <t>Cost to employ four Regional Project Coordinators (one per target hub), to oversee the establishment of CTCs, coordinate with the DREDDs and sit in on all technical and coordination meetings. These regional coordinators (together with the respective administrative officer) will act as the Secretariats for the CTCs, and will also assist to coordinate all other project activities (including under Outcome 2) that will take place within their target hub. 
Annual salary for each Regional Project Coordinator is US$40,000 (US$3,333 / month) x 4 hubs = US$160,000 total / year.</t>
  </si>
  <si>
    <t>Cost to employ four regional Administrative Officers (one per target hub), to assist regional Project Coordinators with project management tasks within each hub. These administrative officers (together with the respective regional project coordinator) will act as the Secretariats for the CTCs, and will also assist the regional project coordinator to faciliatate the implementation all other project activities (including under Outcome 2) that will take place within their target hub.
Annual salary for each Regional Administrative Officer is US$20,000 (US$1,667 / month) x 4 hubs = US$80,000 total / year.</t>
  </si>
  <si>
    <t>Input costs for materials and labour required to install fence lines around dune fixation infrastructure at project sites, in accordance with the rehabilitation plans developed. This will be provided by a contractor. 
Costs are calculated on the basis of 5 hectare (500m x 100m) parcels fenced, i.e. with a perimeter of 1,200m each. 
For each 5ha parcel fenced (i.e. 1,200m of fencing), the costs are:
Materials: US$5,734 
Transport of materials: US$240
Labour: US$195
Total: US$6,169
A 10% contingency has been added to the total cost, to account for pricing and foreign exchange fluctuations.</t>
  </si>
  <si>
    <t>Total M&amp;E budget</t>
  </si>
  <si>
    <t>M&amp;E Budget %</t>
  </si>
  <si>
    <t>Total GCF contribution</t>
  </si>
  <si>
    <t>Costs of disseminating locally-accessible knowledge products in target and non-target communes across the four project wilayahs to catalyze upscaling, with support from the DREDDs and CTCs. These costs include printing costs (for brochures, pamphlets, posters and guides). They also include the costs associated with knowledge-sharing events, and with information sharing through radio stations and TV programmes.</t>
  </si>
  <si>
    <r>
      <t>Cost of bi-annual one-day workshops to hold gender-inclusive discussions with CTCs and target communities on project intervention successes and challenges.</t>
    </r>
    <r>
      <rPr>
        <b/>
        <sz val="10"/>
        <rFont val="Arial"/>
        <family val="2"/>
      </rPr>
      <t xml:space="preserve"> </t>
    </r>
    <r>
      <rPr>
        <sz val="10"/>
        <rFont val="Arial"/>
        <family val="2"/>
      </rPr>
      <t>Costs per day are US$1,500 (including venue hire, tea, lunch and refreshments). 2 meetings per target hub per year totals 8 per year, i.e. 48 meetings (=days) over 6-year project duration.</t>
    </r>
  </si>
  <si>
    <t>Input costs for a DREDD officer in each hub to support the bi-annual one-day workshops to hold discussions with CTCs and target communities on project intervention successes and challenges. 2 days per workshop have been allocated, to include also travel time. 2 meetings per target hub per year totals 8 per year, i.e. 48 meetings = 96 days over 6-year project duration.</t>
  </si>
  <si>
    <t xml:space="preserve">Cost for a contracted financial expert or NGO to design an on-granting facility, with finalized sub-project selection criteria. In addition, this expert or NGO will develop the SGF’s policies, frameworks, guiding principles and straretgic plan (a long-term plan to guide the implementation of the fund). </t>
  </si>
  <si>
    <t>C50 (ii)</t>
  </si>
  <si>
    <t>Cost for a consultancy or NGO to provide capacity building to MEDD to strengthen its capabilities to design, execute and oversee the SGF. The consultancy will also provide technical backstopping to MEDD on these aspects throughout the implementation of the SGF.</t>
  </si>
  <si>
    <t>ESMP</t>
  </si>
  <si>
    <t>Cost of stakeholder engagements to guide the development and implementation of a strategic plan to operationalise the SGF, including CTC, DREDD and project partner consultations with relevant stakeholders, engagements with UNEP for technical support, aligning the SGF with the objectives of commune-level land rehabilitation plans and seeking long-term support from investors (including development agencies and the private sector).</t>
  </si>
  <si>
    <r>
      <t>Sub-activity 1.1.1.3.</t>
    </r>
    <r>
      <rPr>
        <sz val="11"/>
        <rFont val="Arial"/>
        <family val="2"/>
      </rPr>
      <t xml:space="preserve"> Train CTC members to use the National Adaptation Plan (NAP) knowledge management platform and facilitate the collection and dissemination of climate information and adaptation best practices by CTC members.</t>
    </r>
  </si>
  <si>
    <t>Regional Administrative Officer (4)</t>
  </si>
  <si>
    <t>Regional Project Coordinator (4)</t>
  </si>
  <si>
    <t xml:space="preserve">Implementation of Monitoring Plan (travel, stakeholder meetings etc.). The total cost for implementing the Monitoring Plan, as presented in Annex 11, is US$315,000 (excluding M&amp;E officer salaries). The total amount has been distributed across the six project implementation years in accordance with the project M&amp;E plan (Annex 11). </t>
  </si>
  <si>
    <t xml:space="preserve">Cost of contracting a policy expert to prepare four policy briefs (one per hub) for the integration of climate consideration and gender-responsiveness into sub-national policies, plans and budgets; the policy expert will be expected to prepare policy briefs remotely. </t>
  </si>
  <si>
    <t>Costs for two 2-day participatory workshops within each target hub for 50 people, including representatives from relevant governmental institutions, regional and communal councils, local municipalities, local communities and NGOs. Costs per day are US$1,500, including venue hire, tea, lunch and refreshments.</t>
  </si>
  <si>
    <t>Costs for contracted financial expert or NGO to establish a long-term monitoring and reporting mechanism for the Small Grants Facility (SGF), by developing and implementing a work plan that guides: i) the systematic execution of activities; ii) M&amp;E of activities; iii) communication of progress; and iv) improvement of the SGF via adaptive management. Results expected under this phase include an annual planning cycle that is aligned with the strategic plan, the ongoing implementation of interventions, development of a long-term strategy, routine review and communication of results as well as the application of corrective actions.</t>
  </si>
  <si>
    <t>Implementation of safeguards management plan (travel, stakeholder meetings, development of plans, training material, capacity assessments and building  etc.). The total cost for implementing the ESMP, as presented in Annex 6, is US$279,500. Disbursement for the ESMP is weighted towards the first year of implementation with the majority of additional plans being developed before activities get underway. Details on this budget are included in Annex 6.</t>
  </si>
  <si>
    <t>Cost for a contracted financial expert or NGO to develop a long-term financing strategy for the SGF based on channelling government funds towards investment in climate change adaptation via the SGF.  The long-term financing strategy will include a detailed model describing how the SGF will continue to channel finance into the Fund’s on-granting facility once GCF finance is no longer available post-project. This will include a detailed process for the handing over of management of the on-granting facility to the SGF’s governing partners. In addition, the development of the long-term financing strategy will consider how the SGF, once established and matured, could link to other financial instruments, such as EbA funds and development banks, which would contribute to ensuring long-term financial support for the fund. 
The long-term financing strategy of the SGF will be designed in line with the key principles presented below.
•	The sources and intended use of the funds will be clearly defined.
•	A mechanism for accountability will be established.
•	Transparency and scrutiny by fund members will be encouraged.
•	Mechanisms for minimizing administrative costs will be developed.
•	A clear mandate for using funds only for the purpose of the SGF will be established.
•	A clear and effective management structure will be developed and approved by all SGF members.</t>
  </si>
  <si>
    <t xml:space="preserve">Cost of contracting a National Consultant (Financial Expert) to review existing wilayah-level budgets to identify fiscal space and prepare budget briefs for directing regional government funds towards the project SGF on an annual basis. This cost will include: i) 30 days of budget reviews (~7.5 per wilayah); ii) 30 days of preparing budget briefs (~7.5 per wilayah); and 5 days to visit target hubs and present budget briefs in regional workshops. </t>
  </si>
  <si>
    <t>Costs for a 2-day participatory workshop within each target hub for 50 people, including representatives from relevant governmental institutions, local municipalities, local communities and NGOs. Costs per day are US$3,000, including venue hire, tea, lunch and refreshments.</t>
  </si>
  <si>
    <t xml:space="preserve">Monitoring and Evaluation Officer (full-time). </t>
  </si>
  <si>
    <t>Gender Officer (50% of salary)</t>
  </si>
  <si>
    <t>A6 (ii)</t>
  </si>
  <si>
    <t>50% contribution to project Gender Officer salary (with other 50% covered under M&amp;E budget). The Gender Officer will contribute to the planning and implementation of all relevant project activities.</t>
  </si>
  <si>
    <t>A6 (iii)</t>
  </si>
  <si>
    <t>50% contribution to Chief Techical Advisor (CTA) salary (with other 50% covered under PMC budget). The CTA will provide technical advice to support the planning, implementation and monitoring all project activities.</t>
  </si>
  <si>
    <t>Chief Technical Advisor (50% of salary)</t>
  </si>
  <si>
    <t xml:space="preserve">Gender Officer (full-time). 50% of the Gender Officer salary is allocate to this line, and the other 50% to activities (placed under Activity 1.1.1). </t>
  </si>
  <si>
    <t xml:space="preserve">Chief Technical Advisor (full-time). This position will be recruited as a UNEP National Officer. 50% of the Gender Officer salary is allocate to this line, and the other 50% to activities (placed under Activity 1.1.1).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</si>
</sst>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quot;R&quot;* #,##0.00_-;\-&quot;R&quot;* #,##0.00_-;_-&quot;R&quot;* &quot;-&quot;??_-;_-@_-"/>
    <numFmt numFmtId="165" formatCode="_-[$$-409]* #,##0_ ;_-[$$-409]* \-#,##0\ ;_-[$$-409]* &quot;-&quot;_ ;_-@_ "/>
    <numFmt numFmtId="166" formatCode="[$$-409]#,##0.00"/>
    <numFmt numFmtId="167" formatCode="_-[$$-409]* #,##0.00_ ;_-[$$-409]* \-#,##0.00\ ;_-[$$-409]* &quot;-&quot;??_ ;_-@_ "/>
    <numFmt numFmtId="168" formatCode="_-[$$-409]* #,##0_ ;_-[$$-409]* \-#,##0\ ;_-[$$-409]* &quot;-&quot;??_ ;_-@_ "/>
  </numFmts>
  <fonts count="16" x14ac:knownFonts="1">
    <font>
      <sz val="11"/>
      <color theme="1"/>
      <name val="Calibri"/>
      <family val="2"/>
      <scheme val="minor"/>
    </font>
    <font>
      <sz val="8"/>
      <name val="Calibri"/>
      <family val="2"/>
      <scheme val="minor"/>
    </font>
    <font>
      <sz val="11"/>
      <color theme="1"/>
      <name val="Calibri"/>
      <family val="2"/>
      <scheme val="minor"/>
    </font>
    <font>
      <sz val="10"/>
      <name val="Arial"/>
      <family val="2"/>
    </font>
    <font>
      <b/>
      <sz val="14"/>
      <name val="Arial"/>
      <family val="2"/>
    </font>
    <font>
      <sz val="11"/>
      <name val="Arial"/>
      <family val="2"/>
    </font>
    <font>
      <b/>
      <sz val="11"/>
      <name val="Arial"/>
      <family val="2"/>
    </font>
    <font>
      <b/>
      <sz val="10"/>
      <name val="Arial"/>
      <family val="2"/>
    </font>
    <font>
      <i/>
      <sz val="10"/>
      <name val="Arial"/>
      <family val="2"/>
    </font>
    <font>
      <u/>
      <sz val="10"/>
      <name val="Arial"/>
      <family val="2"/>
    </font>
    <font>
      <sz val="11"/>
      <name val="Calibri"/>
      <family val="2"/>
      <scheme val="minor"/>
    </font>
    <font>
      <sz val="11"/>
      <color rgb="FF002060"/>
      <name val="Arial"/>
      <family val="2"/>
    </font>
    <font>
      <b/>
      <sz val="11"/>
      <color theme="1"/>
      <name val="Arial"/>
      <family val="2"/>
    </font>
    <font>
      <sz val="11"/>
      <color theme="1"/>
      <name val="Arial"/>
      <family val="2"/>
    </font>
    <font>
      <sz val="9"/>
      <color indexed="81"/>
      <name val="Tahoma"/>
      <family val="2"/>
    </font>
    <font>
      <b/>
      <sz val="9"/>
      <color indexed="81"/>
      <name val="Tahoma"/>
      <family val="2"/>
    </font>
  </fonts>
  <fills count="9">
    <fill>
      <patternFill patternType="none"/>
    </fill>
    <fill>
      <patternFill patternType="gray125"/>
    </fill>
    <fill>
      <patternFill patternType="solid">
        <fgColor theme="8" tint="0.79998168889431442"/>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0"/>
        <bgColor indexed="64"/>
      </patternFill>
    </fill>
    <fill>
      <patternFill patternType="solid">
        <fgColor theme="8" tint="0.39997558519241921"/>
        <bgColor indexed="64"/>
      </patternFill>
    </fill>
    <fill>
      <patternFill patternType="solid">
        <fgColor theme="3" tint="0.7999816888943144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style="thin">
        <color indexed="64"/>
      </right>
      <top style="medium">
        <color indexed="64"/>
      </top>
      <bottom/>
      <diagonal/>
    </border>
  </borders>
  <cellStyleXfs count="5">
    <xf numFmtId="0" fontId="0" fillId="0" borderId="0"/>
    <xf numFmtId="0" fontId="2" fillId="0" borderId="0"/>
    <xf numFmtId="164" fontId="2" fillId="0" borderId="0" applyFont="0" applyFill="0" applyBorder="0" applyAlignment="0" applyProtection="0"/>
    <xf numFmtId="43" fontId="2" fillId="0" borderId="0" applyFont="0" applyFill="0" applyBorder="0" applyAlignment="0" applyProtection="0"/>
    <xf numFmtId="9" fontId="2" fillId="0" borderId="0" applyFont="0" applyFill="0" applyBorder="0" applyAlignment="0" applyProtection="0"/>
  </cellStyleXfs>
  <cellXfs count="227">
    <xf numFmtId="0" fontId="0" fillId="0" borderId="0" xfId="0"/>
    <xf numFmtId="0" fontId="0" fillId="0" borderId="0" xfId="0" applyAlignment="1">
      <alignment horizontal="left" vertical="top"/>
    </xf>
    <xf numFmtId="0" fontId="0" fillId="4" borderId="0" xfId="0" applyFill="1" applyAlignment="1">
      <alignment horizontal="left" vertical="top"/>
    </xf>
    <xf numFmtId="0" fontId="3" fillId="0" borderId="1" xfId="0" applyFont="1" applyBorder="1" applyAlignment="1">
      <alignment vertical="top" wrapText="1"/>
    </xf>
    <xf numFmtId="3" fontId="3" fillId="0" borderId="4" xfId="0" applyNumberFormat="1" applyFont="1" applyBorder="1" applyAlignment="1">
      <alignment horizontal="left" vertical="top"/>
    </xf>
    <xf numFmtId="0" fontId="3" fillId="0" borderId="1" xfId="0" applyFont="1" applyBorder="1" applyAlignment="1">
      <alignment horizontal="left" vertical="top" wrapText="1"/>
    </xf>
    <xf numFmtId="166" fontId="3" fillId="0" borderId="1" xfId="0" applyNumberFormat="1" applyFont="1" applyBorder="1" applyAlignment="1">
      <alignment horizontal="left" vertical="top"/>
    </xf>
    <xf numFmtId="0" fontId="3" fillId="4" borderId="1" xfId="0" applyFont="1" applyFill="1" applyBorder="1" applyAlignment="1">
      <alignment horizontal="left" vertical="top" wrapText="1"/>
    </xf>
    <xf numFmtId="3" fontId="3" fillId="0" borderId="1" xfId="0" applyNumberFormat="1" applyFont="1" applyBorder="1" applyAlignment="1">
      <alignment horizontal="left" vertical="top"/>
    </xf>
    <xf numFmtId="0" fontId="3" fillId="0" borderId="4" xfId="0" applyFont="1" applyBorder="1" applyAlignment="1">
      <alignment horizontal="left" vertical="top" wrapText="1"/>
    </xf>
    <xf numFmtId="166" fontId="3" fillId="0" borderId="4" xfId="0" applyNumberFormat="1" applyFont="1" applyBorder="1" applyAlignment="1">
      <alignment horizontal="left" vertical="top"/>
    </xf>
    <xf numFmtId="0" fontId="3" fillId="0" borderId="0" xfId="0" applyFont="1" applyAlignment="1">
      <alignment horizontal="left" vertical="top" wrapText="1"/>
    </xf>
    <xf numFmtId="0" fontId="3" fillId="0" borderId="7" xfId="0" applyFont="1" applyBorder="1" applyAlignment="1">
      <alignment horizontal="left" vertical="top" wrapText="1"/>
    </xf>
    <xf numFmtId="0" fontId="4" fillId="0" borderId="0" xfId="0" applyFont="1"/>
    <xf numFmtId="0" fontId="5" fillId="0" borderId="0" xfId="0" applyFont="1"/>
    <xf numFmtId="165" fontId="5" fillId="0" borderId="0" xfId="0" applyNumberFormat="1" applyFont="1"/>
    <xf numFmtId="0" fontId="5" fillId="0" borderId="0" xfId="0" applyFont="1" applyAlignment="1">
      <alignment horizontal="center" vertical="center" wrapText="1"/>
    </xf>
    <xf numFmtId="165" fontId="5" fillId="0" borderId="0" xfId="0" applyNumberFormat="1" applyFont="1" applyAlignment="1">
      <alignment wrapText="1"/>
    </xf>
    <xf numFmtId="0" fontId="5" fillId="0" borderId="1" xfId="0" applyFont="1" applyBorder="1" applyAlignment="1">
      <alignment horizontal="left" vertical="top" wrapText="1"/>
    </xf>
    <xf numFmtId="0" fontId="5" fillId="0" borderId="1" xfId="0" applyFont="1" applyBorder="1" applyAlignment="1">
      <alignment vertical="center" wrapText="1"/>
    </xf>
    <xf numFmtId="0" fontId="5" fillId="0" borderId="1" xfId="0" applyFont="1" applyBorder="1" applyAlignment="1">
      <alignment horizontal="center" wrapText="1"/>
    </xf>
    <xf numFmtId="165" fontId="5" fillId="0" borderId="1" xfId="0" applyNumberFormat="1" applyFont="1" applyBorder="1" applyAlignment="1">
      <alignment horizontal="center" wrapText="1"/>
    </xf>
    <xf numFmtId="165" fontId="5" fillId="0" borderId="36" xfId="0" applyNumberFormat="1" applyFont="1" applyBorder="1" applyAlignment="1">
      <alignment wrapText="1"/>
    </xf>
    <xf numFmtId="0" fontId="6" fillId="2" borderId="22" xfId="0" applyFont="1" applyFill="1" applyBorder="1" applyAlignment="1">
      <alignment vertical="top" wrapText="1"/>
    </xf>
    <xf numFmtId="0" fontId="6" fillId="2" borderId="12" xfId="0" applyFont="1" applyFill="1" applyBorder="1" applyAlignment="1">
      <alignment vertical="top" wrapText="1"/>
    </xf>
    <xf numFmtId="0" fontId="6" fillId="2" borderId="11" xfId="0" applyFont="1" applyFill="1" applyBorder="1" applyAlignment="1">
      <alignment vertical="top" wrapText="1"/>
    </xf>
    <xf numFmtId="165" fontId="6" fillId="2" borderId="13" xfId="0" applyNumberFormat="1" applyFont="1" applyFill="1" applyBorder="1" applyAlignment="1">
      <alignment horizontal="left" vertical="top" wrapText="1"/>
    </xf>
    <xf numFmtId="165" fontId="6" fillId="2" borderId="30" xfId="0" applyNumberFormat="1" applyFont="1" applyFill="1" applyBorder="1" applyAlignment="1">
      <alignment horizontal="left" vertical="top" wrapText="1"/>
    </xf>
    <xf numFmtId="0" fontId="6" fillId="2" borderId="24" xfId="0" applyFont="1" applyFill="1" applyBorder="1" applyAlignment="1">
      <alignment vertical="top" wrapText="1"/>
    </xf>
    <xf numFmtId="0" fontId="6" fillId="2" borderId="6" xfId="0" applyFont="1" applyFill="1" applyBorder="1" applyAlignment="1">
      <alignment vertical="top" wrapText="1"/>
    </xf>
    <xf numFmtId="0" fontId="6" fillId="2" borderId="7" xfId="0" applyFont="1" applyFill="1" applyBorder="1" applyAlignment="1">
      <alignment vertical="top" wrapText="1"/>
    </xf>
    <xf numFmtId="165" fontId="6" fillId="2" borderId="9" xfId="0" applyNumberFormat="1" applyFont="1" applyFill="1" applyBorder="1" applyAlignment="1">
      <alignment horizontal="left" vertical="top" wrapText="1"/>
    </xf>
    <xf numFmtId="165" fontId="6" fillId="2" borderId="37" xfId="0" applyNumberFormat="1" applyFont="1" applyFill="1" applyBorder="1" applyAlignment="1">
      <alignment horizontal="left" vertical="top" wrapText="1"/>
    </xf>
    <xf numFmtId="165" fontId="6" fillId="2" borderId="14" xfId="0" applyNumberFormat="1" applyFont="1" applyFill="1" applyBorder="1" applyAlignment="1">
      <alignment horizontal="left" vertical="top" wrapText="1"/>
    </xf>
    <xf numFmtId="0" fontId="6" fillId="7" borderId="25" xfId="0" applyFont="1" applyFill="1" applyBorder="1" applyAlignment="1">
      <alignment vertical="top" wrapText="1"/>
    </xf>
    <xf numFmtId="0" fontId="6" fillId="7" borderId="26" xfId="0" applyFont="1" applyFill="1" applyBorder="1" applyAlignment="1">
      <alignment vertical="top" wrapText="1"/>
    </xf>
    <xf numFmtId="0" fontId="6" fillId="7" borderId="16" xfId="0" applyFont="1" applyFill="1" applyBorder="1" applyAlignment="1">
      <alignment vertical="top" wrapText="1"/>
    </xf>
    <xf numFmtId="165" fontId="6" fillId="7" borderId="15" xfId="0" applyNumberFormat="1" applyFont="1" applyFill="1" applyBorder="1" applyAlignment="1">
      <alignment horizontal="left" vertical="top" wrapText="1"/>
    </xf>
    <xf numFmtId="165" fontId="6" fillId="7" borderId="27" xfId="0" applyNumberFormat="1" applyFont="1" applyFill="1" applyBorder="1" applyAlignment="1">
      <alignment horizontal="left" vertical="top" wrapText="1"/>
    </xf>
    <xf numFmtId="0" fontId="5" fillId="0" borderId="7" xfId="0" applyFont="1" applyBorder="1" applyAlignment="1">
      <alignment vertical="center" wrapText="1"/>
    </xf>
    <xf numFmtId="0" fontId="5" fillId="0" borderId="2" xfId="0" applyFont="1" applyBorder="1" applyAlignment="1">
      <alignment horizontal="left" vertical="top" wrapText="1"/>
    </xf>
    <xf numFmtId="165" fontId="6" fillId="2" borderId="1" xfId="0" applyNumberFormat="1" applyFont="1" applyFill="1" applyBorder="1" applyAlignment="1">
      <alignment horizontal="left" vertical="top" wrapText="1"/>
    </xf>
    <xf numFmtId="165" fontId="6" fillId="2" borderId="36" xfId="0" applyNumberFormat="1" applyFont="1" applyFill="1" applyBorder="1" applyAlignment="1">
      <alignment horizontal="left" vertical="top" wrapText="1"/>
    </xf>
    <xf numFmtId="0" fontId="6" fillId="2" borderId="17" xfId="0" applyFont="1" applyFill="1" applyBorder="1" applyAlignment="1">
      <alignment horizontal="left" vertical="top" wrapText="1"/>
    </xf>
    <xf numFmtId="0" fontId="6" fillId="2" borderId="9" xfId="0" applyFont="1" applyFill="1" applyBorder="1" applyAlignment="1">
      <alignment horizontal="left" vertical="top" wrapText="1"/>
    </xf>
    <xf numFmtId="165" fontId="6" fillId="7" borderId="43" xfId="0" applyNumberFormat="1" applyFont="1" applyFill="1" applyBorder="1" applyAlignment="1">
      <alignment horizontal="left" vertical="top" wrapText="1"/>
    </xf>
    <xf numFmtId="0" fontId="5" fillId="0" borderId="4" xfId="0" applyFont="1" applyBorder="1" applyAlignment="1">
      <alignment vertical="center" wrapText="1"/>
    </xf>
    <xf numFmtId="0" fontId="5" fillId="0" borderId="4" xfId="0" applyFont="1" applyBorder="1" applyAlignment="1">
      <alignment horizontal="center" wrapText="1"/>
    </xf>
    <xf numFmtId="165" fontId="5" fillId="0" borderId="4" xfId="0" applyNumberFormat="1" applyFont="1" applyBorder="1" applyAlignment="1">
      <alignment horizontal="center" wrapText="1"/>
    </xf>
    <xf numFmtId="165" fontId="5" fillId="0" borderId="42" xfId="0" applyNumberFormat="1" applyFont="1" applyBorder="1" applyAlignment="1">
      <alignment wrapText="1"/>
    </xf>
    <xf numFmtId="0" fontId="5" fillId="0" borderId="6" xfId="0" applyFont="1" applyBorder="1" applyAlignment="1">
      <alignment vertical="center" wrapText="1"/>
    </xf>
    <xf numFmtId="0" fontId="6" fillId="0" borderId="1" xfId="0" applyFont="1" applyBorder="1" applyAlignment="1">
      <alignment horizontal="left" vertical="top" wrapText="1"/>
    </xf>
    <xf numFmtId="0" fontId="5" fillId="0" borderId="3" xfId="0" applyFont="1" applyBorder="1" applyAlignment="1">
      <alignment horizontal="left" vertical="top" wrapText="1"/>
    </xf>
    <xf numFmtId="0" fontId="5" fillId="5" borderId="14" xfId="0" applyFont="1" applyFill="1" applyBorder="1" applyAlignment="1">
      <alignment horizontal="center" vertical="center" wrapText="1"/>
    </xf>
    <xf numFmtId="165" fontId="5" fillId="0" borderId="4" xfId="0" applyNumberFormat="1" applyFont="1" applyBorder="1" applyAlignment="1">
      <alignment wrapText="1"/>
    </xf>
    <xf numFmtId="165" fontId="5" fillId="0" borderId="34" xfId="0" applyNumberFormat="1" applyFont="1" applyBorder="1" applyAlignment="1">
      <alignment wrapText="1"/>
    </xf>
    <xf numFmtId="0" fontId="7" fillId="4" borderId="1" xfId="0" applyFont="1" applyFill="1" applyBorder="1" applyAlignment="1">
      <alignment horizontal="left" vertical="top" wrapText="1"/>
    </xf>
    <xf numFmtId="3" fontId="7" fillId="4" borderId="1" xfId="0" applyNumberFormat="1" applyFont="1" applyFill="1" applyBorder="1" applyAlignment="1">
      <alignment horizontal="left" vertical="top"/>
    </xf>
    <xf numFmtId="166" fontId="7" fillId="4" borderId="1" xfId="0" applyNumberFormat="1" applyFont="1" applyFill="1" applyBorder="1" applyAlignment="1">
      <alignment horizontal="left" vertical="top"/>
    </xf>
    <xf numFmtId="0" fontId="3" fillId="4" borderId="8" xfId="0" applyFont="1" applyFill="1" applyBorder="1" applyAlignment="1">
      <alignment horizontal="left" vertical="top"/>
    </xf>
    <xf numFmtId="3" fontId="3" fillId="6" borderId="1" xfId="0" applyNumberFormat="1" applyFont="1" applyFill="1" applyBorder="1" applyAlignment="1">
      <alignment horizontal="left" vertical="top"/>
    </xf>
    <xf numFmtId="166" fontId="3" fillId="6" borderId="1" xfId="0" applyNumberFormat="1" applyFont="1" applyFill="1" applyBorder="1" applyAlignment="1">
      <alignment horizontal="left" vertical="top"/>
    </xf>
    <xf numFmtId="166" fontId="7" fillId="6" borderId="1" xfId="0" applyNumberFormat="1" applyFont="1" applyFill="1" applyBorder="1" applyAlignment="1">
      <alignment horizontal="left" vertical="top"/>
    </xf>
    <xf numFmtId="0" fontId="3" fillId="4" borderId="4" xfId="0" applyFont="1" applyFill="1" applyBorder="1" applyAlignment="1">
      <alignment horizontal="left" vertical="top" wrapText="1"/>
    </xf>
    <xf numFmtId="0" fontId="3" fillId="0" borderId="0" xfId="0" applyFont="1" applyAlignment="1">
      <alignment horizontal="left" vertical="top"/>
    </xf>
    <xf numFmtId="3" fontId="3" fillId="0" borderId="0" xfId="0" applyNumberFormat="1" applyFont="1" applyAlignment="1">
      <alignment horizontal="left" vertical="top"/>
    </xf>
    <xf numFmtId="166" fontId="3" fillId="0" borderId="0" xfId="0" applyNumberFormat="1" applyFont="1" applyAlignment="1">
      <alignment horizontal="left" vertical="top"/>
    </xf>
    <xf numFmtId="166" fontId="3" fillId="0" borderId="7" xfId="0" applyNumberFormat="1" applyFont="1" applyBorder="1" applyAlignment="1">
      <alignment horizontal="left" vertical="top"/>
    </xf>
    <xf numFmtId="167" fontId="3" fillId="0" borderId="1" xfId="0" applyNumberFormat="1" applyFont="1" applyBorder="1" applyAlignment="1">
      <alignment horizontal="left" vertical="top"/>
    </xf>
    <xf numFmtId="167" fontId="3" fillId="0" borderId="1" xfId="2" applyNumberFormat="1" applyFont="1" applyFill="1" applyBorder="1" applyAlignment="1">
      <alignment vertical="top"/>
    </xf>
    <xf numFmtId="167" fontId="3" fillId="0" borderId="1" xfId="2" applyNumberFormat="1" applyFont="1" applyFill="1" applyBorder="1" applyAlignment="1">
      <alignment horizontal="left" vertical="top"/>
    </xf>
    <xf numFmtId="167" fontId="3" fillId="0" borderId="1" xfId="2" applyNumberFormat="1" applyFont="1" applyBorder="1" applyAlignment="1">
      <alignment horizontal="left" vertical="top"/>
    </xf>
    <xf numFmtId="167" fontId="3" fillId="0" borderId="1" xfId="2" applyNumberFormat="1" applyFont="1" applyBorder="1" applyAlignment="1">
      <alignment vertical="top"/>
    </xf>
    <xf numFmtId="0" fontId="7" fillId="4" borderId="1" xfId="0" applyFont="1" applyFill="1" applyBorder="1" applyAlignment="1">
      <alignment horizontal="right" vertical="top" wrapText="1"/>
    </xf>
    <xf numFmtId="0" fontId="3" fillId="4" borderId="1" xfId="0" applyFont="1" applyFill="1" applyBorder="1" applyAlignment="1">
      <alignment horizontal="left" vertical="top"/>
    </xf>
    <xf numFmtId="166" fontId="3" fillId="0" borderId="1" xfId="0" applyNumberFormat="1" applyFont="1" applyBorder="1" applyAlignment="1">
      <alignment horizontal="right" vertical="top" wrapText="1"/>
    </xf>
    <xf numFmtId="166" fontId="7" fillId="0" borderId="1" xfId="0" applyNumberFormat="1" applyFont="1" applyBorder="1" applyAlignment="1">
      <alignment horizontal="right" vertical="top" wrapText="1"/>
    </xf>
    <xf numFmtId="43" fontId="3" fillId="0" borderId="0" xfId="3" applyFont="1" applyAlignment="1">
      <alignment horizontal="left" vertical="top" wrapText="1"/>
    </xf>
    <xf numFmtId="0" fontId="6" fillId="6" borderId="10" xfId="0" applyFont="1" applyFill="1" applyBorder="1" applyAlignment="1">
      <alignment vertical="top" wrapText="1"/>
    </xf>
    <xf numFmtId="0" fontId="6" fillId="6" borderId="0" xfId="0" applyFont="1" applyFill="1" applyAlignment="1">
      <alignment vertical="top" wrapText="1"/>
    </xf>
    <xf numFmtId="165" fontId="6" fillId="6" borderId="0" xfId="0" applyNumberFormat="1" applyFont="1" applyFill="1" applyAlignment="1">
      <alignment horizontal="left" vertical="top" wrapText="1"/>
    </xf>
    <xf numFmtId="165" fontId="6" fillId="6" borderId="13" xfId="0" applyNumberFormat="1" applyFont="1" applyFill="1" applyBorder="1" applyAlignment="1">
      <alignment horizontal="left" vertical="top" wrapText="1"/>
    </xf>
    <xf numFmtId="0" fontId="5" fillId="6" borderId="0" xfId="0" applyFont="1" applyFill="1"/>
    <xf numFmtId="165" fontId="5" fillId="0" borderId="36" xfId="0" applyNumberFormat="1" applyFont="1" applyBorder="1" applyAlignment="1">
      <alignment horizontal="center" wrapText="1"/>
    </xf>
    <xf numFmtId="165" fontId="6" fillId="2" borderId="4" xfId="0" applyNumberFormat="1" applyFont="1" applyFill="1" applyBorder="1" applyAlignment="1">
      <alignment horizontal="left" vertical="top" wrapText="1"/>
    </xf>
    <xf numFmtId="0" fontId="6" fillId="2" borderId="31" xfId="0" applyFont="1" applyFill="1" applyBorder="1" applyAlignment="1">
      <alignment horizontal="left" vertical="top"/>
    </xf>
    <xf numFmtId="0" fontId="6" fillId="0" borderId="10" xfId="0" applyFont="1" applyBorder="1" applyAlignment="1">
      <alignment vertical="top" wrapText="1"/>
    </xf>
    <xf numFmtId="0" fontId="6" fillId="0" borderId="0" xfId="0" applyFont="1" applyAlignment="1">
      <alignment vertical="top" wrapText="1"/>
    </xf>
    <xf numFmtId="165" fontId="6" fillId="0" borderId="0" xfId="0" applyNumberFormat="1" applyFont="1" applyAlignment="1">
      <alignment vertical="top" wrapText="1"/>
    </xf>
    <xf numFmtId="0" fontId="5" fillId="0" borderId="6" xfId="0" applyFont="1" applyBorder="1" applyAlignment="1">
      <alignment horizontal="left" vertical="top" wrapText="1"/>
    </xf>
    <xf numFmtId="0" fontId="5" fillId="0" borderId="2" xfId="0" applyFont="1" applyBorder="1" applyAlignment="1">
      <alignment vertical="center" wrapText="1"/>
    </xf>
    <xf numFmtId="165" fontId="5" fillId="0" borderId="44" xfId="0" applyNumberFormat="1" applyFont="1" applyBorder="1" applyAlignment="1">
      <alignment wrapText="1"/>
    </xf>
    <xf numFmtId="165" fontId="6" fillId="3" borderId="1" xfId="0" applyNumberFormat="1" applyFont="1" applyFill="1" applyBorder="1" applyAlignment="1">
      <alignment horizontal="left" vertical="top" wrapText="1"/>
    </xf>
    <xf numFmtId="165" fontId="5" fillId="3" borderId="44" xfId="0" applyNumberFormat="1" applyFont="1" applyFill="1" applyBorder="1" applyAlignment="1">
      <alignment wrapText="1"/>
    </xf>
    <xf numFmtId="165" fontId="6" fillId="3" borderId="14" xfId="0" applyNumberFormat="1" applyFont="1" applyFill="1" applyBorder="1" applyAlignment="1">
      <alignment horizontal="left" vertical="top" wrapText="1"/>
    </xf>
    <xf numFmtId="165" fontId="6" fillId="7" borderId="46" xfId="0" applyNumberFormat="1" applyFont="1" applyFill="1" applyBorder="1" applyAlignment="1">
      <alignment horizontal="left" vertical="top" wrapText="1"/>
    </xf>
    <xf numFmtId="0" fontId="6" fillId="0" borderId="0" xfId="0" applyFont="1" applyAlignment="1">
      <alignment horizontal="left" vertical="top" wrapText="1"/>
    </xf>
    <xf numFmtId="165" fontId="6" fillId="3" borderId="20" xfId="0" applyNumberFormat="1" applyFont="1" applyFill="1" applyBorder="1" applyAlignment="1">
      <alignment horizontal="left" vertical="top" wrapText="1"/>
    </xf>
    <xf numFmtId="165" fontId="6" fillId="3" borderId="21" xfId="0" applyNumberFormat="1" applyFont="1" applyFill="1" applyBorder="1" applyAlignment="1">
      <alignment horizontal="left" vertical="top" wrapText="1"/>
    </xf>
    <xf numFmtId="165" fontId="6" fillId="3" borderId="11" xfId="0" applyNumberFormat="1" applyFont="1" applyFill="1" applyBorder="1" applyAlignment="1">
      <alignment horizontal="left" vertical="top" wrapText="1"/>
    </xf>
    <xf numFmtId="165" fontId="6" fillId="3" borderId="23" xfId="0" applyNumberFormat="1" applyFont="1" applyFill="1" applyBorder="1" applyAlignment="1">
      <alignment horizontal="left" vertical="top" wrapText="1"/>
    </xf>
    <xf numFmtId="165" fontId="6" fillId="3" borderId="16" xfId="0" applyNumberFormat="1" applyFont="1" applyFill="1" applyBorder="1" applyAlignment="1">
      <alignment horizontal="left" vertical="top" wrapText="1"/>
    </xf>
    <xf numFmtId="165" fontId="6" fillId="3" borderId="39" xfId="0" applyNumberFormat="1" applyFont="1" applyFill="1" applyBorder="1" applyAlignment="1">
      <alignment horizontal="left" vertical="top" wrapText="1"/>
    </xf>
    <xf numFmtId="165" fontId="6" fillId="7" borderId="47" xfId="0" applyNumberFormat="1" applyFont="1" applyFill="1" applyBorder="1" applyAlignment="1">
      <alignment horizontal="left" vertical="top" wrapText="1"/>
    </xf>
    <xf numFmtId="165" fontId="6" fillId="7" borderId="48" xfId="0" applyNumberFormat="1" applyFont="1" applyFill="1" applyBorder="1" applyAlignment="1">
      <alignment horizontal="left" vertical="top" wrapText="1"/>
    </xf>
    <xf numFmtId="165" fontId="6" fillId="7" borderId="49" xfId="0" applyNumberFormat="1" applyFont="1" applyFill="1" applyBorder="1" applyAlignment="1">
      <alignment horizontal="left" vertical="top" wrapText="1"/>
    </xf>
    <xf numFmtId="0" fontId="6" fillId="3" borderId="24" xfId="0" applyFont="1" applyFill="1" applyBorder="1" applyAlignment="1">
      <alignment horizontal="left" vertical="top" wrapText="1"/>
    </xf>
    <xf numFmtId="0" fontId="6" fillId="3" borderId="6" xfId="0" applyFont="1" applyFill="1" applyBorder="1" applyAlignment="1">
      <alignment horizontal="left" vertical="top" wrapText="1"/>
    </xf>
    <xf numFmtId="0" fontId="6" fillId="3" borderId="7" xfId="0" applyFont="1" applyFill="1" applyBorder="1" applyAlignment="1">
      <alignment horizontal="left" vertical="top" wrapText="1"/>
    </xf>
    <xf numFmtId="0" fontId="6" fillId="7" borderId="24" xfId="0" applyFont="1" applyFill="1" applyBorder="1" applyAlignment="1">
      <alignment horizontal="left" vertical="top" wrapText="1"/>
    </xf>
    <xf numFmtId="0" fontId="6" fillId="7" borderId="6" xfId="0" applyFont="1" applyFill="1" applyBorder="1" applyAlignment="1">
      <alignment horizontal="left" vertical="top" wrapText="1"/>
    </xf>
    <xf numFmtId="0" fontId="6" fillId="7" borderId="7" xfId="0" applyFont="1" applyFill="1" applyBorder="1" applyAlignment="1">
      <alignment horizontal="left" vertical="top" wrapText="1"/>
    </xf>
    <xf numFmtId="165" fontId="6" fillId="3" borderId="7" xfId="0" applyNumberFormat="1" applyFont="1" applyFill="1" applyBorder="1" applyAlignment="1">
      <alignment horizontal="left" vertical="top" wrapText="1"/>
    </xf>
    <xf numFmtId="165" fontId="6" fillId="3" borderId="45" xfId="0" applyNumberFormat="1" applyFont="1" applyFill="1" applyBorder="1" applyAlignment="1">
      <alignment horizontal="left" vertical="top" wrapText="1"/>
    </xf>
    <xf numFmtId="0" fontId="5" fillId="0" borderId="50" xfId="0" applyFont="1" applyBorder="1"/>
    <xf numFmtId="167" fontId="5" fillId="0" borderId="51" xfId="0" applyNumberFormat="1" applyFont="1" applyBorder="1"/>
    <xf numFmtId="0" fontId="5" fillId="0" borderId="29" xfId="0" applyFont="1" applyBorder="1"/>
    <xf numFmtId="167" fontId="5" fillId="0" borderId="30" xfId="0" applyNumberFormat="1" applyFont="1" applyBorder="1"/>
    <xf numFmtId="0" fontId="10" fillId="0" borderId="0" xfId="0" applyFont="1"/>
    <xf numFmtId="0" fontId="5" fillId="0" borderId="0" xfId="0" applyFont="1" applyAlignment="1">
      <alignment horizontal="left"/>
    </xf>
    <xf numFmtId="0" fontId="5" fillId="0" borderId="25" xfId="0" applyFont="1" applyBorder="1"/>
    <xf numFmtId="10" fontId="5" fillId="0" borderId="27" xfId="4" applyNumberFormat="1" applyFont="1" applyBorder="1"/>
    <xf numFmtId="167" fontId="5" fillId="0" borderId="0" xfId="0" applyNumberFormat="1" applyFont="1"/>
    <xf numFmtId="168" fontId="5" fillId="0" borderId="0" xfId="0" applyNumberFormat="1" applyFont="1"/>
    <xf numFmtId="9" fontId="5" fillId="0" borderId="0" xfId="0" applyNumberFormat="1" applyFont="1"/>
    <xf numFmtId="9" fontId="5" fillId="0" borderId="0" xfId="4" applyFont="1" applyFill="1"/>
    <xf numFmtId="0" fontId="11" fillId="8" borderId="1" xfId="0" applyFont="1" applyFill="1" applyBorder="1"/>
    <xf numFmtId="165" fontId="11" fillId="8" borderId="1" xfId="0" applyNumberFormat="1" applyFont="1" applyFill="1" applyBorder="1"/>
    <xf numFmtId="0" fontId="5" fillId="8" borderId="1" xfId="0" applyFont="1" applyFill="1" applyBorder="1"/>
    <xf numFmtId="165" fontId="5" fillId="8" borderId="1" xfId="0" applyNumberFormat="1" applyFont="1" applyFill="1" applyBorder="1"/>
    <xf numFmtId="0" fontId="6" fillId="7" borderId="29" xfId="0" applyFont="1" applyFill="1" applyBorder="1" applyAlignment="1">
      <alignment vertical="top" wrapText="1"/>
    </xf>
    <xf numFmtId="0" fontId="6" fillId="7" borderId="0" xfId="0" applyFont="1" applyFill="1" applyAlignment="1">
      <alignment vertical="top" wrapText="1"/>
    </xf>
    <xf numFmtId="165" fontId="6" fillId="7" borderId="13" xfId="0" applyNumberFormat="1" applyFont="1" applyFill="1" applyBorder="1" applyAlignment="1">
      <alignment horizontal="left" vertical="top" wrapText="1"/>
    </xf>
    <xf numFmtId="165" fontId="6" fillId="7" borderId="30" xfId="0" applyNumberFormat="1" applyFont="1" applyFill="1" applyBorder="1" applyAlignment="1">
      <alignment horizontal="left" vertical="top" wrapText="1"/>
    </xf>
    <xf numFmtId="0" fontId="0" fillId="0" borderId="1" xfId="0" applyBorder="1"/>
    <xf numFmtId="0" fontId="5" fillId="6" borderId="1" xfId="0" applyFont="1" applyFill="1" applyBorder="1" applyAlignment="1">
      <alignment horizontal="center" wrapText="1"/>
    </xf>
    <xf numFmtId="0" fontId="12" fillId="6" borderId="1" xfId="0" applyFont="1" applyFill="1" applyBorder="1" applyAlignment="1">
      <alignment horizontal="left" wrapText="1"/>
    </xf>
    <xf numFmtId="0" fontId="5" fillId="0" borderId="9" xfId="0" applyFont="1" applyBorder="1" applyAlignment="1">
      <alignment vertical="center" wrapText="1"/>
    </xf>
    <xf numFmtId="0" fontId="3" fillId="6" borderId="1" xfId="0" applyFont="1" applyFill="1" applyBorder="1" applyAlignment="1">
      <alignment horizontal="left" vertical="top" wrapText="1"/>
    </xf>
    <xf numFmtId="0" fontId="3" fillId="6" borderId="0" xfId="0" applyFont="1" applyFill="1" applyAlignment="1">
      <alignment horizontal="left" vertical="top"/>
    </xf>
    <xf numFmtId="0" fontId="3" fillId="0" borderId="2" xfId="0" applyFont="1" applyBorder="1" applyAlignment="1">
      <alignment horizontal="left" vertical="top" wrapText="1"/>
    </xf>
    <xf numFmtId="3" fontId="3" fillId="0" borderId="2" xfId="0" applyNumberFormat="1" applyFont="1" applyBorder="1" applyAlignment="1">
      <alignment horizontal="left" vertical="top"/>
    </xf>
    <xf numFmtId="166" fontId="3" fillId="0" borderId="2" xfId="0" applyNumberFormat="1" applyFont="1" applyBorder="1" applyAlignment="1">
      <alignment horizontal="left" vertical="top"/>
    </xf>
    <xf numFmtId="166" fontId="3" fillId="0" borderId="1" xfId="0" applyNumberFormat="1" applyFont="1" applyBorder="1" applyAlignment="1">
      <alignment horizontal="left" vertical="top" wrapText="1"/>
    </xf>
    <xf numFmtId="166" fontId="3" fillId="0" borderId="11" xfId="0" applyNumberFormat="1" applyFont="1" applyBorder="1" applyAlignment="1">
      <alignment horizontal="left" vertical="top"/>
    </xf>
    <xf numFmtId="0" fontId="3" fillId="4" borderId="8" xfId="0" applyFont="1" applyFill="1" applyBorder="1" applyAlignment="1">
      <alignment horizontal="left" vertical="top" wrapText="1"/>
    </xf>
    <xf numFmtId="0" fontId="3" fillId="4" borderId="0" xfId="0" applyFont="1" applyFill="1" applyAlignment="1">
      <alignment horizontal="left" vertical="top" wrapText="1"/>
    </xf>
    <xf numFmtId="0" fontId="3" fillId="4" borderId="0" xfId="0" applyFont="1" applyFill="1" applyAlignment="1">
      <alignment horizontal="left" vertical="top"/>
    </xf>
    <xf numFmtId="165" fontId="5" fillId="0" borderId="51" xfId="0" applyNumberFormat="1" applyFont="1" applyBorder="1"/>
    <xf numFmtId="165" fontId="5" fillId="0" borderId="30" xfId="0" applyNumberFormat="1" applyFont="1" applyBorder="1"/>
    <xf numFmtId="10" fontId="5" fillId="0" borderId="27" xfId="0" applyNumberFormat="1" applyFont="1" applyBorder="1"/>
    <xf numFmtId="10" fontId="5" fillId="0" borderId="0" xfId="0" applyNumberFormat="1" applyFont="1"/>
    <xf numFmtId="0" fontId="12" fillId="0" borderId="52" xfId="0" applyFont="1" applyBorder="1" applyAlignment="1">
      <alignment vertical="top" wrapText="1"/>
    </xf>
    <xf numFmtId="0" fontId="12" fillId="0" borderId="0" xfId="0" applyFont="1" applyAlignment="1">
      <alignment vertical="top" wrapText="1"/>
    </xf>
    <xf numFmtId="0" fontId="12" fillId="0" borderId="53" xfId="0" applyFont="1" applyBorder="1" applyAlignment="1">
      <alignment vertical="top" wrapText="1"/>
    </xf>
    <xf numFmtId="0" fontId="12" fillId="0" borderId="13" xfId="0" applyFont="1" applyBorder="1" applyAlignment="1">
      <alignment vertical="top" wrapText="1"/>
    </xf>
    <xf numFmtId="0" fontId="5" fillId="0" borderId="24" xfId="0" applyFont="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6" fillId="0" borderId="1" xfId="0" applyFont="1" applyBorder="1" applyAlignment="1">
      <alignment horizontal="left" vertical="top" wrapText="1"/>
    </xf>
    <xf numFmtId="0" fontId="5" fillId="0" borderId="2" xfId="0" applyFont="1" applyBorder="1" applyAlignment="1">
      <alignment vertical="top" wrapText="1"/>
    </xf>
    <xf numFmtId="0" fontId="5" fillId="0" borderId="3" xfId="0" applyFont="1" applyBorder="1" applyAlignment="1">
      <alignment vertical="top" wrapText="1"/>
    </xf>
    <xf numFmtId="0" fontId="5" fillId="0" borderId="4" xfId="0" applyFont="1" applyBorder="1" applyAlignment="1">
      <alignment vertical="top" wrapText="1"/>
    </xf>
    <xf numFmtId="0" fontId="6" fillId="0" borderId="2" xfId="0" applyFont="1" applyBorder="1" applyAlignment="1">
      <alignment horizontal="left" vertical="top" wrapText="1"/>
    </xf>
    <xf numFmtId="0" fontId="6" fillId="0" borderId="3" xfId="0" applyFont="1" applyBorder="1" applyAlignment="1">
      <alignment horizontal="left" vertical="top" wrapText="1"/>
    </xf>
    <xf numFmtId="0" fontId="5" fillId="0" borderId="1" xfId="0" applyFont="1" applyBorder="1" applyAlignment="1">
      <alignment vertical="top" wrapText="1"/>
    </xf>
    <xf numFmtId="0" fontId="6" fillId="0" borderId="4" xfId="0" applyFont="1" applyBorder="1" applyAlignment="1">
      <alignment horizontal="left" vertical="top" wrapText="1"/>
    </xf>
    <xf numFmtId="0" fontId="5" fillId="0" borderId="3" xfId="0" applyFont="1" applyBorder="1" applyAlignment="1">
      <alignment horizontal="left" vertical="top" wrapText="1"/>
    </xf>
    <xf numFmtId="0" fontId="6" fillId="2" borderId="24" xfId="0" applyFont="1" applyFill="1" applyBorder="1" applyAlignment="1">
      <alignment horizontal="left" vertical="top" wrapText="1"/>
    </xf>
    <xf numFmtId="0" fontId="6" fillId="2" borderId="6" xfId="0" applyFont="1" applyFill="1" applyBorder="1" applyAlignment="1">
      <alignment horizontal="left" vertical="top" wrapText="1"/>
    </xf>
    <xf numFmtId="0" fontId="6" fillId="2" borderId="7" xfId="0" applyFont="1" applyFill="1" applyBorder="1" applyAlignment="1">
      <alignment horizontal="left" vertical="top" wrapText="1"/>
    </xf>
    <xf numFmtId="0" fontId="12" fillId="0" borderId="1" xfId="0" applyFont="1" applyBorder="1" applyAlignment="1">
      <alignment vertical="top" wrapText="1"/>
    </xf>
    <xf numFmtId="0" fontId="12" fillId="6" borderId="1" xfId="0" applyFont="1" applyFill="1" applyBorder="1" applyAlignment="1">
      <alignment horizontal="left" vertical="top" wrapText="1"/>
    </xf>
    <xf numFmtId="0" fontId="13" fillId="6" borderId="2" xfId="0" applyFont="1" applyFill="1" applyBorder="1" applyAlignment="1">
      <alignment horizontal="left" vertical="center" wrapText="1"/>
    </xf>
    <xf numFmtId="0" fontId="0" fillId="0" borderId="4" xfId="0" applyBorder="1" applyAlignment="1">
      <alignment horizontal="left" vertical="center" wrapText="1"/>
    </xf>
    <xf numFmtId="0" fontId="12" fillId="0" borderId="2" xfId="0" applyFont="1" applyBorder="1" applyAlignment="1">
      <alignment horizontal="left" vertical="top" wrapText="1"/>
    </xf>
    <xf numFmtId="0" fontId="12" fillId="0" borderId="3" xfId="0" applyFont="1" applyBorder="1" applyAlignment="1">
      <alignment horizontal="left" vertical="top" wrapText="1"/>
    </xf>
    <xf numFmtId="0" fontId="0" fillId="0" borderId="4" xfId="0" applyBorder="1" applyAlignment="1">
      <alignment horizontal="left" vertical="top" wrapText="1"/>
    </xf>
    <xf numFmtId="0" fontId="12" fillId="0" borderId="2" xfId="0" applyFont="1" applyBorder="1" applyAlignment="1">
      <alignment vertical="top" wrapText="1"/>
    </xf>
    <xf numFmtId="0" fontId="12" fillId="0" borderId="3" xfId="0" applyFont="1" applyBorder="1" applyAlignment="1">
      <alignment vertical="top" wrapText="1"/>
    </xf>
    <xf numFmtId="0" fontId="0" fillId="0" borderId="4" xfId="0" applyBorder="1" applyAlignment="1">
      <alignment vertical="top" wrapText="1"/>
    </xf>
    <xf numFmtId="0" fontId="6" fillId="7" borderId="38" xfId="0" applyFont="1" applyFill="1" applyBorder="1" applyAlignment="1">
      <alignment horizontal="left" vertical="top"/>
    </xf>
    <xf numFmtId="0" fontId="6" fillId="7" borderId="28" xfId="0" applyFont="1" applyFill="1" applyBorder="1" applyAlignment="1">
      <alignment horizontal="left" vertical="top"/>
    </xf>
    <xf numFmtId="0" fontId="6" fillId="7" borderId="16" xfId="0" applyFont="1" applyFill="1" applyBorder="1" applyAlignment="1">
      <alignment horizontal="left" vertical="top"/>
    </xf>
    <xf numFmtId="0" fontId="6" fillId="7" borderId="38" xfId="0" applyFont="1" applyFill="1" applyBorder="1" applyAlignment="1">
      <alignment horizontal="left" vertical="top" wrapText="1"/>
    </xf>
    <xf numFmtId="0" fontId="6" fillId="7" borderId="28" xfId="0" applyFont="1" applyFill="1" applyBorder="1" applyAlignment="1">
      <alignment horizontal="left" vertical="top" wrapText="1"/>
    </xf>
    <xf numFmtId="0" fontId="6" fillId="7" borderId="16" xfId="0" applyFont="1" applyFill="1" applyBorder="1" applyAlignment="1">
      <alignment horizontal="left" vertical="top" wrapText="1"/>
    </xf>
    <xf numFmtId="0" fontId="6" fillId="3" borderId="18" xfId="0" applyFont="1" applyFill="1" applyBorder="1" applyAlignment="1">
      <alignment horizontal="left" vertical="top" wrapText="1"/>
    </xf>
    <xf numFmtId="0" fontId="6" fillId="3" borderId="19" xfId="0" applyFont="1" applyFill="1" applyBorder="1" applyAlignment="1">
      <alignment horizontal="left" vertical="top" wrapText="1"/>
    </xf>
    <xf numFmtId="0" fontId="6" fillId="3" borderId="20" xfId="0" applyFont="1" applyFill="1" applyBorder="1" applyAlignment="1">
      <alignment horizontal="left" vertical="top" wrapText="1"/>
    </xf>
    <xf numFmtId="0" fontId="6" fillId="3" borderId="24" xfId="0" applyFont="1" applyFill="1" applyBorder="1" applyAlignment="1">
      <alignment horizontal="left" vertical="top" wrapText="1"/>
    </xf>
    <xf numFmtId="0" fontId="6" fillId="3" borderId="6" xfId="0" applyFont="1" applyFill="1" applyBorder="1" applyAlignment="1">
      <alignment horizontal="left" vertical="top" wrapText="1"/>
    </xf>
    <xf numFmtId="0" fontId="6" fillId="3" borderId="7" xfId="0" applyFont="1" applyFill="1" applyBorder="1" applyAlignment="1">
      <alignment horizontal="left" vertical="top" wrapText="1"/>
    </xf>
    <xf numFmtId="0" fontId="6" fillId="3" borderId="24" xfId="0" applyFont="1" applyFill="1" applyBorder="1" applyAlignment="1">
      <alignment horizontal="left" vertical="top"/>
    </xf>
    <xf numFmtId="0" fontId="6" fillId="3" borderId="6" xfId="0" applyFont="1" applyFill="1" applyBorder="1" applyAlignment="1">
      <alignment horizontal="left" vertical="top"/>
    </xf>
    <xf numFmtId="0" fontId="6" fillId="3" borderId="7" xfId="0" applyFont="1" applyFill="1" applyBorder="1" applyAlignment="1">
      <alignment horizontal="left" vertical="top"/>
    </xf>
    <xf numFmtId="0" fontId="6" fillId="7" borderId="24" xfId="0" applyFont="1" applyFill="1" applyBorder="1" applyAlignment="1">
      <alignment horizontal="left" vertical="top" wrapText="1"/>
    </xf>
    <xf numFmtId="0" fontId="6" fillId="7" borderId="6" xfId="0" applyFont="1" applyFill="1" applyBorder="1" applyAlignment="1">
      <alignment horizontal="left" vertical="top" wrapText="1"/>
    </xf>
    <xf numFmtId="0" fontId="6" fillId="7" borderId="7" xfId="0" applyFont="1" applyFill="1" applyBorder="1" applyAlignment="1">
      <alignment horizontal="left" vertical="top" wrapText="1"/>
    </xf>
    <xf numFmtId="0" fontId="6" fillId="2" borderId="18" xfId="0" applyFont="1" applyFill="1" applyBorder="1" applyAlignment="1">
      <alignment horizontal="left" vertical="center" wrapText="1"/>
    </xf>
    <xf numFmtId="0" fontId="6" fillId="2" borderId="19"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5" fillId="0" borderId="50" xfId="0" applyFont="1" applyBorder="1" applyAlignment="1">
      <alignment horizontal="left" vertical="top" wrapText="1"/>
    </xf>
    <xf numFmtId="0" fontId="5" fillId="0" borderId="29" xfId="0" applyFont="1" applyBorder="1" applyAlignment="1">
      <alignment horizontal="left" vertical="top" wrapText="1"/>
    </xf>
    <xf numFmtId="0" fontId="5" fillId="0" borderId="22" xfId="0" applyFont="1" applyBorder="1" applyAlignment="1">
      <alignment horizontal="left" vertical="top" wrapText="1"/>
    </xf>
    <xf numFmtId="0" fontId="6" fillId="0" borderId="1" xfId="0" applyFont="1" applyBorder="1" applyAlignment="1">
      <alignment vertical="top" wrapText="1"/>
    </xf>
    <xf numFmtId="0" fontId="5" fillId="0" borderId="24"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5" fillId="0" borderId="32" xfId="0" applyFont="1" applyBorder="1" applyAlignment="1">
      <alignment horizontal="left" vertical="top" wrapText="1"/>
    </xf>
    <xf numFmtId="0" fontId="5" fillId="0" borderId="40" xfId="0" applyFont="1" applyBorder="1" applyAlignment="1">
      <alignment horizontal="left" vertical="top" wrapText="1"/>
    </xf>
    <xf numFmtId="0" fontId="5" fillId="0" borderId="35" xfId="0" applyFont="1" applyBorder="1" applyAlignment="1">
      <alignment horizontal="left" vertical="top" wrapText="1"/>
    </xf>
    <xf numFmtId="0" fontId="5" fillId="0" borderId="1" xfId="0" applyFont="1" applyBorder="1" applyAlignment="1">
      <alignment horizontal="left" vertical="top" wrapText="1"/>
    </xf>
    <xf numFmtId="0" fontId="5" fillId="0" borderId="8" xfId="0" applyFont="1" applyBorder="1" applyAlignment="1">
      <alignment horizontal="left" vertical="top" wrapText="1"/>
    </xf>
    <xf numFmtId="0" fontId="5" fillId="0" borderId="5" xfId="0" applyFont="1" applyBorder="1" applyAlignment="1">
      <alignment horizontal="left" vertical="top" wrapText="1"/>
    </xf>
    <xf numFmtId="0" fontId="6" fillId="0" borderId="33" xfId="0" applyFont="1" applyBorder="1" applyAlignment="1">
      <alignment horizontal="left" vertical="top" wrapText="1"/>
    </xf>
    <xf numFmtId="0" fontId="6" fillId="6" borderId="2" xfId="0" applyFont="1" applyFill="1" applyBorder="1" applyAlignment="1">
      <alignment horizontal="left" vertical="top" wrapText="1"/>
    </xf>
    <xf numFmtId="0" fontId="6" fillId="6" borderId="3" xfId="0" applyFont="1" applyFill="1" applyBorder="1" applyAlignment="1">
      <alignment horizontal="left" vertical="top" wrapText="1"/>
    </xf>
    <xf numFmtId="0" fontId="6" fillId="6" borderId="4" xfId="0" applyFont="1" applyFill="1" applyBorder="1" applyAlignment="1">
      <alignment horizontal="left" vertical="top" wrapText="1"/>
    </xf>
    <xf numFmtId="0" fontId="5" fillId="0" borderId="41" xfId="0" applyFont="1" applyBorder="1" applyAlignment="1">
      <alignment horizontal="left" vertical="top" wrapText="1"/>
    </xf>
    <xf numFmtId="0" fontId="5" fillId="0" borderId="4" xfId="0" applyFont="1" applyBorder="1" applyAlignment="1">
      <alignment horizontal="left" vertical="top" wrapText="1"/>
    </xf>
    <xf numFmtId="0" fontId="7" fillId="4" borderId="5" xfId="0" applyFont="1" applyFill="1" applyBorder="1" applyAlignment="1">
      <alignment horizontal="left" vertical="top"/>
    </xf>
    <xf numFmtId="0" fontId="7" fillId="4" borderId="6" xfId="0" applyFont="1" applyFill="1" applyBorder="1" applyAlignment="1">
      <alignment horizontal="left" vertical="top"/>
    </xf>
    <xf numFmtId="0" fontId="7" fillId="4" borderId="1" xfId="0" applyFont="1" applyFill="1" applyBorder="1" applyAlignment="1">
      <alignment horizontal="left" vertical="top"/>
    </xf>
    <xf numFmtId="0" fontId="7" fillId="0" borderId="1" xfId="0" applyFont="1" applyBorder="1" applyAlignment="1">
      <alignment horizontal="left" vertical="top"/>
    </xf>
  </cellXfs>
  <cellStyles count="5">
    <cellStyle name="Comma" xfId="3" builtinId="3"/>
    <cellStyle name="Currency" xfId="2" builtinId="4"/>
    <cellStyle name="Normal" xfId="0" builtinId="0"/>
    <cellStyle name="Normal 3" xfId="1" xr:uid="{A610D6D3-1A2F-4027-85FD-C0A2C804D135}"/>
    <cellStyle name="Perc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90"/>
  <sheetViews>
    <sheetView tabSelected="1" zoomScale="50" zoomScaleNormal="50" workbookViewId="0">
      <pane ySplit="3" topLeftCell="A85" activePane="bottomLeft" state="frozen"/>
      <selection activeCell="G4" sqref="G4"/>
      <selection pane="bottomLeft" activeCell="C101" sqref="C101:C104"/>
    </sheetView>
  </sheetViews>
  <sheetFormatPr defaultColWidth="8.54296875" defaultRowHeight="14" x14ac:dyDescent="0.3"/>
  <cols>
    <col min="1" max="1" width="41.453125" style="14" customWidth="1"/>
    <col min="2" max="2" width="53" style="14" customWidth="1"/>
    <col min="3" max="3" width="62.1796875" style="14" customWidth="1"/>
    <col min="4" max="4" width="16.453125" style="14" customWidth="1"/>
    <col min="5" max="5" width="28.1796875" style="14" customWidth="1"/>
    <col min="6" max="6" width="15.54296875" style="14" customWidth="1"/>
    <col min="7" max="7" width="24.54296875" style="14" customWidth="1"/>
    <col min="8" max="8" width="22.81640625" style="14" customWidth="1"/>
    <col min="9" max="9" width="22" style="14" customWidth="1"/>
    <col min="10" max="10" width="21.1796875" style="14" customWidth="1"/>
    <col min="11" max="11" width="19.453125" style="14" customWidth="1"/>
    <col min="12" max="12" width="19.81640625" style="14" customWidth="1"/>
    <col min="13" max="13" width="20.1796875" style="14" customWidth="1"/>
    <col min="14" max="14" width="21" style="14" customWidth="1"/>
    <col min="15" max="15" width="13.453125" style="14" customWidth="1"/>
    <col min="16" max="16" width="12.81640625" style="14" bestFit="1" customWidth="1"/>
    <col min="17" max="17" width="13.54296875" style="14" customWidth="1"/>
    <col min="18" max="18" width="11.453125" style="14" bestFit="1" customWidth="1"/>
    <col min="19" max="19" width="17.81640625" style="14" customWidth="1"/>
    <col min="20" max="21" width="14.453125" style="14" customWidth="1"/>
    <col min="22" max="16384" width="8.54296875" style="14"/>
  </cols>
  <sheetData>
    <row r="1" spans="1:15" ht="18" x14ac:dyDescent="0.4">
      <c r="A1" s="13" t="s">
        <v>0</v>
      </c>
      <c r="G1" s="15"/>
    </row>
    <row r="2" spans="1:15" ht="18" x14ac:dyDescent="0.4">
      <c r="A2" s="13" t="s">
        <v>1</v>
      </c>
      <c r="G2" s="15"/>
    </row>
    <row r="3" spans="1:15" ht="28.5" thickBot="1" x14ac:dyDescent="0.35">
      <c r="A3" s="53" t="s">
        <v>2</v>
      </c>
      <c r="B3" s="53" t="s">
        <v>3</v>
      </c>
      <c r="C3" s="53" t="s">
        <v>4</v>
      </c>
      <c r="D3" s="53" t="s">
        <v>5</v>
      </c>
      <c r="E3" s="53" t="s">
        <v>6</v>
      </c>
      <c r="F3" s="53" t="s">
        <v>7</v>
      </c>
      <c r="G3" s="53" t="s">
        <v>8</v>
      </c>
      <c r="H3" s="53" t="s">
        <v>9</v>
      </c>
      <c r="I3" s="53" t="s">
        <v>10</v>
      </c>
      <c r="J3" s="53" t="s">
        <v>11</v>
      </c>
      <c r="K3" s="53" t="s">
        <v>12</v>
      </c>
      <c r="L3" s="53" t="s">
        <v>13</v>
      </c>
      <c r="M3" s="53" t="s">
        <v>14</v>
      </c>
      <c r="N3" s="53" t="s">
        <v>15</v>
      </c>
      <c r="O3" s="16" t="s">
        <v>16</v>
      </c>
    </row>
    <row r="4" spans="1:15" ht="28" x14ac:dyDescent="0.3">
      <c r="A4" s="211" t="s">
        <v>315</v>
      </c>
      <c r="B4" s="221" t="s">
        <v>316</v>
      </c>
      <c r="C4" s="166" t="s">
        <v>317</v>
      </c>
      <c r="D4" s="46" t="s">
        <v>17</v>
      </c>
      <c r="E4" s="52" t="s">
        <v>18</v>
      </c>
      <c r="F4" s="47" t="s">
        <v>19</v>
      </c>
      <c r="G4" s="48">
        <f>'Notes and Assumptions'!F$2</f>
        <v>3000</v>
      </c>
      <c r="H4" s="48">
        <f>'Notes and Assumptions'!G$2</f>
        <v>3000</v>
      </c>
      <c r="I4" s="48">
        <f>'Notes and Assumptions'!H$2</f>
        <v>0</v>
      </c>
      <c r="J4" s="48">
        <f>'Notes and Assumptions'!I$2</f>
        <v>0</v>
      </c>
      <c r="K4" s="48">
        <f>'Notes and Assumptions'!J$2</f>
        <v>0</v>
      </c>
      <c r="L4" s="48">
        <f>'Notes and Assumptions'!K$2</f>
        <v>0</v>
      </c>
      <c r="M4" s="48">
        <f>'Notes and Assumptions'!L$2</f>
        <v>0</v>
      </c>
      <c r="N4" s="54">
        <f t="shared" ref="N4:N28" si="0">SUM(H4:M4)</f>
        <v>3000</v>
      </c>
      <c r="O4" s="17" t="b">
        <f>G4=N4</f>
        <v>1</v>
      </c>
    </row>
    <row r="5" spans="1:15" ht="28" x14ac:dyDescent="0.3">
      <c r="A5" s="212"/>
      <c r="B5" s="167"/>
      <c r="C5" s="166"/>
      <c r="D5" s="46" t="s">
        <v>17</v>
      </c>
      <c r="E5" s="40" t="s">
        <v>20</v>
      </c>
      <c r="F5" s="47" t="s">
        <v>21</v>
      </c>
      <c r="G5" s="48">
        <f>'Notes and Assumptions'!F3</f>
        <v>76000</v>
      </c>
      <c r="H5" s="48">
        <f>'Notes and Assumptions'!G$3</f>
        <v>76000</v>
      </c>
      <c r="I5" s="48">
        <f>'Notes and Assumptions'!H$3</f>
        <v>0</v>
      </c>
      <c r="J5" s="48">
        <f>'Notes and Assumptions'!I$3</f>
        <v>0</v>
      </c>
      <c r="K5" s="48">
        <f>'Notes and Assumptions'!J$3</f>
        <v>0</v>
      </c>
      <c r="L5" s="48">
        <f>'Notes and Assumptions'!K$3</f>
        <v>0</v>
      </c>
      <c r="M5" s="48">
        <f>'Notes and Assumptions'!L$3</f>
        <v>0</v>
      </c>
      <c r="N5" s="49">
        <f t="shared" ref="N5" si="1">SUM(H5:M5)</f>
        <v>76000</v>
      </c>
      <c r="O5" s="17"/>
    </row>
    <row r="6" spans="1:15" x14ac:dyDescent="0.3">
      <c r="A6" s="213"/>
      <c r="B6" s="167"/>
      <c r="C6" s="214"/>
      <c r="D6" s="19" t="s">
        <v>17</v>
      </c>
      <c r="E6" s="18" t="s">
        <v>22</v>
      </c>
      <c r="F6" s="47" t="s">
        <v>23</v>
      </c>
      <c r="G6" s="21">
        <f>'Notes and Assumptions'!F4</f>
        <v>11124</v>
      </c>
      <c r="H6" s="21">
        <f>'Notes and Assumptions'!G4</f>
        <v>11124</v>
      </c>
      <c r="I6" s="21">
        <f>'Notes and Assumptions'!H4</f>
        <v>0</v>
      </c>
      <c r="J6" s="21">
        <f>'Notes and Assumptions'!I4</f>
        <v>0</v>
      </c>
      <c r="K6" s="21">
        <f>'Notes and Assumptions'!J4</f>
        <v>0</v>
      </c>
      <c r="L6" s="21">
        <f>'Notes and Assumptions'!K4</f>
        <v>0</v>
      </c>
      <c r="M6" s="21">
        <f>'Notes and Assumptions'!L4</f>
        <v>0</v>
      </c>
      <c r="N6" s="22">
        <f t="shared" si="0"/>
        <v>11124</v>
      </c>
      <c r="O6" s="17" t="b">
        <f t="shared" ref="O6:O11" si="2">G6=N6</f>
        <v>1</v>
      </c>
    </row>
    <row r="7" spans="1:15" ht="28" x14ac:dyDescent="0.3">
      <c r="A7" s="213"/>
      <c r="B7" s="167"/>
      <c r="C7" s="214"/>
      <c r="D7" s="19" t="s">
        <v>17</v>
      </c>
      <c r="E7" s="18" t="s">
        <v>18</v>
      </c>
      <c r="F7" s="47" t="s">
        <v>25</v>
      </c>
      <c r="G7" s="21">
        <f>'Notes and Assumptions'!F5</f>
        <v>12000</v>
      </c>
      <c r="H7" s="21">
        <f>'Notes and Assumptions'!G5</f>
        <v>12000</v>
      </c>
      <c r="I7" s="21">
        <f>'Notes and Assumptions'!H5</f>
        <v>0</v>
      </c>
      <c r="J7" s="21">
        <f>'Notes and Assumptions'!I5</f>
        <v>0</v>
      </c>
      <c r="K7" s="21">
        <f>'Notes and Assumptions'!J5</f>
        <v>0</v>
      </c>
      <c r="L7" s="21">
        <f>'Notes and Assumptions'!K5</f>
        <v>0</v>
      </c>
      <c r="M7" s="21">
        <f>'Notes and Assumptions'!L5</f>
        <v>0</v>
      </c>
      <c r="N7" s="22">
        <f t="shared" si="0"/>
        <v>12000</v>
      </c>
      <c r="O7" s="17" t="b">
        <f t="shared" si="2"/>
        <v>1</v>
      </c>
    </row>
    <row r="8" spans="1:15" x14ac:dyDescent="0.3">
      <c r="A8" s="213"/>
      <c r="B8" s="167"/>
      <c r="C8" s="214"/>
      <c r="D8" s="19" t="s">
        <v>17</v>
      </c>
      <c r="E8" s="18" t="s">
        <v>26</v>
      </c>
      <c r="F8" s="47" t="s">
        <v>27</v>
      </c>
      <c r="G8" s="21">
        <f>'Notes and Assumptions'!F6</f>
        <v>960000</v>
      </c>
      <c r="H8" s="21">
        <f>'Notes and Assumptions'!G6</f>
        <v>160000</v>
      </c>
      <c r="I8" s="21">
        <f>'Notes and Assumptions'!H6</f>
        <v>160000</v>
      </c>
      <c r="J8" s="21">
        <f>'Notes and Assumptions'!I6</f>
        <v>160000</v>
      </c>
      <c r="K8" s="21">
        <f>'Notes and Assumptions'!J6</f>
        <v>160000</v>
      </c>
      <c r="L8" s="21">
        <f>'Notes and Assumptions'!K6</f>
        <v>160000</v>
      </c>
      <c r="M8" s="21">
        <f>'Notes and Assumptions'!L6</f>
        <v>160000</v>
      </c>
      <c r="N8" s="22">
        <f t="shared" ref="N8" si="3">SUM(H8:M8)</f>
        <v>960000</v>
      </c>
      <c r="O8" s="17" t="b">
        <f t="shared" si="2"/>
        <v>1</v>
      </c>
    </row>
    <row r="9" spans="1:15" x14ac:dyDescent="0.3">
      <c r="A9" s="213"/>
      <c r="B9" s="167"/>
      <c r="C9" s="214"/>
      <c r="D9" s="19" t="s">
        <v>17</v>
      </c>
      <c r="E9" s="18" t="s">
        <v>26</v>
      </c>
      <c r="F9" s="47" t="s">
        <v>28</v>
      </c>
      <c r="G9" s="21">
        <f>'Notes and Assumptions'!F7</f>
        <v>480000</v>
      </c>
      <c r="H9" s="21">
        <f>'Notes and Assumptions'!G7</f>
        <v>80000</v>
      </c>
      <c r="I9" s="21">
        <f>'Notes and Assumptions'!H7</f>
        <v>80000</v>
      </c>
      <c r="J9" s="21">
        <f>'Notes and Assumptions'!I7</f>
        <v>80000</v>
      </c>
      <c r="K9" s="21">
        <f>'Notes and Assumptions'!J7</f>
        <v>80000</v>
      </c>
      <c r="L9" s="21">
        <f>'Notes and Assumptions'!K7</f>
        <v>80000</v>
      </c>
      <c r="M9" s="21">
        <f>'Notes and Assumptions'!L7</f>
        <v>80000</v>
      </c>
      <c r="N9" s="22">
        <f t="shared" si="0"/>
        <v>480000</v>
      </c>
      <c r="O9" s="17" t="b">
        <f t="shared" si="2"/>
        <v>1</v>
      </c>
    </row>
    <row r="10" spans="1:15" x14ac:dyDescent="0.3">
      <c r="A10" s="213"/>
      <c r="B10" s="167"/>
      <c r="C10" s="214"/>
      <c r="D10" s="19" t="s">
        <v>17</v>
      </c>
      <c r="E10" s="18" t="s">
        <v>26</v>
      </c>
      <c r="F10" s="47" t="s">
        <v>461</v>
      </c>
      <c r="G10" s="21">
        <f>'Notes and Assumptions'!F8</f>
        <v>165000</v>
      </c>
      <c r="H10" s="21">
        <f>'Notes and Assumptions'!G8</f>
        <v>27500</v>
      </c>
      <c r="I10" s="21">
        <f>'Notes and Assumptions'!H8</f>
        <v>27500</v>
      </c>
      <c r="J10" s="21">
        <f>'Notes and Assumptions'!I8</f>
        <v>27500</v>
      </c>
      <c r="K10" s="21">
        <f>'Notes and Assumptions'!J8</f>
        <v>27500</v>
      </c>
      <c r="L10" s="21">
        <f>'Notes and Assumptions'!K8</f>
        <v>27500</v>
      </c>
      <c r="M10" s="21">
        <f>'Notes and Assumptions'!L8</f>
        <v>27500</v>
      </c>
      <c r="N10" s="22">
        <f t="shared" si="0"/>
        <v>165000</v>
      </c>
      <c r="O10" s="17" t="b">
        <f t="shared" si="2"/>
        <v>1</v>
      </c>
    </row>
    <row r="11" spans="1:15" x14ac:dyDescent="0.3">
      <c r="A11" s="213"/>
      <c r="B11" s="167"/>
      <c r="C11" s="214"/>
      <c r="D11" s="19" t="s">
        <v>17</v>
      </c>
      <c r="E11" s="18" t="s">
        <v>26</v>
      </c>
      <c r="F11" s="47" t="s">
        <v>463</v>
      </c>
      <c r="G11" s="21">
        <f>'Notes and Assumptions'!F9</f>
        <v>195000</v>
      </c>
      <c r="H11" s="21">
        <f>'Notes and Assumptions'!G9</f>
        <v>32500</v>
      </c>
      <c r="I11" s="21">
        <f>'Notes and Assumptions'!H9</f>
        <v>32500</v>
      </c>
      <c r="J11" s="21">
        <f>'Notes and Assumptions'!I9</f>
        <v>32500</v>
      </c>
      <c r="K11" s="21">
        <f>'Notes and Assumptions'!J9</f>
        <v>32500</v>
      </c>
      <c r="L11" s="21">
        <f>'Notes and Assumptions'!K9</f>
        <v>32500</v>
      </c>
      <c r="M11" s="21">
        <f>'Notes and Assumptions'!L9</f>
        <v>32500</v>
      </c>
      <c r="N11" s="22">
        <f t="shared" si="0"/>
        <v>195000</v>
      </c>
      <c r="O11" s="17" t="b">
        <f t="shared" si="2"/>
        <v>1</v>
      </c>
    </row>
    <row r="12" spans="1:15" ht="28" x14ac:dyDescent="0.3">
      <c r="A12" s="213"/>
      <c r="B12" s="167"/>
      <c r="C12" s="214"/>
      <c r="D12" s="19" t="s">
        <v>17</v>
      </c>
      <c r="E12" s="18" t="s">
        <v>18</v>
      </c>
      <c r="F12" s="47" t="s">
        <v>29</v>
      </c>
      <c r="G12" s="21">
        <f>'Notes and Assumptions'!F10</f>
        <v>3000</v>
      </c>
      <c r="H12" s="21">
        <f>'Notes and Assumptions'!G10</f>
        <v>3000</v>
      </c>
      <c r="I12" s="21">
        <f>'Notes and Assumptions'!H10</f>
        <v>0</v>
      </c>
      <c r="J12" s="21">
        <f>'Notes and Assumptions'!I10</f>
        <v>0</v>
      </c>
      <c r="K12" s="21">
        <f>'Notes and Assumptions'!J10</f>
        <v>0</v>
      </c>
      <c r="L12" s="21">
        <f>'Notes and Assumptions'!K10</f>
        <v>0</v>
      </c>
      <c r="M12" s="21">
        <f>'Notes and Assumptions'!L10</f>
        <v>0</v>
      </c>
      <c r="N12" s="22">
        <f t="shared" si="0"/>
        <v>3000</v>
      </c>
      <c r="O12" s="17" t="b">
        <f t="shared" ref="O12:O20" si="4">G12=N12</f>
        <v>1</v>
      </c>
    </row>
    <row r="13" spans="1:15" ht="28" x14ac:dyDescent="0.3">
      <c r="A13" s="213"/>
      <c r="B13" s="167"/>
      <c r="C13" s="159" t="s">
        <v>318</v>
      </c>
      <c r="D13" s="19" t="s">
        <v>17</v>
      </c>
      <c r="E13" s="18" t="s">
        <v>20</v>
      </c>
      <c r="F13" s="47" t="s">
        <v>30</v>
      </c>
      <c r="G13" s="21">
        <f>'Notes and Assumptions'!F11</f>
        <v>4000</v>
      </c>
      <c r="H13" s="21">
        <f>'Notes and Assumptions'!G11</f>
        <v>4000</v>
      </c>
      <c r="I13" s="21">
        <f>'Notes and Assumptions'!H11</f>
        <v>0</v>
      </c>
      <c r="J13" s="21">
        <f>'Notes and Assumptions'!I11</f>
        <v>0</v>
      </c>
      <c r="K13" s="21">
        <f>'Notes and Assumptions'!J11</f>
        <v>0</v>
      </c>
      <c r="L13" s="21">
        <f>'Notes and Assumptions'!K11</f>
        <v>0</v>
      </c>
      <c r="M13" s="21">
        <f>'Notes and Assumptions'!L11</f>
        <v>0</v>
      </c>
      <c r="N13" s="22">
        <f t="shared" si="0"/>
        <v>4000</v>
      </c>
      <c r="O13" s="17" t="b">
        <f t="shared" si="4"/>
        <v>1</v>
      </c>
    </row>
    <row r="14" spans="1:15" ht="28" x14ac:dyDescent="0.3">
      <c r="A14" s="213"/>
      <c r="B14" s="167"/>
      <c r="C14" s="159"/>
      <c r="D14" s="19" t="s">
        <v>24</v>
      </c>
      <c r="E14" s="18" t="s">
        <v>20</v>
      </c>
      <c r="F14" s="47" t="s">
        <v>391</v>
      </c>
      <c r="G14" s="21">
        <f>'Notes and Assumptions'!$F$12</f>
        <v>9600</v>
      </c>
      <c r="H14" s="21">
        <f>'Notes and Assumptions'!$G$12</f>
        <v>1600</v>
      </c>
      <c r="I14" s="21">
        <f>'Notes and Assumptions'!$H$12</f>
        <v>1600</v>
      </c>
      <c r="J14" s="21">
        <f>'Notes and Assumptions'!$I$12</f>
        <v>1600</v>
      </c>
      <c r="K14" s="21">
        <f>'Notes and Assumptions'!$J$12</f>
        <v>1600</v>
      </c>
      <c r="L14" s="21">
        <f>'Notes and Assumptions'!$K$12</f>
        <v>1600</v>
      </c>
      <c r="M14" s="21">
        <f>'Notes and Assumptions'!$L$12</f>
        <v>1600</v>
      </c>
      <c r="N14" s="22">
        <f t="shared" si="0"/>
        <v>9600</v>
      </c>
      <c r="O14" s="17" t="b">
        <f t="shared" si="4"/>
        <v>1</v>
      </c>
    </row>
    <row r="15" spans="1:15" x14ac:dyDescent="0.3">
      <c r="A15" s="213"/>
      <c r="B15" s="167"/>
      <c r="C15" s="159"/>
      <c r="D15" s="19" t="s">
        <v>17</v>
      </c>
      <c r="E15" s="18" t="s">
        <v>22</v>
      </c>
      <c r="F15" s="47" t="s">
        <v>31</v>
      </c>
      <c r="G15" s="21">
        <f>'Notes and Assumptions'!F13</f>
        <v>22752</v>
      </c>
      <c r="H15" s="21">
        <f>'Notes and Assumptions'!G13</f>
        <v>3792</v>
      </c>
      <c r="I15" s="21">
        <f>'Notes and Assumptions'!H13</f>
        <v>3792</v>
      </c>
      <c r="J15" s="21">
        <f>'Notes and Assumptions'!I13</f>
        <v>3792</v>
      </c>
      <c r="K15" s="21">
        <f>'Notes and Assumptions'!J13</f>
        <v>3792</v>
      </c>
      <c r="L15" s="21">
        <f>'Notes and Assumptions'!K13</f>
        <v>3792</v>
      </c>
      <c r="M15" s="21">
        <f>'Notes and Assumptions'!L13</f>
        <v>3792</v>
      </c>
      <c r="N15" s="22">
        <f t="shared" si="0"/>
        <v>22752</v>
      </c>
      <c r="O15" s="17" t="b">
        <f t="shared" si="4"/>
        <v>1</v>
      </c>
    </row>
    <row r="16" spans="1:15" x14ac:dyDescent="0.3">
      <c r="A16" s="213"/>
      <c r="B16" s="167"/>
      <c r="C16" s="159"/>
      <c r="D16" s="19" t="s">
        <v>17</v>
      </c>
      <c r="E16" s="18" t="s">
        <v>22</v>
      </c>
      <c r="F16" s="47" t="s">
        <v>32</v>
      </c>
      <c r="G16" s="21">
        <f>'Notes and Assumptions'!F14</f>
        <v>25728</v>
      </c>
      <c r="H16" s="21">
        <f>'Notes and Assumptions'!G14</f>
        <v>4288</v>
      </c>
      <c r="I16" s="21">
        <f>'Notes and Assumptions'!H14</f>
        <v>4288</v>
      </c>
      <c r="J16" s="21">
        <f>'Notes and Assumptions'!I14</f>
        <v>4288</v>
      </c>
      <c r="K16" s="21">
        <f>'Notes and Assumptions'!J14</f>
        <v>4288</v>
      </c>
      <c r="L16" s="21">
        <f>'Notes and Assumptions'!K14</f>
        <v>4288</v>
      </c>
      <c r="M16" s="21">
        <f>'Notes and Assumptions'!L14</f>
        <v>4288</v>
      </c>
      <c r="N16" s="22">
        <f t="shared" si="0"/>
        <v>25728</v>
      </c>
      <c r="O16" s="17" t="b">
        <f t="shared" si="4"/>
        <v>1</v>
      </c>
    </row>
    <row r="17" spans="1:15" ht="28" x14ac:dyDescent="0.3">
      <c r="A17" s="213"/>
      <c r="B17" s="167"/>
      <c r="C17" s="159"/>
      <c r="D17" s="19" t="s">
        <v>17</v>
      </c>
      <c r="E17" s="18" t="s">
        <v>18</v>
      </c>
      <c r="F17" s="47" t="s">
        <v>33</v>
      </c>
      <c r="G17" s="21">
        <f>'Notes and Assumptions'!F15</f>
        <v>36000</v>
      </c>
      <c r="H17" s="21">
        <f>'Notes and Assumptions'!G15</f>
        <v>6000</v>
      </c>
      <c r="I17" s="21">
        <f>'Notes and Assumptions'!H15</f>
        <v>6000</v>
      </c>
      <c r="J17" s="21">
        <f>'Notes and Assumptions'!I15</f>
        <v>6000</v>
      </c>
      <c r="K17" s="21">
        <f>'Notes and Assumptions'!J15</f>
        <v>6000</v>
      </c>
      <c r="L17" s="21">
        <f>'Notes and Assumptions'!K15</f>
        <v>6000</v>
      </c>
      <c r="M17" s="21">
        <f>'Notes and Assumptions'!L15</f>
        <v>6000</v>
      </c>
      <c r="N17" s="22">
        <f t="shared" si="0"/>
        <v>36000</v>
      </c>
      <c r="O17" s="17" t="b">
        <f t="shared" si="4"/>
        <v>1</v>
      </c>
    </row>
    <row r="18" spans="1:15" ht="28" x14ac:dyDescent="0.3">
      <c r="A18" s="213"/>
      <c r="B18" s="167"/>
      <c r="C18" s="159" t="s">
        <v>448</v>
      </c>
      <c r="D18" s="19" t="s">
        <v>17</v>
      </c>
      <c r="E18" s="18" t="s">
        <v>20</v>
      </c>
      <c r="F18" s="47" t="s">
        <v>34</v>
      </c>
      <c r="G18" s="21">
        <f>'Notes and Assumptions'!F16</f>
        <v>4000</v>
      </c>
      <c r="H18" s="21">
        <f>'Notes and Assumptions'!G16</f>
        <v>4000</v>
      </c>
      <c r="I18" s="21">
        <f>'Notes and Assumptions'!H16</f>
        <v>0</v>
      </c>
      <c r="J18" s="21">
        <f>'Notes and Assumptions'!I16</f>
        <v>0</v>
      </c>
      <c r="K18" s="21">
        <f>'Notes and Assumptions'!J16</f>
        <v>0</v>
      </c>
      <c r="L18" s="21">
        <f>'Notes and Assumptions'!K16</f>
        <v>0</v>
      </c>
      <c r="M18" s="21">
        <f>'Notes and Assumptions'!L16</f>
        <v>0</v>
      </c>
      <c r="N18" s="22">
        <f t="shared" si="0"/>
        <v>4000</v>
      </c>
      <c r="O18" s="17" t="b">
        <f t="shared" si="4"/>
        <v>1</v>
      </c>
    </row>
    <row r="19" spans="1:15" ht="28" x14ac:dyDescent="0.3">
      <c r="A19" s="213"/>
      <c r="B19" s="167"/>
      <c r="C19" s="214"/>
      <c r="D19" s="19" t="s">
        <v>17</v>
      </c>
      <c r="E19" s="18" t="s">
        <v>18</v>
      </c>
      <c r="F19" s="47" t="s">
        <v>36</v>
      </c>
      <c r="G19" s="21">
        <f>'Notes and Assumptions'!F17</f>
        <v>6000</v>
      </c>
      <c r="H19" s="21">
        <f>'Notes and Assumptions'!G17</f>
        <v>6000</v>
      </c>
      <c r="I19" s="21">
        <f>'Notes and Assumptions'!H17</f>
        <v>0</v>
      </c>
      <c r="J19" s="21">
        <f>'Notes and Assumptions'!I17</f>
        <v>0</v>
      </c>
      <c r="K19" s="21">
        <f>'Notes and Assumptions'!J17</f>
        <v>0</v>
      </c>
      <c r="L19" s="21">
        <f>'Notes and Assumptions'!K17</f>
        <v>0</v>
      </c>
      <c r="M19" s="21">
        <f>'Notes and Assumptions'!L17</f>
        <v>0</v>
      </c>
      <c r="N19" s="22">
        <f t="shared" si="0"/>
        <v>6000</v>
      </c>
      <c r="O19" s="17" t="b">
        <f t="shared" si="4"/>
        <v>1</v>
      </c>
    </row>
    <row r="20" spans="1:15" x14ac:dyDescent="0.3">
      <c r="A20" s="213"/>
      <c r="B20" s="167"/>
      <c r="C20" s="214"/>
      <c r="D20" s="19" t="s">
        <v>17</v>
      </c>
      <c r="E20" s="18" t="s">
        <v>22</v>
      </c>
      <c r="F20" s="47" t="s">
        <v>37</v>
      </c>
      <c r="G20" s="21">
        <f>'Notes and Assumptions'!F18</f>
        <v>2370</v>
      </c>
      <c r="H20" s="21">
        <f>'Notes and Assumptions'!G18</f>
        <v>2370</v>
      </c>
      <c r="I20" s="21">
        <f>'Notes and Assumptions'!H18</f>
        <v>0</v>
      </c>
      <c r="J20" s="21">
        <f>'Notes and Assumptions'!I18</f>
        <v>0</v>
      </c>
      <c r="K20" s="21">
        <f>'Notes and Assumptions'!J18</f>
        <v>0</v>
      </c>
      <c r="L20" s="21">
        <f>'Notes and Assumptions'!K18</f>
        <v>0</v>
      </c>
      <c r="M20" s="21">
        <f>'Notes and Assumptions'!L18</f>
        <v>0</v>
      </c>
      <c r="N20" s="22">
        <f t="shared" si="0"/>
        <v>2370</v>
      </c>
      <c r="O20" s="17" t="b">
        <f t="shared" si="4"/>
        <v>1</v>
      </c>
    </row>
    <row r="21" spans="1:15" ht="28" x14ac:dyDescent="0.3">
      <c r="A21" s="213"/>
      <c r="B21" s="167"/>
      <c r="C21" s="214" t="s">
        <v>319</v>
      </c>
      <c r="D21" s="19" t="s">
        <v>17</v>
      </c>
      <c r="E21" s="18" t="s">
        <v>20</v>
      </c>
      <c r="F21" s="47" t="s">
        <v>38</v>
      </c>
      <c r="G21" s="21">
        <f>'Notes and Assumptions'!F19</f>
        <v>72000</v>
      </c>
      <c r="H21" s="21">
        <f>'Notes and Assumptions'!G19</f>
        <v>72000</v>
      </c>
      <c r="I21" s="21">
        <f>'Notes and Assumptions'!H19</f>
        <v>0</v>
      </c>
      <c r="J21" s="21">
        <f>'Notes and Assumptions'!I19</f>
        <v>0</v>
      </c>
      <c r="K21" s="21">
        <f>'Notes and Assumptions'!J19</f>
        <v>0</v>
      </c>
      <c r="L21" s="21">
        <f>'Notes and Assumptions'!K19</f>
        <v>0</v>
      </c>
      <c r="M21" s="21">
        <f>'Notes and Assumptions'!L19</f>
        <v>0</v>
      </c>
      <c r="N21" s="22">
        <f t="shared" si="0"/>
        <v>72000</v>
      </c>
      <c r="O21" s="17" t="b">
        <f t="shared" ref="O21:O115" si="5">G21=N21</f>
        <v>1</v>
      </c>
    </row>
    <row r="22" spans="1:15" ht="34.75" customHeight="1" x14ac:dyDescent="0.3">
      <c r="A22" s="213"/>
      <c r="B22" s="167"/>
      <c r="C22" s="214"/>
      <c r="D22" s="19" t="s">
        <v>17</v>
      </c>
      <c r="E22" s="18" t="s">
        <v>20</v>
      </c>
      <c r="F22" s="47" t="s">
        <v>39</v>
      </c>
      <c r="G22" s="21">
        <f>'Notes and Assumptions'!F20</f>
        <v>36000</v>
      </c>
      <c r="H22" s="21">
        <f>'Notes and Assumptions'!G20</f>
        <v>36000</v>
      </c>
      <c r="I22" s="21">
        <f>'Notes and Assumptions'!H20</f>
        <v>0</v>
      </c>
      <c r="J22" s="21">
        <f>'Notes and Assumptions'!I20</f>
        <v>0</v>
      </c>
      <c r="K22" s="21">
        <f>'Notes and Assumptions'!J20</f>
        <v>0</v>
      </c>
      <c r="L22" s="21">
        <f>'Notes and Assumptions'!K20</f>
        <v>0</v>
      </c>
      <c r="M22" s="21">
        <f>'Notes and Assumptions'!L20</f>
        <v>0</v>
      </c>
      <c r="N22" s="22">
        <f t="shared" si="0"/>
        <v>36000</v>
      </c>
      <c r="O22" s="17" t="b">
        <f t="shared" si="5"/>
        <v>1</v>
      </c>
    </row>
    <row r="23" spans="1:15" ht="28" x14ac:dyDescent="0.3">
      <c r="A23" s="213"/>
      <c r="B23" s="167"/>
      <c r="C23" s="218" t="s">
        <v>320</v>
      </c>
      <c r="D23" s="19" t="s">
        <v>17</v>
      </c>
      <c r="E23" s="18" t="s">
        <v>20</v>
      </c>
      <c r="F23" s="47" t="s">
        <v>40</v>
      </c>
      <c r="G23" s="21">
        <f>'Notes and Assumptions'!F21</f>
        <v>6000</v>
      </c>
      <c r="H23" s="21">
        <f>'Notes and Assumptions'!G21</f>
        <v>0</v>
      </c>
      <c r="I23" s="21">
        <f>'Notes and Assumptions'!H21</f>
        <v>6000</v>
      </c>
      <c r="J23" s="21">
        <f>'Notes and Assumptions'!I21</f>
        <v>0</v>
      </c>
      <c r="K23" s="21">
        <f>'Notes and Assumptions'!J21</f>
        <v>0</v>
      </c>
      <c r="L23" s="21">
        <f>'Notes and Assumptions'!K21</f>
        <v>0</v>
      </c>
      <c r="M23" s="21">
        <f>'Notes and Assumptions'!L21</f>
        <v>0</v>
      </c>
      <c r="N23" s="22">
        <f t="shared" si="0"/>
        <v>6000</v>
      </c>
      <c r="O23" s="17" t="b">
        <f t="shared" si="5"/>
        <v>1</v>
      </c>
    </row>
    <row r="24" spans="1:15" ht="28" x14ac:dyDescent="0.3">
      <c r="A24" s="213"/>
      <c r="B24" s="167"/>
      <c r="C24" s="219"/>
      <c r="D24" s="19" t="s">
        <v>17</v>
      </c>
      <c r="E24" s="18" t="s">
        <v>18</v>
      </c>
      <c r="F24" s="47" t="s">
        <v>41</v>
      </c>
      <c r="G24" s="21">
        <f>'Notes and Assumptions'!F22</f>
        <v>24000</v>
      </c>
      <c r="H24" s="21">
        <f>'Notes and Assumptions'!G22</f>
        <v>0</v>
      </c>
      <c r="I24" s="21">
        <f>'Notes and Assumptions'!H22</f>
        <v>12000</v>
      </c>
      <c r="J24" s="21">
        <f>'Notes and Assumptions'!I22</f>
        <v>0</v>
      </c>
      <c r="K24" s="21">
        <f>'Notes and Assumptions'!J22</f>
        <v>12000</v>
      </c>
      <c r="L24" s="21">
        <f>'Notes and Assumptions'!K22</f>
        <v>0</v>
      </c>
      <c r="M24" s="21">
        <f>'Notes and Assumptions'!L22</f>
        <v>0</v>
      </c>
      <c r="N24" s="22">
        <f t="shared" si="0"/>
        <v>24000</v>
      </c>
      <c r="O24" s="17" t="b">
        <f t="shared" si="5"/>
        <v>1</v>
      </c>
    </row>
    <row r="25" spans="1:15" ht="22.4" customHeight="1" x14ac:dyDescent="0.3">
      <c r="A25" s="213"/>
      <c r="B25" s="222"/>
      <c r="C25" s="220"/>
      <c r="D25" s="19" t="s">
        <v>17</v>
      </c>
      <c r="E25" s="18" t="s">
        <v>22</v>
      </c>
      <c r="F25" s="47" t="s">
        <v>42</v>
      </c>
      <c r="G25" s="21">
        <f>'Notes and Assumptions'!F23</f>
        <v>4944</v>
      </c>
      <c r="H25" s="21">
        <f>'Notes and Assumptions'!G23</f>
        <v>0</v>
      </c>
      <c r="I25" s="21">
        <f>'Notes and Assumptions'!H23</f>
        <v>4944</v>
      </c>
      <c r="J25" s="21">
        <f>'Notes and Assumptions'!I23</f>
        <v>0</v>
      </c>
      <c r="K25" s="21">
        <f>'Notes and Assumptions'!J23</f>
        <v>0</v>
      </c>
      <c r="L25" s="21">
        <f>'Notes and Assumptions'!K23</f>
        <v>0</v>
      </c>
      <c r="M25" s="21">
        <f>'Notes and Assumptions'!L23</f>
        <v>0</v>
      </c>
      <c r="N25" s="22">
        <f t="shared" si="0"/>
        <v>4944</v>
      </c>
      <c r="O25" s="17" t="b">
        <f t="shared" si="5"/>
        <v>1</v>
      </c>
    </row>
    <row r="26" spans="1:15" x14ac:dyDescent="0.3">
      <c r="A26" s="23" t="s">
        <v>43</v>
      </c>
      <c r="B26" s="24"/>
      <c r="C26" s="24"/>
      <c r="D26" s="24"/>
      <c r="E26" s="24"/>
      <c r="F26" s="25"/>
      <c r="G26" s="26">
        <f t="shared" ref="G26:M26" si="6">SUMIF($D4:$D25, "GCF", G4:G25)</f>
        <v>2148918</v>
      </c>
      <c r="H26" s="26">
        <f t="shared" si="6"/>
        <v>543574</v>
      </c>
      <c r="I26" s="26">
        <f t="shared" si="6"/>
        <v>337024</v>
      </c>
      <c r="J26" s="26">
        <f t="shared" si="6"/>
        <v>314080</v>
      </c>
      <c r="K26" s="26">
        <f t="shared" si="6"/>
        <v>326080</v>
      </c>
      <c r="L26" s="26">
        <f t="shared" si="6"/>
        <v>314080</v>
      </c>
      <c r="M26" s="26">
        <f t="shared" si="6"/>
        <v>314080</v>
      </c>
      <c r="N26" s="27">
        <f t="shared" si="0"/>
        <v>2148918</v>
      </c>
      <c r="O26" s="17"/>
    </row>
    <row r="27" spans="1:15" x14ac:dyDescent="0.3">
      <c r="A27" s="28" t="s">
        <v>44</v>
      </c>
      <c r="B27" s="29"/>
      <c r="C27" s="29"/>
      <c r="D27" s="29"/>
      <c r="E27" s="29"/>
      <c r="F27" s="30"/>
      <c r="G27" s="31">
        <f t="shared" ref="G27:M27" si="7">SUMIF($D$4:$D$25, "GoM", G$4:G$25)</f>
        <v>9600</v>
      </c>
      <c r="H27" s="31">
        <f t="shared" si="7"/>
        <v>1600</v>
      </c>
      <c r="I27" s="31">
        <f t="shared" si="7"/>
        <v>1600</v>
      </c>
      <c r="J27" s="31">
        <f t="shared" si="7"/>
        <v>1600</v>
      </c>
      <c r="K27" s="31">
        <f t="shared" si="7"/>
        <v>1600</v>
      </c>
      <c r="L27" s="31">
        <f t="shared" si="7"/>
        <v>1600</v>
      </c>
      <c r="M27" s="31">
        <f t="shared" si="7"/>
        <v>1600</v>
      </c>
      <c r="N27" s="32">
        <f t="shared" si="0"/>
        <v>9600</v>
      </c>
      <c r="O27" s="17"/>
    </row>
    <row r="28" spans="1:15" ht="14.5" thickBot="1" x14ac:dyDescent="0.35">
      <c r="A28" s="130" t="s">
        <v>45</v>
      </c>
      <c r="B28" s="131"/>
      <c r="C28" s="131"/>
      <c r="D28" s="35"/>
      <c r="E28" s="35"/>
      <c r="F28" s="36"/>
      <c r="G28" s="132">
        <f>SUM(G4:G25)</f>
        <v>2158518</v>
      </c>
      <c r="H28" s="132">
        <f t="shared" ref="H28:M28" si="8">SUM(H26:H27)</f>
        <v>545174</v>
      </c>
      <c r="I28" s="132">
        <f t="shared" si="8"/>
        <v>338624</v>
      </c>
      <c r="J28" s="132">
        <f t="shared" si="8"/>
        <v>315680</v>
      </c>
      <c r="K28" s="132">
        <f t="shared" si="8"/>
        <v>327680</v>
      </c>
      <c r="L28" s="132">
        <f t="shared" si="8"/>
        <v>315680</v>
      </c>
      <c r="M28" s="132">
        <f t="shared" si="8"/>
        <v>315680</v>
      </c>
      <c r="N28" s="133">
        <f t="shared" si="0"/>
        <v>2158518</v>
      </c>
      <c r="O28" s="17"/>
    </row>
    <row r="29" spans="1:15" customFormat="1" ht="78" customHeight="1" x14ac:dyDescent="0.35">
      <c r="A29" s="178" t="s">
        <v>321</v>
      </c>
      <c r="B29" s="171" t="s">
        <v>322</v>
      </c>
      <c r="C29" s="172" t="s">
        <v>367</v>
      </c>
      <c r="D29" s="19" t="s">
        <v>17</v>
      </c>
      <c r="E29" s="18" t="s">
        <v>22</v>
      </c>
      <c r="F29" s="47" t="s">
        <v>350</v>
      </c>
      <c r="G29" s="21">
        <f>'Notes and Assumptions'!F24</f>
        <v>51456</v>
      </c>
      <c r="H29" s="21">
        <f>'Notes and Assumptions'!G24</f>
        <v>8576</v>
      </c>
      <c r="I29" s="21">
        <f>'Notes and Assumptions'!H24</f>
        <v>8576</v>
      </c>
      <c r="J29" s="21">
        <f>'Notes and Assumptions'!I24</f>
        <v>8576</v>
      </c>
      <c r="K29" s="21">
        <f>'Notes and Assumptions'!J24</f>
        <v>8576</v>
      </c>
      <c r="L29" s="21">
        <f>'Notes and Assumptions'!K24</f>
        <v>8576</v>
      </c>
      <c r="M29" s="21">
        <f>'Notes and Assumptions'!L24</f>
        <v>8576</v>
      </c>
      <c r="N29" s="134">
        <f>SUM(H29:M29)</f>
        <v>51456</v>
      </c>
      <c r="O29" s="17" t="b">
        <f t="shared" si="5"/>
        <v>1</v>
      </c>
    </row>
    <row r="30" spans="1:15" customFormat="1" ht="28" x14ac:dyDescent="0.35">
      <c r="A30" s="179"/>
      <c r="B30" s="171"/>
      <c r="C30" s="172"/>
      <c r="D30" s="19" t="s">
        <v>17</v>
      </c>
      <c r="E30" s="18" t="s">
        <v>18</v>
      </c>
      <c r="F30" s="47" t="s">
        <v>351</v>
      </c>
      <c r="G30" s="21">
        <f>'Notes and Assumptions'!F25</f>
        <v>72000</v>
      </c>
      <c r="H30" s="21">
        <f>'Notes and Assumptions'!G25</f>
        <v>12000</v>
      </c>
      <c r="I30" s="21">
        <f>'Notes and Assumptions'!H25</f>
        <v>12000</v>
      </c>
      <c r="J30" s="21">
        <f>'Notes and Assumptions'!I25</f>
        <v>12000</v>
      </c>
      <c r="K30" s="21">
        <f>'Notes and Assumptions'!J25</f>
        <v>12000</v>
      </c>
      <c r="L30" s="21">
        <f>'Notes and Assumptions'!K25</f>
        <v>12000</v>
      </c>
      <c r="M30" s="21">
        <f>'Notes and Assumptions'!L25</f>
        <v>12000</v>
      </c>
      <c r="N30" s="134">
        <f t="shared" ref="N30:N37" si="9">SUM(H30:M30)</f>
        <v>72000</v>
      </c>
      <c r="O30" s="17" t="b">
        <f t="shared" si="5"/>
        <v>1</v>
      </c>
    </row>
    <row r="31" spans="1:15" customFormat="1" ht="28" x14ac:dyDescent="0.35">
      <c r="A31" s="179"/>
      <c r="B31" s="171"/>
      <c r="C31" s="172"/>
      <c r="D31" s="19" t="s">
        <v>24</v>
      </c>
      <c r="E31" s="18" t="s">
        <v>20</v>
      </c>
      <c r="F31" s="47" t="s">
        <v>410</v>
      </c>
      <c r="G31" s="21">
        <f>'Notes and Assumptions'!$F$26</f>
        <v>9600</v>
      </c>
      <c r="H31" s="21">
        <f>'Notes and Assumptions'!G26</f>
        <v>1600</v>
      </c>
      <c r="I31" s="21">
        <f>'Notes and Assumptions'!H26</f>
        <v>1600</v>
      </c>
      <c r="J31" s="21">
        <f>'Notes and Assumptions'!I26</f>
        <v>1600</v>
      </c>
      <c r="K31" s="21">
        <f>'Notes and Assumptions'!J26</f>
        <v>1600</v>
      </c>
      <c r="L31" s="21">
        <f>'Notes and Assumptions'!K26</f>
        <v>1600</v>
      </c>
      <c r="M31" s="21">
        <f>'Notes and Assumptions'!L26</f>
        <v>1600</v>
      </c>
      <c r="N31" s="134">
        <f t="shared" si="9"/>
        <v>9600</v>
      </c>
      <c r="O31" s="17" t="b">
        <f t="shared" si="5"/>
        <v>1</v>
      </c>
    </row>
    <row r="32" spans="1:15" customFormat="1" ht="28" x14ac:dyDescent="0.35">
      <c r="A32" s="179"/>
      <c r="B32" s="171"/>
      <c r="C32" s="172"/>
      <c r="D32" s="19" t="s">
        <v>17</v>
      </c>
      <c r="E32" s="18" t="s">
        <v>20</v>
      </c>
      <c r="F32" s="47" t="s">
        <v>352</v>
      </c>
      <c r="G32" s="21">
        <f>'Notes and Assumptions'!F27</f>
        <v>57600</v>
      </c>
      <c r="H32" s="21">
        <f>'Notes and Assumptions'!G27</f>
        <v>9600</v>
      </c>
      <c r="I32" s="21">
        <f>'Notes and Assumptions'!H27</f>
        <v>9600</v>
      </c>
      <c r="J32" s="21">
        <f>'Notes and Assumptions'!I27</f>
        <v>9600</v>
      </c>
      <c r="K32" s="21">
        <f>'Notes and Assumptions'!J27</f>
        <v>9600</v>
      </c>
      <c r="L32" s="21">
        <f>'Notes and Assumptions'!K27</f>
        <v>9600</v>
      </c>
      <c r="M32" s="21">
        <f>'Notes and Assumptions'!L27</f>
        <v>9600</v>
      </c>
      <c r="N32" s="134">
        <f t="shared" si="9"/>
        <v>57600</v>
      </c>
      <c r="O32" s="17" t="b">
        <f t="shared" si="5"/>
        <v>1</v>
      </c>
    </row>
    <row r="33" spans="1:18" customFormat="1" ht="42.5" x14ac:dyDescent="0.35">
      <c r="A33" s="179"/>
      <c r="B33" s="171"/>
      <c r="C33" s="136" t="s">
        <v>368</v>
      </c>
      <c r="D33" s="19" t="s">
        <v>17</v>
      </c>
      <c r="E33" s="18" t="s">
        <v>20</v>
      </c>
      <c r="F33" s="47" t="s">
        <v>353</v>
      </c>
      <c r="G33" s="21">
        <f>'Notes and Assumptions'!F28</f>
        <v>38400</v>
      </c>
      <c r="H33" s="21">
        <f>'Notes and Assumptions'!G28</f>
        <v>6400</v>
      </c>
      <c r="I33" s="21">
        <f>'Notes and Assumptions'!H28</f>
        <v>6400</v>
      </c>
      <c r="J33" s="21">
        <f>'Notes and Assumptions'!I28</f>
        <v>6400</v>
      </c>
      <c r="K33" s="21">
        <f>'Notes and Assumptions'!J28</f>
        <v>6400</v>
      </c>
      <c r="L33" s="21">
        <f>'Notes and Assumptions'!K28</f>
        <v>6400</v>
      </c>
      <c r="M33" s="21">
        <f>'Notes and Assumptions'!L28</f>
        <v>6400</v>
      </c>
      <c r="N33" s="134">
        <f>SUM(H33:M33)</f>
        <v>38400</v>
      </c>
      <c r="O33" s="17" t="b">
        <f t="shared" si="5"/>
        <v>1</v>
      </c>
    </row>
    <row r="34" spans="1:18" customFormat="1" ht="73.5" customHeight="1" x14ac:dyDescent="0.35">
      <c r="A34" s="179"/>
      <c r="B34" s="175" t="s">
        <v>323</v>
      </c>
      <c r="C34" s="136" t="s">
        <v>432</v>
      </c>
      <c r="D34" s="19" t="s">
        <v>17</v>
      </c>
      <c r="E34" s="18" t="s">
        <v>20</v>
      </c>
      <c r="F34" s="47" t="s">
        <v>354</v>
      </c>
      <c r="G34" s="21">
        <f>'Notes and Assumptions'!F29</f>
        <v>12000</v>
      </c>
      <c r="H34" s="21">
        <f>'Notes and Assumptions'!G29</f>
        <v>2000</v>
      </c>
      <c r="I34" s="21">
        <f>'Notes and Assumptions'!H29</f>
        <v>2000</v>
      </c>
      <c r="J34" s="21">
        <f>'Notes and Assumptions'!I29</f>
        <v>2000</v>
      </c>
      <c r="K34" s="21">
        <f>'Notes and Assumptions'!J29</f>
        <v>2000</v>
      </c>
      <c r="L34" s="21">
        <f>'Notes and Assumptions'!K29</f>
        <v>2000</v>
      </c>
      <c r="M34" s="21">
        <f>'Notes and Assumptions'!L29</f>
        <v>2000</v>
      </c>
      <c r="N34" s="134">
        <f t="shared" si="9"/>
        <v>12000</v>
      </c>
      <c r="O34" s="17" t="b">
        <f t="shared" si="5"/>
        <v>1</v>
      </c>
    </row>
    <row r="35" spans="1:18" customFormat="1" ht="56.5" x14ac:dyDescent="0.35">
      <c r="A35" s="179"/>
      <c r="B35" s="176"/>
      <c r="C35" s="136" t="s">
        <v>433</v>
      </c>
      <c r="D35" s="19" t="s">
        <v>17</v>
      </c>
      <c r="E35" s="18" t="s">
        <v>20</v>
      </c>
      <c r="F35" s="47" t="s">
        <v>355</v>
      </c>
      <c r="G35" s="21">
        <f>'Notes and Assumptions'!F30</f>
        <v>72000</v>
      </c>
      <c r="H35" s="21">
        <f>'Notes and Assumptions'!G30</f>
        <v>12000</v>
      </c>
      <c r="I35" s="21">
        <f>'Notes and Assumptions'!H30</f>
        <v>12000</v>
      </c>
      <c r="J35" s="21">
        <f>'Notes and Assumptions'!I30</f>
        <v>12000</v>
      </c>
      <c r="K35" s="21">
        <f>'Notes and Assumptions'!J30</f>
        <v>12000</v>
      </c>
      <c r="L35" s="21">
        <f>'Notes and Assumptions'!K30</f>
        <v>12000</v>
      </c>
      <c r="M35" s="21">
        <f>'Notes and Assumptions'!L30</f>
        <v>12000</v>
      </c>
      <c r="N35" s="134">
        <f t="shared" si="9"/>
        <v>72000</v>
      </c>
      <c r="O35" s="17" t="b">
        <f t="shared" si="5"/>
        <v>1</v>
      </c>
    </row>
    <row r="36" spans="1:18" customFormat="1" ht="28" x14ac:dyDescent="0.35">
      <c r="A36" s="179"/>
      <c r="B36" s="176"/>
      <c r="C36" s="173" t="s">
        <v>324</v>
      </c>
      <c r="D36" s="19" t="s">
        <v>17</v>
      </c>
      <c r="E36" s="18" t="s">
        <v>20</v>
      </c>
      <c r="F36" s="47" t="s">
        <v>356</v>
      </c>
      <c r="G36" s="21">
        <f>'Notes and Assumptions'!F31</f>
        <v>90000</v>
      </c>
      <c r="H36" s="21">
        <f>'Notes and Assumptions'!G31</f>
        <v>15000</v>
      </c>
      <c r="I36" s="21">
        <f>'Notes and Assumptions'!H31</f>
        <v>15000</v>
      </c>
      <c r="J36" s="21">
        <f>'Notes and Assumptions'!I31</f>
        <v>15000</v>
      </c>
      <c r="K36" s="21">
        <f>'Notes and Assumptions'!J31</f>
        <v>15000</v>
      </c>
      <c r="L36" s="21">
        <f>'Notes and Assumptions'!K31</f>
        <v>15000</v>
      </c>
      <c r="M36" s="21">
        <f>'Notes and Assumptions'!L31</f>
        <v>15000</v>
      </c>
      <c r="N36" s="134">
        <f t="shared" si="9"/>
        <v>90000</v>
      </c>
      <c r="O36" s="17" t="b">
        <f t="shared" si="5"/>
        <v>1</v>
      </c>
    </row>
    <row r="37" spans="1:18" customFormat="1" ht="28" x14ac:dyDescent="0.35">
      <c r="A37" s="180"/>
      <c r="B37" s="177"/>
      <c r="C37" s="174"/>
      <c r="D37" s="19" t="s">
        <v>24</v>
      </c>
      <c r="E37" s="18" t="s">
        <v>20</v>
      </c>
      <c r="F37" s="20" t="s">
        <v>405</v>
      </c>
      <c r="G37" s="21">
        <f>'Notes and Assumptions'!$F$32</f>
        <v>14400</v>
      </c>
      <c r="H37" s="21">
        <f>'Notes and Assumptions'!G32</f>
        <v>2400</v>
      </c>
      <c r="I37" s="21">
        <f>'Notes and Assumptions'!H32</f>
        <v>2400</v>
      </c>
      <c r="J37" s="21">
        <f>'Notes and Assumptions'!I32</f>
        <v>2400</v>
      </c>
      <c r="K37" s="21">
        <f>'Notes and Assumptions'!J32</f>
        <v>2400</v>
      </c>
      <c r="L37" s="21">
        <f>'Notes and Assumptions'!K32</f>
        <v>2400</v>
      </c>
      <c r="M37" s="21">
        <f>'Notes and Assumptions'!L32</f>
        <v>2400</v>
      </c>
      <c r="N37" s="134">
        <f t="shared" si="9"/>
        <v>14400</v>
      </c>
      <c r="O37" s="17" t="b">
        <f t="shared" si="5"/>
        <v>1</v>
      </c>
    </row>
    <row r="38" spans="1:18" x14ac:dyDescent="0.3">
      <c r="A38" s="23" t="s">
        <v>357</v>
      </c>
      <c r="B38" s="24"/>
      <c r="C38" s="24"/>
      <c r="D38" s="24"/>
      <c r="E38" s="24"/>
      <c r="F38" s="25"/>
      <c r="G38" s="26">
        <f t="shared" ref="G38:M38" si="10">SUMIF($D29:$D37, "GCF", G29:G37)</f>
        <v>393456</v>
      </c>
      <c r="H38" s="26">
        <f t="shared" si="10"/>
        <v>65576</v>
      </c>
      <c r="I38" s="26">
        <f t="shared" si="10"/>
        <v>65576</v>
      </c>
      <c r="J38" s="26">
        <f t="shared" si="10"/>
        <v>65576</v>
      </c>
      <c r="K38" s="26">
        <f t="shared" si="10"/>
        <v>65576</v>
      </c>
      <c r="L38" s="26">
        <f t="shared" si="10"/>
        <v>65576</v>
      </c>
      <c r="M38" s="26">
        <f t="shared" si="10"/>
        <v>65576</v>
      </c>
      <c r="N38" s="27">
        <f>SUM(H38:M38)</f>
        <v>393456</v>
      </c>
      <c r="O38" s="17" t="b">
        <f t="shared" si="5"/>
        <v>1</v>
      </c>
    </row>
    <row r="39" spans="1:18" x14ac:dyDescent="0.3">
      <c r="A39" s="28" t="s">
        <v>358</v>
      </c>
      <c r="B39" s="29"/>
      <c r="C39" s="29"/>
      <c r="D39" s="29"/>
      <c r="E39" s="29"/>
      <c r="F39" s="30"/>
      <c r="G39" s="31">
        <f t="shared" ref="G39:N39" si="11">SUMIF($D$29:$D$37, "GoM", G$29:G$37)</f>
        <v>24000</v>
      </c>
      <c r="H39" s="31">
        <f t="shared" si="11"/>
        <v>4000</v>
      </c>
      <c r="I39" s="31">
        <f t="shared" si="11"/>
        <v>4000</v>
      </c>
      <c r="J39" s="31">
        <f t="shared" si="11"/>
        <v>4000</v>
      </c>
      <c r="K39" s="31">
        <f t="shared" si="11"/>
        <v>4000</v>
      </c>
      <c r="L39" s="31">
        <f t="shared" si="11"/>
        <v>4000</v>
      </c>
      <c r="M39" s="31">
        <f t="shared" si="11"/>
        <v>4000</v>
      </c>
      <c r="N39" s="31">
        <f t="shared" si="11"/>
        <v>24000</v>
      </c>
      <c r="O39" s="17" t="b">
        <f t="shared" si="5"/>
        <v>1</v>
      </c>
    </row>
    <row r="40" spans="1:18" ht="14.5" thickBot="1" x14ac:dyDescent="0.35">
      <c r="A40" s="34" t="s">
        <v>359</v>
      </c>
      <c r="B40" s="35"/>
      <c r="C40" s="35"/>
      <c r="D40" s="35"/>
      <c r="E40" s="35"/>
      <c r="F40" s="36"/>
      <c r="G40" s="37">
        <f t="shared" ref="G40:N40" si="12">SUM(G29:G37)</f>
        <v>417456</v>
      </c>
      <c r="H40" s="37">
        <f t="shared" si="12"/>
        <v>69576</v>
      </c>
      <c r="I40" s="37">
        <f t="shared" si="12"/>
        <v>69576</v>
      </c>
      <c r="J40" s="37">
        <f t="shared" si="12"/>
        <v>69576</v>
      </c>
      <c r="K40" s="37">
        <f t="shared" si="12"/>
        <v>69576</v>
      </c>
      <c r="L40" s="37">
        <f t="shared" si="12"/>
        <v>69576</v>
      </c>
      <c r="M40" s="37">
        <f t="shared" si="12"/>
        <v>69576</v>
      </c>
      <c r="N40" s="37">
        <f t="shared" si="12"/>
        <v>417456</v>
      </c>
      <c r="O40" s="17" t="b">
        <f t="shared" si="5"/>
        <v>1</v>
      </c>
    </row>
    <row r="41" spans="1:18" ht="28" x14ac:dyDescent="0.3">
      <c r="A41" s="212" t="s">
        <v>325</v>
      </c>
      <c r="B41" s="215" t="s">
        <v>326</v>
      </c>
      <c r="C41" s="217" t="s">
        <v>327</v>
      </c>
      <c r="D41" s="39" t="s">
        <v>17</v>
      </c>
      <c r="E41" s="18" t="s">
        <v>20</v>
      </c>
      <c r="F41" s="20" t="s">
        <v>46</v>
      </c>
      <c r="G41" s="21">
        <f>'Notes and Assumptions'!F34</f>
        <v>10800</v>
      </c>
      <c r="H41" s="21">
        <f>'Notes and Assumptions'!G34</f>
        <v>0</v>
      </c>
      <c r="I41" s="21">
        <f>'Notes and Assumptions'!H34</f>
        <v>10800</v>
      </c>
      <c r="J41" s="21">
        <f>'Notes and Assumptions'!I34</f>
        <v>0</v>
      </c>
      <c r="K41" s="21">
        <f>'Notes and Assumptions'!J34</f>
        <v>0</v>
      </c>
      <c r="L41" s="21">
        <f>'Notes and Assumptions'!K34</f>
        <v>0</v>
      </c>
      <c r="M41" s="21">
        <f>'Notes and Assumptions'!L34</f>
        <v>0</v>
      </c>
      <c r="N41" s="21">
        <f>SUM(H41:M41)</f>
        <v>10800</v>
      </c>
      <c r="O41" s="17" t="b">
        <f t="shared" si="5"/>
        <v>1</v>
      </c>
      <c r="P41" s="15"/>
      <c r="Q41" s="15"/>
      <c r="R41" s="15"/>
    </row>
    <row r="42" spans="1:18" x14ac:dyDescent="0.3">
      <c r="A42" s="213"/>
      <c r="B42" s="216"/>
      <c r="C42" s="159"/>
      <c r="D42" s="39" t="s">
        <v>17</v>
      </c>
      <c r="E42" s="18" t="s">
        <v>22</v>
      </c>
      <c r="F42" s="20" t="s">
        <v>47</v>
      </c>
      <c r="G42" s="21">
        <f>'Notes and Assumptions'!F35</f>
        <v>9888</v>
      </c>
      <c r="H42" s="21">
        <f>'Notes and Assumptions'!G35</f>
        <v>0</v>
      </c>
      <c r="I42" s="21">
        <f>'Notes and Assumptions'!H35</f>
        <v>9888</v>
      </c>
      <c r="J42" s="21">
        <f>'Notes and Assumptions'!I35</f>
        <v>0</v>
      </c>
      <c r="K42" s="21">
        <f>'Notes and Assumptions'!J35</f>
        <v>0</v>
      </c>
      <c r="L42" s="21">
        <f>'Notes and Assumptions'!K35</f>
        <v>0</v>
      </c>
      <c r="M42" s="21">
        <f>'Notes and Assumptions'!L35</f>
        <v>0</v>
      </c>
      <c r="N42" s="21">
        <f t="shared" ref="N42:N57" si="13">SUM(H42:M42)</f>
        <v>9888</v>
      </c>
      <c r="O42" s="17" t="b">
        <f t="shared" si="5"/>
        <v>1</v>
      </c>
      <c r="P42" s="15"/>
      <c r="Q42" s="15"/>
      <c r="R42" s="15"/>
    </row>
    <row r="43" spans="1:18" ht="28" x14ac:dyDescent="0.3">
      <c r="A43" s="213"/>
      <c r="B43" s="216"/>
      <c r="C43" s="159"/>
      <c r="D43" s="39" t="s">
        <v>17</v>
      </c>
      <c r="E43" s="18" t="s">
        <v>18</v>
      </c>
      <c r="F43" s="20" t="s">
        <v>48</v>
      </c>
      <c r="G43" s="21">
        <f>'Notes and Assumptions'!F36</f>
        <v>24000</v>
      </c>
      <c r="H43" s="21">
        <f>'Notes and Assumptions'!G36</f>
        <v>0</v>
      </c>
      <c r="I43" s="21">
        <f>'Notes and Assumptions'!H36</f>
        <v>24000</v>
      </c>
      <c r="J43" s="21">
        <f>'Notes and Assumptions'!I36</f>
        <v>0</v>
      </c>
      <c r="K43" s="21">
        <f>'Notes and Assumptions'!J36</f>
        <v>0</v>
      </c>
      <c r="L43" s="21">
        <f>'Notes and Assumptions'!K36</f>
        <v>0</v>
      </c>
      <c r="M43" s="21">
        <f>'Notes and Assumptions'!L36</f>
        <v>0</v>
      </c>
      <c r="N43" s="21">
        <f t="shared" si="13"/>
        <v>24000</v>
      </c>
      <c r="O43" s="17" t="b">
        <f t="shared" si="5"/>
        <v>1</v>
      </c>
      <c r="P43" s="15"/>
      <c r="Q43" s="15"/>
      <c r="R43" s="15"/>
    </row>
    <row r="44" spans="1:18" ht="28" x14ac:dyDescent="0.3">
      <c r="A44" s="213"/>
      <c r="B44" s="216"/>
      <c r="C44" s="159"/>
      <c r="D44" s="39" t="s">
        <v>24</v>
      </c>
      <c r="E44" s="18" t="s">
        <v>20</v>
      </c>
      <c r="F44" s="20" t="s">
        <v>49</v>
      </c>
      <c r="G44" s="21">
        <f>'Notes and Assumptions'!F37</f>
        <v>270000</v>
      </c>
      <c r="H44" s="21">
        <f>'Notes and Assumptions'!G37</f>
        <v>0</v>
      </c>
      <c r="I44" s="21">
        <f>'Notes and Assumptions'!H37</f>
        <v>270000</v>
      </c>
      <c r="J44" s="21">
        <f>'Notes and Assumptions'!I37</f>
        <v>0</v>
      </c>
      <c r="K44" s="21">
        <f>'Notes and Assumptions'!J37</f>
        <v>0</v>
      </c>
      <c r="L44" s="21">
        <f>'Notes and Assumptions'!K37</f>
        <v>0</v>
      </c>
      <c r="M44" s="21">
        <f>'Notes and Assumptions'!L37</f>
        <v>0</v>
      </c>
      <c r="N44" s="21">
        <f t="shared" si="13"/>
        <v>270000</v>
      </c>
      <c r="O44" s="17" t="b">
        <f t="shared" si="5"/>
        <v>1</v>
      </c>
      <c r="P44" s="15"/>
      <c r="Q44" s="15"/>
      <c r="R44" s="15"/>
    </row>
    <row r="45" spans="1:18" ht="46.4" customHeight="1" x14ac:dyDescent="0.3">
      <c r="A45" s="213"/>
      <c r="B45" s="216"/>
      <c r="C45" s="163" t="s">
        <v>328</v>
      </c>
      <c r="D45" s="39" t="s">
        <v>17</v>
      </c>
      <c r="E45" s="18" t="s">
        <v>18</v>
      </c>
      <c r="F45" s="20" t="s">
        <v>50</v>
      </c>
      <c r="G45" s="21">
        <f>'Notes and Assumptions'!F38</f>
        <v>54000</v>
      </c>
      <c r="H45" s="21">
        <f>'Notes and Assumptions'!G38</f>
        <v>54000</v>
      </c>
      <c r="I45" s="21">
        <f>'Notes and Assumptions'!H38</f>
        <v>0</v>
      </c>
      <c r="J45" s="21">
        <f>'Notes and Assumptions'!I38</f>
        <v>0</v>
      </c>
      <c r="K45" s="21">
        <f>'Notes and Assumptions'!J38</f>
        <v>0</v>
      </c>
      <c r="L45" s="21">
        <f>'Notes and Assumptions'!K38</f>
        <v>0</v>
      </c>
      <c r="M45" s="21">
        <f>'Notes and Assumptions'!L38</f>
        <v>0</v>
      </c>
      <c r="N45" s="21">
        <f t="shared" si="13"/>
        <v>54000</v>
      </c>
      <c r="O45" s="17" t="b">
        <f t="shared" si="5"/>
        <v>1</v>
      </c>
      <c r="P45" s="15"/>
      <c r="Q45" s="15"/>
      <c r="R45" s="15"/>
    </row>
    <row r="46" spans="1:18" ht="28.5" customHeight="1" x14ac:dyDescent="0.3">
      <c r="A46" s="213"/>
      <c r="B46" s="216"/>
      <c r="C46" s="164"/>
      <c r="D46" s="39" t="s">
        <v>24</v>
      </c>
      <c r="E46" s="18" t="s">
        <v>20</v>
      </c>
      <c r="F46" s="20" t="s">
        <v>375</v>
      </c>
      <c r="G46" s="21">
        <f>'Notes and Assumptions'!F39</f>
        <v>7200</v>
      </c>
      <c r="H46" s="21">
        <f>'Notes and Assumptions'!G39</f>
        <v>7200</v>
      </c>
      <c r="I46" s="21">
        <f>'Notes and Assumptions'!H39</f>
        <v>0</v>
      </c>
      <c r="J46" s="21">
        <f>'Notes and Assumptions'!I39</f>
        <v>0</v>
      </c>
      <c r="K46" s="21">
        <f>'Notes and Assumptions'!J39</f>
        <v>0</v>
      </c>
      <c r="L46" s="21">
        <f>'Notes and Assumptions'!K39</f>
        <v>0</v>
      </c>
      <c r="M46" s="21">
        <f>'Notes and Assumptions'!L39</f>
        <v>0</v>
      </c>
      <c r="N46" s="21">
        <f t="shared" si="13"/>
        <v>7200</v>
      </c>
      <c r="O46" s="17" t="b">
        <f t="shared" si="5"/>
        <v>1</v>
      </c>
      <c r="P46" s="15"/>
      <c r="Q46" s="15"/>
      <c r="R46" s="15"/>
    </row>
    <row r="47" spans="1:18" ht="15" customHeight="1" x14ac:dyDescent="0.3">
      <c r="A47" s="213"/>
      <c r="B47" s="216"/>
      <c r="C47" s="164"/>
      <c r="D47" s="39" t="s">
        <v>17</v>
      </c>
      <c r="E47" s="18" t="s">
        <v>22</v>
      </c>
      <c r="F47" s="20" t="s">
        <v>51</v>
      </c>
      <c r="G47" s="21">
        <f>'Notes and Assumptions'!F40</f>
        <v>22752</v>
      </c>
      <c r="H47" s="21">
        <f>'Notes and Assumptions'!G40</f>
        <v>22752</v>
      </c>
      <c r="I47" s="21">
        <f>'Notes and Assumptions'!H40</f>
        <v>0</v>
      </c>
      <c r="J47" s="21">
        <f>'Notes and Assumptions'!I40</f>
        <v>0</v>
      </c>
      <c r="K47" s="21">
        <f>'Notes and Assumptions'!J40</f>
        <v>0</v>
      </c>
      <c r="L47" s="21">
        <f>'Notes and Assumptions'!K40</f>
        <v>0</v>
      </c>
      <c r="M47" s="21">
        <f>'Notes and Assumptions'!L40</f>
        <v>0</v>
      </c>
      <c r="N47" s="21">
        <f t="shared" si="13"/>
        <v>22752</v>
      </c>
      <c r="O47" s="17" t="b">
        <f t="shared" si="5"/>
        <v>1</v>
      </c>
      <c r="P47" s="15"/>
      <c r="Q47" s="15"/>
      <c r="R47" s="15"/>
    </row>
    <row r="48" spans="1:18" ht="14.15" customHeight="1" x14ac:dyDescent="0.3">
      <c r="A48" s="213"/>
      <c r="B48" s="216"/>
      <c r="C48" s="164"/>
      <c r="D48" s="39" t="s">
        <v>17</v>
      </c>
      <c r="E48" s="18" t="s">
        <v>52</v>
      </c>
      <c r="F48" s="20" t="s">
        <v>53</v>
      </c>
      <c r="G48" s="21">
        <f>'Notes and Assumptions'!F41</f>
        <v>2129064</v>
      </c>
      <c r="H48" s="21">
        <f>'Notes and Assumptions'!G41</f>
        <v>0</v>
      </c>
      <c r="I48" s="21">
        <f>'Notes and Assumptions'!H41</f>
        <v>425812.8</v>
      </c>
      <c r="J48" s="21">
        <f>'Notes and Assumptions'!I41</f>
        <v>425812.8</v>
      </c>
      <c r="K48" s="21">
        <f>'Notes and Assumptions'!J41</f>
        <v>425812.8</v>
      </c>
      <c r="L48" s="21">
        <f>'Notes and Assumptions'!K41</f>
        <v>425812.8</v>
      </c>
      <c r="M48" s="21">
        <f>'Notes and Assumptions'!L41</f>
        <v>425812.8</v>
      </c>
      <c r="N48" s="21">
        <f t="shared" si="13"/>
        <v>2129064</v>
      </c>
      <c r="O48" s="17" t="b">
        <f t="shared" si="5"/>
        <v>1</v>
      </c>
    </row>
    <row r="49" spans="1:15" ht="14.15" customHeight="1" x14ac:dyDescent="0.3">
      <c r="A49" s="213"/>
      <c r="B49" s="216"/>
      <c r="C49" s="164"/>
      <c r="D49" s="39" t="s">
        <v>24</v>
      </c>
      <c r="E49" s="18" t="s">
        <v>52</v>
      </c>
      <c r="F49" s="20" t="s">
        <v>389</v>
      </c>
      <c r="G49" s="21">
        <f>'Notes and Assumptions'!$F$42</f>
        <v>1581940</v>
      </c>
      <c r="H49" s="21">
        <f>'Notes and Assumptions'!G42</f>
        <v>0</v>
      </c>
      <c r="I49" s="21">
        <f>'Notes and Assumptions'!H42</f>
        <v>316388</v>
      </c>
      <c r="J49" s="21">
        <f>'Notes and Assumptions'!I42</f>
        <v>316388</v>
      </c>
      <c r="K49" s="21">
        <f>'Notes and Assumptions'!J42</f>
        <v>316388</v>
      </c>
      <c r="L49" s="21">
        <f>'Notes and Assumptions'!K42</f>
        <v>316388</v>
      </c>
      <c r="M49" s="21">
        <f>'Notes and Assumptions'!L42</f>
        <v>316388</v>
      </c>
      <c r="N49" s="21">
        <f t="shared" si="13"/>
        <v>1581940</v>
      </c>
      <c r="O49" s="17" t="b">
        <f t="shared" si="5"/>
        <v>1</v>
      </c>
    </row>
    <row r="50" spans="1:15" x14ac:dyDescent="0.3">
      <c r="A50" s="213"/>
      <c r="B50" s="216"/>
      <c r="C50" s="164"/>
      <c r="D50" s="39" t="s">
        <v>17</v>
      </c>
      <c r="E50" s="18" t="s">
        <v>54</v>
      </c>
      <c r="F50" s="20" t="s">
        <v>55</v>
      </c>
      <c r="G50" s="21">
        <f>'Notes and Assumptions'!F43</f>
        <v>720000</v>
      </c>
      <c r="H50" s="21">
        <f>'Notes and Assumptions'!G43</f>
        <v>0</v>
      </c>
      <c r="I50" s="21">
        <f>'Notes and Assumptions'!H43</f>
        <v>0</v>
      </c>
      <c r="J50" s="21">
        <f>'Notes and Assumptions'!I43</f>
        <v>180000</v>
      </c>
      <c r="K50" s="21">
        <f>'Notes and Assumptions'!J43</f>
        <v>180000</v>
      </c>
      <c r="L50" s="21">
        <f>'Notes and Assumptions'!K43</f>
        <v>180000</v>
      </c>
      <c r="M50" s="21">
        <f>'Notes and Assumptions'!L43</f>
        <v>180000</v>
      </c>
      <c r="N50" s="21">
        <f>SUM(J50:M50)</f>
        <v>720000</v>
      </c>
      <c r="O50" s="17" t="b">
        <f t="shared" si="5"/>
        <v>1</v>
      </c>
    </row>
    <row r="51" spans="1:15" ht="28" x14ac:dyDescent="0.3">
      <c r="A51" s="213"/>
      <c r="B51" s="216"/>
      <c r="C51" s="164"/>
      <c r="D51" s="39" t="s">
        <v>17</v>
      </c>
      <c r="E51" s="18" t="s">
        <v>20</v>
      </c>
      <c r="F51" s="20" t="s">
        <v>56</v>
      </c>
      <c r="G51" s="21">
        <f>'Notes and Assumptions'!F44</f>
        <v>1889470</v>
      </c>
      <c r="H51" s="21">
        <f>'Notes and Assumptions'!G44</f>
        <v>0</v>
      </c>
      <c r="I51" s="21">
        <f>'Notes and Assumptions'!H44</f>
        <v>377894</v>
      </c>
      <c r="J51" s="21">
        <f>'Notes and Assumptions'!I44</f>
        <v>377894</v>
      </c>
      <c r="K51" s="21">
        <f>'Notes and Assumptions'!J44</f>
        <v>377894</v>
      </c>
      <c r="L51" s="21">
        <f>'Notes and Assumptions'!K44</f>
        <v>377894</v>
      </c>
      <c r="M51" s="21">
        <f>'Notes and Assumptions'!L44</f>
        <v>377894</v>
      </c>
      <c r="N51" s="21">
        <f t="shared" si="13"/>
        <v>1889470</v>
      </c>
      <c r="O51" s="17"/>
    </row>
    <row r="52" spans="1:15" ht="28" x14ac:dyDescent="0.3">
      <c r="A52" s="213"/>
      <c r="B52" s="216"/>
      <c r="C52" s="166"/>
      <c r="D52" s="39" t="s">
        <v>24</v>
      </c>
      <c r="E52" s="18" t="s">
        <v>20</v>
      </c>
      <c r="F52" s="20" t="s">
        <v>57</v>
      </c>
      <c r="G52" s="21">
        <f>'Notes and Assumptions'!F45</f>
        <v>188030</v>
      </c>
      <c r="H52" s="21">
        <f>'Notes and Assumptions'!G45</f>
        <v>0</v>
      </c>
      <c r="I52" s="21">
        <f>'Notes and Assumptions'!H45</f>
        <v>37606</v>
      </c>
      <c r="J52" s="21">
        <f>'Notes and Assumptions'!I45</f>
        <v>37606</v>
      </c>
      <c r="K52" s="21">
        <f>'Notes and Assumptions'!J45</f>
        <v>37606</v>
      </c>
      <c r="L52" s="21">
        <f>'Notes and Assumptions'!K45</f>
        <v>37606</v>
      </c>
      <c r="M52" s="21">
        <f>'Notes and Assumptions'!L45</f>
        <v>37606</v>
      </c>
      <c r="N52" s="21">
        <f t="shared" si="13"/>
        <v>188030</v>
      </c>
      <c r="O52" s="17" t="b">
        <f t="shared" si="5"/>
        <v>1</v>
      </c>
    </row>
    <row r="53" spans="1:15" ht="14.25" customHeight="1" x14ac:dyDescent="0.3">
      <c r="A53" s="213"/>
      <c r="B53" s="216"/>
      <c r="C53" s="159" t="s">
        <v>329</v>
      </c>
      <c r="D53" s="39" t="s">
        <v>17</v>
      </c>
      <c r="E53" s="18" t="s">
        <v>52</v>
      </c>
      <c r="F53" s="20" t="s">
        <v>58</v>
      </c>
      <c r="G53" s="21">
        <f>'Notes and Assumptions'!F46</f>
        <v>2881293.1400000006</v>
      </c>
      <c r="H53" s="21">
        <f>'Notes and Assumptions'!G46</f>
        <v>0</v>
      </c>
      <c r="I53" s="21">
        <f>'Notes and Assumptions'!H46</f>
        <v>576258.62800000014</v>
      </c>
      <c r="J53" s="21">
        <f>'Notes and Assumptions'!I46</f>
        <v>576258.62800000014</v>
      </c>
      <c r="K53" s="21">
        <f>'Notes and Assumptions'!J46</f>
        <v>576258.62800000014</v>
      </c>
      <c r="L53" s="21">
        <f>'Notes and Assumptions'!K46</f>
        <v>576258.62800000014</v>
      </c>
      <c r="M53" s="21">
        <f>'Notes and Assumptions'!L46</f>
        <v>576258.62800000014</v>
      </c>
      <c r="N53" s="21">
        <f t="shared" si="13"/>
        <v>2881293.1400000006</v>
      </c>
      <c r="O53" s="17" t="b">
        <f t="shared" si="5"/>
        <v>1</v>
      </c>
    </row>
    <row r="54" spans="1:15" x14ac:dyDescent="0.3">
      <c r="A54" s="213"/>
      <c r="B54" s="216"/>
      <c r="C54" s="159"/>
      <c r="D54" s="137" t="s">
        <v>17</v>
      </c>
      <c r="E54" s="40" t="s">
        <v>54</v>
      </c>
      <c r="F54" s="20" t="s">
        <v>59</v>
      </c>
      <c r="G54" s="21">
        <f>'Notes and Assumptions'!F47</f>
        <v>261935.74000000005</v>
      </c>
      <c r="H54" s="21">
        <f>'Notes and Assumptions'!G47</f>
        <v>0</v>
      </c>
      <c r="I54" s="21">
        <f>'Notes and Assumptions'!H47</f>
        <v>0</v>
      </c>
      <c r="J54" s="21">
        <f>'Notes and Assumptions'!I47</f>
        <v>65483.935000000012</v>
      </c>
      <c r="K54" s="21">
        <f>'Notes and Assumptions'!J47</f>
        <v>65483.935000000012</v>
      </c>
      <c r="L54" s="21">
        <f>'Notes and Assumptions'!K47</f>
        <v>65483.935000000012</v>
      </c>
      <c r="M54" s="21">
        <f>'Notes and Assumptions'!L47</f>
        <v>65483.935000000012</v>
      </c>
      <c r="N54" s="21">
        <f t="shared" si="13"/>
        <v>261935.74000000005</v>
      </c>
      <c r="O54" s="17" t="b">
        <f t="shared" si="5"/>
        <v>1</v>
      </c>
    </row>
    <row r="55" spans="1:15" ht="28" x14ac:dyDescent="0.3">
      <c r="A55" s="213"/>
      <c r="B55" s="216"/>
      <c r="C55" s="159" t="s">
        <v>330</v>
      </c>
      <c r="D55" s="39" t="s">
        <v>17</v>
      </c>
      <c r="E55" s="40" t="s">
        <v>18</v>
      </c>
      <c r="F55" s="20" t="s">
        <v>60</v>
      </c>
      <c r="G55" s="21">
        <f>'Notes and Assumptions'!F48</f>
        <v>342000</v>
      </c>
      <c r="H55" s="21">
        <f>'Notes and Assumptions'!G48</f>
        <v>0</v>
      </c>
      <c r="I55" s="21">
        <f>'Notes and Assumptions'!H48</f>
        <v>68400</v>
      </c>
      <c r="J55" s="21">
        <f>'Notes and Assumptions'!I48</f>
        <v>68400</v>
      </c>
      <c r="K55" s="21">
        <f>'Notes and Assumptions'!J48</f>
        <v>68400</v>
      </c>
      <c r="L55" s="21">
        <f>'Notes and Assumptions'!K48</f>
        <v>68400</v>
      </c>
      <c r="M55" s="21">
        <f>'Notes and Assumptions'!L48</f>
        <v>68400</v>
      </c>
      <c r="N55" s="21">
        <f t="shared" si="13"/>
        <v>342000</v>
      </c>
      <c r="O55" s="17" t="b">
        <f t="shared" si="5"/>
        <v>1</v>
      </c>
    </row>
    <row r="56" spans="1:15" ht="28" x14ac:dyDescent="0.3">
      <c r="A56" s="213"/>
      <c r="B56" s="216"/>
      <c r="C56" s="159"/>
      <c r="D56" s="50" t="s">
        <v>24</v>
      </c>
      <c r="E56" s="40" t="s">
        <v>20</v>
      </c>
      <c r="F56" s="20" t="s">
        <v>61</v>
      </c>
      <c r="G56" s="21">
        <f>'Notes and Assumptions'!F49</f>
        <v>72000</v>
      </c>
      <c r="H56" s="21">
        <f>'Notes and Assumptions'!G49</f>
        <v>0</v>
      </c>
      <c r="I56" s="21">
        <f>'Notes and Assumptions'!H49</f>
        <v>14400</v>
      </c>
      <c r="J56" s="21">
        <f>'Notes and Assumptions'!I49</f>
        <v>14400</v>
      </c>
      <c r="K56" s="21">
        <f>'Notes and Assumptions'!J49</f>
        <v>14400</v>
      </c>
      <c r="L56" s="21">
        <f>'Notes and Assumptions'!K49</f>
        <v>14400</v>
      </c>
      <c r="M56" s="21">
        <f>'Notes and Assumptions'!L49</f>
        <v>14400</v>
      </c>
      <c r="N56" s="21">
        <f t="shared" si="13"/>
        <v>72000</v>
      </c>
      <c r="O56" s="17" t="b">
        <f t="shared" si="5"/>
        <v>1</v>
      </c>
    </row>
    <row r="57" spans="1:15" ht="48" customHeight="1" x14ac:dyDescent="0.3">
      <c r="A57" s="213"/>
      <c r="B57" s="216"/>
      <c r="C57" s="159"/>
      <c r="D57" s="50" t="s">
        <v>17</v>
      </c>
      <c r="E57" s="18" t="s">
        <v>22</v>
      </c>
      <c r="F57" s="20" t="s">
        <v>62</v>
      </c>
      <c r="G57" s="21">
        <f>'Notes and Assumptions'!F50</f>
        <v>107640</v>
      </c>
      <c r="H57" s="21">
        <f>'Notes and Assumptions'!G50</f>
        <v>0</v>
      </c>
      <c r="I57" s="21">
        <f>'Notes and Assumptions'!H50</f>
        <v>21528</v>
      </c>
      <c r="J57" s="21">
        <f>'Notes and Assumptions'!I50</f>
        <v>21528</v>
      </c>
      <c r="K57" s="21">
        <f>'Notes and Assumptions'!J50</f>
        <v>21528</v>
      </c>
      <c r="L57" s="21">
        <f>'Notes and Assumptions'!K50</f>
        <v>21528</v>
      </c>
      <c r="M57" s="21">
        <f>'Notes and Assumptions'!L50</f>
        <v>21528</v>
      </c>
      <c r="N57" s="21">
        <f t="shared" si="13"/>
        <v>107640</v>
      </c>
      <c r="O57" s="17" t="b">
        <f t="shared" si="5"/>
        <v>1</v>
      </c>
    </row>
    <row r="58" spans="1:15" x14ac:dyDescent="0.3">
      <c r="A58" s="168" t="s">
        <v>63</v>
      </c>
      <c r="B58" s="169"/>
      <c r="C58" s="169"/>
      <c r="D58" s="169"/>
      <c r="E58" s="169"/>
      <c r="F58" s="170"/>
      <c r="G58" s="26">
        <f t="shared" ref="G58:N58" si="14">SUMIF($D41:$D57, "GCF", G41:G57)</f>
        <v>8452842.8800000008</v>
      </c>
      <c r="H58" s="26">
        <f t="shared" si="14"/>
        <v>76752</v>
      </c>
      <c r="I58" s="26">
        <f t="shared" si="14"/>
        <v>1514581.4280000003</v>
      </c>
      <c r="J58" s="26">
        <f t="shared" si="14"/>
        <v>1715377.3630000004</v>
      </c>
      <c r="K58" s="26">
        <f t="shared" si="14"/>
        <v>1715377.3630000004</v>
      </c>
      <c r="L58" s="26">
        <f t="shared" si="14"/>
        <v>1715377.3630000004</v>
      </c>
      <c r="M58" s="26">
        <f t="shared" si="14"/>
        <v>1715377.3630000004</v>
      </c>
      <c r="N58" s="27">
        <f t="shared" si="14"/>
        <v>8452842.8800000008</v>
      </c>
      <c r="O58" s="17"/>
    </row>
    <row r="59" spans="1:15" x14ac:dyDescent="0.3">
      <c r="A59" s="168" t="s">
        <v>64</v>
      </c>
      <c r="B59" s="169"/>
      <c r="C59" s="169"/>
      <c r="D59" s="169"/>
      <c r="E59" s="169"/>
      <c r="F59" s="170"/>
      <c r="G59" s="41">
        <f t="shared" ref="G59:N59" si="15">SUMIF($D41:$D57, "GoM", G41:G57)</f>
        <v>2119170</v>
      </c>
      <c r="H59" s="41">
        <f t="shared" si="15"/>
        <v>7200</v>
      </c>
      <c r="I59" s="41">
        <f t="shared" si="15"/>
        <v>638394</v>
      </c>
      <c r="J59" s="41">
        <f t="shared" si="15"/>
        <v>368394</v>
      </c>
      <c r="K59" s="41">
        <f t="shared" si="15"/>
        <v>368394</v>
      </c>
      <c r="L59" s="41">
        <f t="shared" si="15"/>
        <v>368394</v>
      </c>
      <c r="M59" s="41">
        <f t="shared" si="15"/>
        <v>368394</v>
      </c>
      <c r="N59" s="42">
        <f t="shared" si="15"/>
        <v>2119170</v>
      </c>
      <c r="O59" s="17"/>
    </row>
    <row r="60" spans="1:15" ht="29.5" customHeight="1" thickBot="1" x14ac:dyDescent="0.35">
      <c r="A60" s="184" t="s">
        <v>65</v>
      </c>
      <c r="B60" s="185"/>
      <c r="C60" s="185"/>
      <c r="D60" s="185"/>
      <c r="E60" s="185"/>
      <c r="F60" s="186"/>
      <c r="G60" s="37">
        <f t="shared" ref="G60:M60" si="16">SUM(G58:G59)</f>
        <v>10572012.880000001</v>
      </c>
      <c r="H60" s="37">
        <f t="shared" si="16"/>
        <v>83952</v>
      </c>
      <c r="I60" s="37">
        <f t="shared" si="16"/>
        <v>2152975.4280000003</v>
      </c>
      <c r="J60" s="37">
        <f t="shared" si="16"/>
        <v>2083771.3630000004</v>
      </c>
      <c r="K60" s="37">
        <f t="shared" si="16"/>
        <v>2083771.3630000004</v>
      </c>
      <c r="L60" s="37">
        <f t="shared" si="16"/>
        <v>2083771.3630000004</v>
      </c>
      <c r="M60" s="37">
        <f t="shared" si="16"/>
        <v>2083771.3630000004</v>
      </c>
      <c r="N60" s="45">
        <f>SUM(N41:N57)</f>
        <v>10572012.880000001</v>
      </c>
      <c r="O60" s="17"/>
    </row>
    <row r="61" spans="1:15" customFormat="1" ht="142.75" customHeight="1" x14ac:dyDescent="0.35">
      <c r="A61" s="152" t="s">
        <v>331</v>
      </c>
      <c r="B61" s="154" t="s">
        <v>332</v>
      </c>
      <c r="C61" s="159" t="s">
        <v>333</v>
      </c>
      <c r="D61" s="19" t="s">
        <v>17</v>
      </c>
      <c r="E61" s="18" t="s">
        <v>20</v>
      </c>
      <c r="F61" s="135" t="s">
        <v>89</v>
      </c>
      <c r="G61" s="48">
        <f>'Notes and Assumptions'!F76</f>
        <v>16000</v>
      </c>
      <c r="H61" s="48">
        <f>'Notes and Assumptions'!G76</f>
        <v>16000</v>
      </c>
      <c r="I61" s="48">
        <f>'Notes and Assumptions'!H76</f>
        <v>0</v>
      </c>
      <c r="J61" s="48">
        <f>'Notes and Assumptions'!I76</f>
        <v>0</v>
      </c>
      <c r="K61" s="48">
        <f>'Notes and Assumptions'!J76</f>
        <v>0</v>
      </c>
      <c r="L61" s="48">
        <f>'Notes and Assumptions'!K76</f>
        <v>0</v>
      </c>
      <c r="M61" s="48">
        <f>'Notes and Assumptions'!L76</f>
        <v>0</v>
      </c>
      <c r="N61" s="49">
        <f t="shared" ref="N61:N88" si="17">SUM(H61:M61)</f>
        <v>16000</v>
      </c>
      <c r="O61" s="17" t="b">
        <f t="shared" ref="O61:O86" si="18">G61=N61</f>
        <v>1</v>
      </c>
    </row>
    <row r="62" spans="1:15" customFormat="1" ht="29.5" customHeight="1" x14ac:dyDescent="0.35">
      <c r="A62" s="153"/>
      <c r="B62" s="155"/>
      <c r="C62" s="159"/>
      <c r="D62" s="19" t="s">
        <v>17</v>
      </c>
      <c r="E62" s="18" t="s">
        <v>18</v>
      </c>
      <c r="F62" s="135" t="s">
        <v>90</v>
      </c>
      <c r="G62" s="21">
        <f>'Notes and Assumptions'!F77</f>
        <v>18000</v>
      </c>
      <c r="H62" s="21">
        <f>'Notes and Assumptions'!G77</f>
        <v>18000</v>
      </c>
      <c r="I62" s="21">
        <f>'Notes and Assumptions'!H77</f>
        <v>0</v>
      </c>
      <c r="J62" s="21">
        <f>'Notes and Assumptions'!I77</f>
        <v>0</v>
      </c>
      <c r="K62" s="21">
        <f>'Notes and Assumptions'!J77</f>
        <v>0</v>
      </c>
      <c r="L62" s="21">
        <f>'Notes and Assumptions'!K77</f>
        <v>0</v>
      </c>
      <c r="M62" s="21">
        <f>'Notes and Assumptions'!L77</f>
        <v>0</v>
      </c>
      <c r="N62" s="49">
        <f t="shared" si="17"/>
        <v>18000</v>
      </c>
      <c r="O62" s="17" t="b">
        <f t="shared" si="18"/>
        <v>1</v>
      </c>
    </row>
    <row r="63" spans="1:15" customFormat="1" ht="29.5" customHeight="1" x14ac:dyDescent="0.35">
      <c r="A63" s="153"/>
      <c r="B63" s="155"/>
      <c r="C63" s="159"/>
      <c r="D63" s="19" t="s">
        <v>17</v>
      </c>
      <c r="E63" s="18" t="s">
        <v>22</v>
      </c>
      <c r="F63" s="135" t="s">
        <v>91</v>
      </c>
      <c r="G63" s="48">
        <f>'Notes and Assumptions'!F78</f>
        <v>4944</v>
      </c>
      <c r="H63" s="48">
        <f>'Notes and Assumptions'!G78</f>
        <v>4944</v>
      </c>
      <c r="I63" s="48">
        <f>'Notes and Assumptions'!H78</f>
        <v>0</v>
      </c>
      <c r="J63" s="48">
        <f>'Notes and Assumptions'!I78</f>
        <v>0</v>
      </c>
      <c r="K63" s="48">
        <f>'Notes and Assumptions'!J78</f>
        <v>0</v>
      </c>
      <c r="L63" s="48">
        <f>'Notes and Assumptions'!K78</f>
        <v>0</v>
      </c>
      <c r="M63" s="48">
        <f>'Notes and Assumptions'!L78</f>
        <v>0</v>
      </c>
      <c r="N63" s="49">
        <f t="shared" si="17"/>
        <v>4944</v>
      </c>
      <c r="O63" s="17" t="b">
        <f t="shared" si="18"/>
        <v>1</v>
      </c>
    </row>
    <row r="64" spans="1:15" customFormat="1" ht="29.5" customHeight="1" x14ac:dyDescent="0.35">
      <c r="A64" s="153"/>
      <c r="B64" s="155"/>
      <c r="C64" s="159"/>
      <c r="D64" s="19" t="s">
        <v>17</v>
      </c>
      <c r="E64" s="18" t="s">
        <v>18</v>
      </c>
      <c r="F64" s="135" t="s">
        <v>92</v>
      </c>
      <c r="G64" s="21">
        <f>'Notes and Assumptions'!F79</f>
        <v>54000</v>
      </c>
      <c r="H64" s="21">
        <f>'Notes and Assumptions'!G79</f>
        <v>54000</v>
      </c>
      <c r="I64" s="21">
        <f>'Notes and Assumptions'!H79</f>
        <v>0</v>
      </c>
      <c r="J64" s="21">
        <f>'Notes and Assumptions'!I79</f>
        <v>0</v>
      </c>
      <c r="K64" s="21">
        <f>'Notes and Assumptions'!J79</f>
        <v>0</v>
      </c>
      <c r="L64" s="21">
        <f>'Notes and Assumptions'!K79</f>
        <v>0</v>
      </c>
      <c r="M64" s="21">
        <f>'Notes and Assumptions'!L79</f>
        <v>0</v>
      </c>
      <c r="N64" s="49">
        <f t="shared" si="17"/>
        <v>54000</v>
      </c>
      <c r="O64" s="17" t="b">
        <f t="shared" si="18"/>
        <v>1</v>
      </c>
    </row>
    <row r="65" spans="1:15" customFormat="1" ht="29.5" customHeight="1" x14ac:dyDescent="0.35">
      <c r="A65" s="153"/>
      <c r="B65" s="155"/>
      <c r="C65" s="159"/>
      <c r="D65" s="19" t="s">
        <v>24</v>
      </c>
      <c r="E65" s="18" t="s">
        <v>20</v>
      </c>
      <c r="F65" s="135" t="s">
        <v>93</v>
      </c>
      <c r="G65" s="48">
        <f>'Notes and Assumptions'!F80</f>
        <v>32800</v>
      </c>
      <c r="H65" s="48">
        <f>'Notes and Assumptions'!G80</f>
        <v>32800</v>
      </c>
      <c r="I65" s="48">
        <f>'Notes and Assumptions'!H80</f>
        <v>0</v>
      </c>
      <c r="J65" s="48">
        <f>'Notes and Assumptions'!I80</f>
        <v>0</v>
      </c>
      <c r="K65" s="48">
        <f>'Notes and Assumptions'!J80</f>
        <v>0</v>
      </c>
      <c r="L65" s="48">
        <f>'Notes and Assumptions'!K80</f>
        <v>0</v>
      </c>
      <c r="M65" s="48">
        <f>'Notes and Assumptions'!L80</f>
        <v>0</v>
      </c>
      <c r="N65" s="49">
        <f t="shared" si="17"/>
        <v>32800</v>
      </c>
      <c r="O65" s="17" t="b">
        <f t="shared" si="18"/>
        <v>1</v>
      </c>
    </row>
    <row r="66" spans="1:15" customFormat="1" ht="29.5" customHeight="1" x14ac:dyDescent="0.35">
      <c r="A66" s="153"/>
      <c r="B66" s="155"/>
      <c r="C66" s="159"/>
      <c r="D66" s="19" t="s">
        <v>17</v>
      </c>
      <c r="E66" s="18" t="s">
        <v>20</v>
      </c>
      <c r="F66" s="135" t="s">
        <v>94</v>
      </c>
      <c r="G66" s="21">
        <f>'Notes and Assumptions'!F81</f>
        <v>14400</v>
      </c>
      <c r="H66" s="21">
        <f>'Notes and Assumptions'!G81</f>
        <v>14400</v>
      </c>
      <c r="I66" s="21">
        <f>'Notes and Assumptions'!H81</f>
        <v>0</v>
      </c>
      <c r="J66" s="21">
        <f>'Notes and Assumptions'!I81</f>
        <v>0</v>
      </c>
      <c r="K66" s="21">
        <f>'Notes and Assumptions'!J81</f>
        <v>0</v>
      </c>
      <c r="L66" s="21">
        <f>'Notes and Assumptions'!K81</f>
        <v>0</v>
      </c>
      <c r="M66" s="21">
        <f>'Notes and Assumptions'!L81</f>
        <v>0</v>
      </c>
      <c r="N66" s="49">
        <f t="shared" si="17"/>
        <v>14400</v>
      </c>
      <c r="O66" s="17" t="b">
        <f t="shared" si="18"/>
        <v>1</v>
      </c>
    </row>
    <row r="67" spans="1:15" customFormat="1" ht="29.5" customHeight="1" x14ac:dyDescent="0.35">
      <c r="A67" s="153"/>
      <c r="B67" s="155"/>
      <c r="C67" s="159"/>
      <c r="D67" s="19" t="s">
        <v>17</v>
      </c>
      <c r="E67" s="18" t="s">
        <v>22</v>
      </c>
      <c r="F67" s="135" t="s">
        <v>95</v>
      </c>
      <c r="G67" s="48">
        <f>'Notes and Assumptions'!F82</f>
        <v>19296</v>
      </c>
      <c r="H67" s="48">
        <f>'Notes and Assumptions'!G82</f>
        <v>19296</v>
      </c>
      <c r="I67" s="48">
        <f>'Notes and Assumptions'!H82</f>
        <v>0</v>
      </c>
      <c r="J67" s="48">
        <f>'Notes and Assumptions'!I82</f>
        <v>0</v>
      </c>
      <c r="K67" s="48">
        <f>'Notes and Assumptions'!J82</f>
        <v>0</v>
      </c>
      <c r="L67" s="48">
        <f>'Notes and Assumptions'!K82</f>
        <v>0</v>
      </c>
      <c r="M67" s="48">
        <f>'Notes and Assumptions'!L82</f>
        <v>0</v>
      </c>
      <c r="N67" s="49">
        <f t="shared" si="17"/>
        <v>19296</v>
      </c>
      <c r="O67" s="17" t="b">
        <f t="shared" si="18"/>
        <v>1</v>
      </c>
    </row>
    <row r="68" spans="1:15" customFormat="1" ht="29.5" customHeight="1" x14ac:dyDescent="0.35">
      <c r="A68" s="153"/>
      <c r="B68" s="155"/>
      <c r="C68" s="205" t="s">
        <v>334</v>
      </c>
      <c r="D68" s="19" t="s">
        <v>17</v>
      </c>
      <c r="E68" s="18" t="s">
        <v>20</v>
      </c>
      <c r="F68" s="135" t="s">
        <v>96</v>
      </c>
      <c r="G68" s="21">
        <f>'Notes and Assumptions'!F83</f>
        <v>420000</v>
      </c>
      <c r="H68" s="21">
        <f>'Notes and Assumptions'!G83</f>
        <v>0</v>
      </c>
      <c r="I68" s="21">
        <f>'Notes and Assumptions'!H83</f>
        <v>420000</v>
      </c>
      <c r="J68" s="21">
        <f>'Notes and Assumptions'!I83</f>
        <v>0</v>
      </c>
      <c r="K68" s="21">
        <f>'Notes and Assumptions'!J83</f>
        <v>0</v>
      </c>
      <c r="L68" s="21">
        <f>'Notes and Assumptions'!K83</f>
        <v>0</v>
      </c>
      <c r="M68" s="21">
        <f>'Notes and Assumptions'!L83</f>
        <v>0</v>
      </c>
      <c r="N68" s="49">
        <f t="shared" si="17"/>
        <v>420000</v>
      </c>
      <c r="O68" s="17" t="b">
        <f t="shared" si="18"/>
        <v>1</v>
      </c>
    </row>
    <row r="69" spans="1:15" customFormat="1" ht="29.5" customHeight="1" x14ac:dyDescent="0.35">
      <c r="A69" s="153"/>
      <c r="B69" s="155"/>
      <c r="C69" s="205"/>
      <c r="D69" s="19" t="s">
        <v>17</v>
      </c>
      <c r="E69" s="18" t="s">
        <v>18</v>
      </c>
      <c r="F69" s="135" t="s">
        <v>97</v>
      </c>
      <c r="G69" s="48">
        <f>'Notes and Assumptions'!F84</f>
        <v>270000</v>
      </c>
      <c r="H69" s="48">
        <f>'Notes and Assumptions'!G84</f>
        <v>0</v>
      </c>
      <c r="I69" s="48">
        <f>'Notes and Assumptions'!H84</f>
        <v>0</v>
      </c>
      <c r="J69" s="48">
        <f>'Notes and Assumptions'!I84</f>
        <v>90000</v>
      </c>
      <c r="K69" s="48">
        <f>'Notes and Assumptions'!J84</f>
        <v>90000</v>
      </c>
      <c r="L69" s="48">
        <f>'Notes and Assumptions'!K84</f>
        <v>90000</v>
      </c>
      <c r="M69" s="48">
        <f>'Notes and Assumptions'!L84</f>
        <v>0</v>
      </c>
      <c r="N69" s="49">
        <f t="shared" si="17"/>
        <v>270000</v>
      </c>
      <c r="O69" s="17" t="b">
        <f t="shared" si="18"/>
        <v>1</v>
      </c>
    </row>
    <row r="70" spans="1:15" customFormat="1" ht="29.5" customHeight="1" x14ac:dyDescent="0.35">
      <c r="A70" s="153"/>
      <c r="B70" s="155"/>
      <c r="C70" s="205"/>
      <c r="D70" s="19" t="s">
        <v>24</v>
      </c>
      <c r="E70" s="18" t="s">
        <v>20</v>
      </c>
      <c r="F70" s="20" t="s">
        <v>98</v>
      </c>
      <c r="G70" s="21">
        <f>'Notes and Assumptions'!F85</f>
        <v>100000</v>
      </c>
      <c r="H70" s="21">
        <f>'Notes and Assumptions'!G85</f>
        <v>0</v>
      </c>
      <c r="I70" s="21">
        <f>'Notes and Assumptions'!H85</f>
        <v>0</v>
      </c>
      <c r="J70" s="21">
        <f>'Notes and Assumptions'!I85</f>
        <v>25000</v>
      </c>
      <c r="K70" s="21">
        <f>'Notes and Assumptions'!J85</f>
        <v>25000</v>
      </c>
      <c r="L70" s="21">
        <f>'Notes and Assumptions'!K85</f>
        <v>25000</v>
      </c>
      <c r="M70" s="21">
        <f>'Notes and Assumptions'!L85</f>
        <v>25000</v>
      </c>
      <c r="N70" s="49">
        <f t="shared" si="17"/>
        <v>100000</v>
      </c>
      <c r="O70" s="17" t="b">
        <f t="shared" si="18"/>
        <v>1</v>
      </c>
    </row>
    <row r="71" spans="1:15" customFormat="1" ht="29.5" customHeight="1" x14ac:dyDescent="0.35">
      <c r="A71" s="153"/>
      <c r="B71" s="155"/>
      <c r="C71" s="159" t="s">
        <v>335</v>
      </c>
      <c r="D71" s="19" t="s">
        <v>17</v>
      </c>
      <c r="E71" s="18" t="s">
        <v>20</v>
      </c>
      <c r="F71" s="135" t="s">
        <v>99</v>
      </c>
      <c r="G71" s="48">
        <f>'Notes and Assumptions'!F86</f>
        <v>133000</v>
      </c>
      <c r="H71" s="48">
        <f>'Notes and Assumptions'!G86</f>
        <v>33250</v>
      </c>
      <c r="I71" s="48">
        <f>'Notes and Assumptions'!H86</f>
        <v>99750</v>
      </c>
      <c r="J71" s="48">
        <f>'Notes and Assumptions'!I86</f>
        <v>0</v>
      </c>
      <c r="K71" s="48">
        <f>'Notes and Assumptions'!J86</f>
        <v>0</v>
      </c>
      <c r="L71" s="48">
        <f>'Notes and Assumptions'!K86</f>
        <v>0</v>
      </c>
      <c r="M71" s="48">
        <f>'Notes and Assumptions'!L86</f>
        <v>0</v>
      </c>
      <c r="N71" s="49">
        <f t="shared" si="17"/>
        <v>133000</v>
      </c>
      <c r="O71" s="17" t="b">
        <f t="shared" si="18"/>
        <v>1</v>
      </c>
    </row>
    <row r="72" spans="1:15" customFormat="1" ht="29.5" customHeight="1" x14ac:dyDescent="0.35">
      <c r="A72" s="153"/>
      <c r="B72" s="155"/>
      <c r="C72" s="159"/>
      <c r="D72" s="19" t="s">
        <v>17</v>
      </c>
      <c r="E72" s="18" t="s">
        <v>18</v>
      </c>
      <c r="F72" s="135" t="s">
        <v>100</v>
      </c>
      <c r="G72" s="21">
        <f>'Notes and Assumptions'!F87</f>
        <v>18000</v>
      </c>
      <c r="H72" s="21">
        <f>'Notes and Assumptions'!G87</f>
        <v>0</v>
      </c>
      <c r="I72" s="21">
        <f>'Notes and Assumptions'!H87</f>
        <v>18000</v>
      </c>
      <c r="J72" s="21">
        <f>'Notes and Assumptions'!I87</f>
        <v>0</v>
      </c>
      <c r="K72" s="21">
        <f>'Notes and Assumptions'!J87</f>
        <v>0</v>
      </c>
      <c r="L72" s="21">
        <f>'Notes and Assumptions'!K87</f>
        <v>0</v>
      </c>
      <c r="M72" s="21">
        <f>'Notes and Assumptions'!L87</f>
        <v>0</v>
      </c>
      <c r="N72" s="49">
        <f t="shared" si="17"/>
        <v>18000</v>
      </c>
      <c r="O72" s="17" t="b">
        <f t="shared" si="18"/>
        <v>1</v>
      </c>
    </row>
    <row r="73" spans="1:15" customFormat="1" ht="49.75" customHeight="1" x14ac:dyDescent="0.35">
      <c r="A73" s="153"/>
      <c r="B73" s="155"/>
      <c r="C73" s="159"/>
      <c r="D73" s="19" t="s">
        <v>17</v>
      </c>
      <c r="E73" s="18" t="s">
        <v>22</v>
      </c>
      <c r="F73" s="135" t="s">
        <v>101</v>
      </c>
      <c r="G73" s="48">
        <f>'Notes and Assumptions'!F88</f>
        <v>29664</v>
      </c>
      <c r="H73" s="48">
        <f>'Notes and Assumptions'!G88</f>
        <v>7416</v>
      </c>
      <c r="I73" s="48">
        <f>'Notes and Assumptions'!H88</f>
        <v>22248</v>
      </c>
      <c r="J73" s="48">
        <f>'Notes and Assumptions'!I88</f>
        <v>0</v>
      </c>
      <c r="K73" s="48">
        <f>'Notes and Assumptions'!J88</f>
        <v>0</v>
      </c>
      <c r="L73" s="48">
        <f>'Notes and Assumptions'!K88</f>
        <v>0</v>
      </c>
      <c r="M73" s="48">
        <f>'Notes and Assumptions'!L88</f>
        <v>0</v>
      </c>
      <c r="N73" s="49">
        <f t="shared" si="17"/>
        <v>29664</v>
      </c>
      <c r="O73" s="17" t="b">
        <f t="shared" si="18"/>
        <v>1</v>
      </c>
    </row>
    <row r="74" spans="1:15" customFormat="1" ht="56.5" customHeight="1" x14ac:dyDescent="0.35">
      <c r="A74" s="153"/>
      <c r="B74" s="155" t="s">
        <v>336</v>
      </c>
      <c r="C74" s="165" t="s">
        <v>337</v>
      </c>
      <c r="D74" s="19" t="s">
        <v>17</v>
      </c>
      <c r="E74" s="18" t="s">
        <v>20</v>
      </c>
      <c r="F74" s="20" t="s">
        <v>102</v>
      </c>
      <c r="G74" s="21">
        <f>'Notes and Assumptions'!F89</f>
        <v>1481200</v>
      </c>
      <c r="H74" s="21">
        <f>'Notes and Assumptions'!G89</f>
        <v>0</v>
      </c>
      <c r="I74" s="21">
        <f>'Notes and Assumptions'!H89</f>
        <v>0</v>
      </c>
      <c r="J74" s="21">
        <f>'Notes and Assumptions'!I89</f>
        <v>740600</v>
      </c>
      <c r="K74" s="21">
        <f>'Notes and Assumptions'!J89</f>
        <v>740600</v>
      </c>
      <c r="L74" s="21">
        <f>'Notes and Assumptions'!K89</f>
        <v>0</v>
      </c>
      <c r="M74" s="21">
        <f>'Notes and Assumptions'!L89</f>
        <v>0</v>
      </c>
      <c r="N74" s="49">
        <f t="shared" si="17"/>
        <v>1481200</v>
      </c>
      <c r="O74" s="17" t="b">
        <f t="shared" si="18"/>
        <v>1</v>
      </c>
    </row>
    <row r="75" spans="1:15" customFormat="1" ht="56.5" customHeight="1" x14ac:dyDescent="0.35">
      <c r="A75" s="153"/>
      <c r="B75" s="155"/>
      <c r="C75" s="165"/>
      <c r="D75" s="19" t="s">
        <v>17</v>
      </c>
      <c r="E75" s="18" t="s">
        <v>54</v>
      </c>
      <c r="F75" s="20" t="s">
        <v>103</v>
      </c>
      <c r="G75" s="48">
        <f>'Notes and Assumptions'!F90</f>
        <v>20000</v>
      </c>
      <c r="H75" s="48">
        <f>'Notes and Assumptions'!G90</f>
        <v>0</v>
      </c>
      <c r="I75" s="48">
        <f>'Notes and Assumptions'!H90</f>
        <v>0</v>
      </c>
      <c r="J75" s="48">
        <f>'Notes and Assumptions'!I90</f>
        <v>0</v>
      </c>
      <c r="K75" s="48">
        <f>'Notes and Assumptions'!J90</f>
        <v>0</v>
      </c>
      <c r="L75" s="48">
        <f>'Notes and Assumptions'!K90</f>
        <v>10000</v>
      </c>
      <c r="M75" s="48">
        <f>'Notes and Assumptions'!L90</f>
        <v>10000</v>
      </c>
      <c r="N75" s="49">
        <f t="shared" si="17"/>
        <v>20000</v>
      </c>
      <c r="O75" s="17" t="b">
        <f t="shared" si="18"/>
        <v>1</v>
      </c>
    </row>
    <row r="76" spans="1:15" customFormat="1" ht="56.5" customHeight="1" x14ac:dyDescent="0.35">
      <c r="A76" s="153"/>
      <c r="B76" s="155"/>
      <c r="C76" s="165"/>
      <c r="D76" s="19" t="s">
        <v>17</v>
      </c>
      <c r="E76" s="18" t="s">
        <v>20</v>
      </c>
      <c r="F76" s="20" t="s">
        <v>104</v>
      </c>
      <c r="G76" s="21">
        <f>'Notes and Assumptions'!F91</f>
        <v>160000</v>
      </c>
      <c r="H76" s="21">
        <f>'Notes and Assumptions'!G91</f>
        <v>0</v>
      </c>
      <c r="I76" s="21">
        <f>'Notes and Assumptions'!H91</f>
        <v>0</v>
      </c>
      <c r="J76" s="21">
        <f>'Notes and Assumptions'!I91</f>
        <v>80000</v>
      </c>
      <c r="K76" s="21">
        <f>'Notes and Assumptions'!J91</f>
        <v>80000</v>
      </c>
      <c r="L76" s="21">
        <f>'Notes and Assumptions'!K91</f>
        <v>0</v>
      </c>
      <c r="M76" s="21">
        <f>'Notes and Assumptions'!L91</f>
        <v>0</v>
      </c>
      <c r="N76" s="49">
        <f t="shared" si="17"/>
        <v>160000</v>
      </c>
      <c r="O76" s="17" t="b">
        <f t="shared" si="18"/>
        <v>1</v>
      </c>
    </row>
    <row r="77" spans="1:15" customFormat="1" ht="56.5" customHeight="1" x14ac:dyDescent="0.35">
      <c r="A77" s="153"/>
      <c r="B77" s="155"/>
      <c r="C77" s="165"/>
      <c r="D77" s="19" t="s">
        <v>17</v>
      </c>
      <c r="E77" s="18" t="s">
        <v>20</v>
      </c>
      <c r="F77" s="20" t="s">
        <v>105</v>
      </c>
      <c r="G77" s="48">
        <f>'Notes and Assumptions'!F92</f>
        <v>2064000</v>
      </c>
      <c r="H77" s="48">
        <f>'Notes and Assumptions'!G92</f>
        <v>0</v>
      </c>
      <c r="I77" s="48">
        <f>'Notes and Assumptions'!H92</f>
        <v>0</v>
      </c>
      <c r="J77" s="48">
        <f>'Notes and Assumptions'!I92</f>
        <v>1032000</v>
      </c>
      <c r="K77" s="48">
        <f>'Notes and Assumptions'!J92</f>
        <v>1032000</v>
      </c>
      <c r="L77" s="48">
        <f>'Notes and Assumptions'!K92</f>
        <v>0</v>
      </c>
      <c r="M77" s="48">
        <f>'Notes and Assumptions'!L92</f>
        <v>0</v>
      </c>
      <c r="N77" s="49">
        <f t="shared" si="17"/>
        <v>2064000</v>
      </c>
      <c r="O77" s="17" t="b">
        <f t="shared" si="18"/>
        <v>1</v>
      </c>
    </row>
    <row r="78" spans="1:15" customFormat="1" ht="56.5" customHeight="1" x14ac:dyDescent="0.35">
      <c r="A78" s="153"/>
      <c r="B78" s="155"/>
      <c r="C78" s="165"/>
      <c r="D78" s="19" t="s">
        <v>17</v>
      </c>
      <c r="E78" s="18" t="s">
        <v>20</v>
      </c>
      <c r="F78" s="20" t="s">
        <v>106</v>
      </c>
      <c r="G78" s="21">
        <f>'Notes and Assumptions'!F93</f>
        <v>288000</v>
      </c>
      <c r="H78" s="21">
        <f>'Notes and Assumptions'!G93</f>
        <v>0</v>
      </c>
      <c r="I78" s="21">
        <f>'Notes and Assumptions'!H93</f>
        <v>0</v>
      </c>
      <c r="J78" s="21">
        <f>'Notes and Assumptions'!I93</f>
        <v>144000</v>
      </c>
      <c r="K78" s="21">
        <f>'Notes and Assumptions'!J93</f>
        <v>144000</v>
      </c>
      <c r="L78" s="21">
        <f>'Notes and Assumptions'!K93</f>
        <v>0</v>
      </c>
      <c r="M78" s="21">
        <f>'Notes and Assumptions'!L93</f>
        <v>0</v>
      </c>
      <c r="N78" s="49">
        <f t="shared" si="17"/>
        <v>288000</v>
      </c>
      <c r="O78" s="17" t="b">
        <f t="shared" si="18"/>
        <v>1</v>
      </c>
    </row>
    <row r="79" spans="1:15" customFormat="1" ht="56.5" customHeight="1" x14ac:dyDescent="0.35">
      <c r="A79" s="153"/>
      <c r="B79" s="155"/>
      <c r="C79" s="165"/>
      <c r="D79" s="19" t="s">
        <v>17</v>
      </c>
      <c r="E79" s="18" t="s">
        <v>54</v>
      </c>
      <c r="F79" s="20" t="s">
        <v>107</v>
      </c>
      <c r="G79" s="48">
        <f>'Notes and Assumptions'!F94</f>
        <v>40000</v>
      </c>
      <c r="H79" s="48">
        <f>'Notes and Assumptions'!G94</f>
        <v>0</v>
      </c>
      <c r="I79" s="48">
        <f>'Notes and Assumptions'!H94</f>
        <v>0</v>
      </c>
      <c r="J79" s="48">
        <f>'Notes and Assumptions'!I94</f>
        <v>0</v>
      </c>
      <c r="K79" s="48">
        <f>'Notes and Assumptions'!J94</f>
        <v>0</v>
      </c>
      <c r="L79" s="48">
        <f>'Notes and Assumptions'!K94</f>
        <v>20000</v>
      </c>
      <c r="M79" s="48">
        <f>'Notes and Assumptions'!L94</f>
        <v>20000</v>
      </c>
      <c r="N79" s="49">
        <f t="shared" si="17"/>
        <v>40000</v>
      </c>
      <c r="O79" s="17" t="b">
        <f t="shared" si="18"/>
        <v>1</v>
      </c>
    </row>
    <row r="80" spans="1:15" customFormat="1" ht="56.5" customHeight="1" x14ac:dyDescent="0.35">
      <c r="A80" s="153"/>
      <c r="B80" s="155"/>
      <c r="C80" s="160" t="s">
        <v>338</v>
      </c>
      <c r="D80" s="19" t="s">
        <v>17</v>
      </c>
      <c r="E80" s="18" t="s">
        <v>111</v>
      </c>
      <c r="F80" s="20" t="s">
        <v>112</v>
      </c>
      <c r="G80" s="48">
        <f>'Notes and Assumptions'!F98</f>
        <v>768000</v>
      </c>
      <c r="H80" s="48">
        <f>'Notes and Assumptions'!G98</f>
        <v>0</v>
      </c>
      <c r="I80" s="48">
        <f>'Notes and Assumptions'!H98</f>
        <v>0</v>
      </c>
      <c r="J80" s="48">
        <f>'Notes and Assumptions'!I98</f>
        <v>384000</v>
      </c>
      <c r="K80" s="48">
        <f>'Notes and Assumptions'!J98</f>
        <v>384000</v>
      </c>
      <c r="L80" s="48">
        <f>'Notes and Assumptions'!K98</f>
        <v>0</v>
      </c>
      <c r="M80" s="48">
        <f>'Notes and Assumptions'!L98</f>
        <v>0</v>
      </c>
      <c r="N80" s="49">
        <f t="shared" si="17"/>
        <v>768000</v>
      </c>
      <c r="O80" s="17" t="b">
        <f t="shared" si="18"/>
        <v>1</v>
      </c>
    </row>
    <row r="81" spans="1:18" customFormat="1" ht="56.5" customHeight="1" x14ac:dyDescent="0.35">
      <c r="A81" s="153"/>
      <c r="B81" s="155"/>
      <c r="C81" s="161"/>
      <c r="D81" s="19" t="s">
        <v>17</v>
      </c>
      <c r="E81" s="18" t="s">
        <v>20</v>
      </c>
      <c r="F81" s="20" t="s">
        <v>113</v>
      </c>
      <c r="G81" s="21">
        <f>'Notes and Assumptions'!F99</f>
        <v>110400</v>
      </c>
      <c r="H81" s="21">
        <f>'Notes and Assumptions'!G99</f>
        <v>0</v>
      </c>
      <c r="I81" s="21">
        <f>'Notes and Assumptions'!H99</f>
        <v>0</v>
      </c>
      <c r="J81" s="21">
        <f>'Notes and Assumptions'!I99</f>
        <v>55200</v>
      </c>
      <c r="K81" s="21">
        <f>'Notes and Assumptions'!J99</f>
        <v>55200</v>
      </c>
      <c r="L81" s="21">
        <f>'Notes and Assumptions'!K99</f>
        <v>0</v>
      </c>
      <c r="M81" s="21">
        <f>'Notes and Assumptions'!L99</f>
        <v>0</v>
      </c>
      <c r="N81" s="49">
        <f t="shared" si="17"/>
        <v>110400</v>
      </c>
      <c r="O81" s="17" t="b">
        <f t="shared" si="18"/>
        <v>1</v>
      </c>
    </row>
    <row r="82" spans="1:18" customFormat="1" ht="56.5" customHeight="1" x14ac:dyDescent="0.35">
      <c r="A82" s="153"/>
      <c r="B82" s="155"/>
      <c r="C82" s="161"/>
      <c r="D82" s="19" t="s">
        <v>17</v>
      </c>
      <c r="E82" s="18" t="s">
        <v>54</v>
      </c>
      <c r="F82" s="20" t="s">
        <v>114</v>
      </c>
      <c r="G82" s="48">
        <f>'Notes and Assumptions'!F100</f>
        <v>24000</v>
      </c>
      <c r="H82" s="48">
        <f>'Notes and Assumptions'!G100</f>
        <v>0</v>
      </c>
      <c r="I82" s="48">
        <f>'Notes and Assumptions'!H100</f>
        <v>0</v>
      </c>
      <c r="J82" s="48">
        <f>'Notes and Assumptions'!I100</f>
        <v>0</v>
      </c>
      <c r="K82" s="48">
        <f>'Notes and Assumptions'!J100</f>
        <v>0</v>
      </c>
      <c r="L82" s="48">
        <f>'Notes and Assumptions'!K100</f>
        <v>12000</v>
      </c>
      <c r="M82" s="48">
        <f>'Notes and Assumptions'!L100</f>
        <v>12000</v>
      </c>
      <c r="N82" s="49">
        <f t="shared" si="17"/>
        <v>24000</v>
      </c>
      <c r="O82" s="17" t="b">
        <f t="shared" si="18"/>
        <v>1</v>
      </c>
    </row>
    <row r="83" spans="1:18" customFormat="1" ht="56.5" customHeight="1" x14ac:dyDescent="0.35">
      <c r="A83" s="153"/>
      <c r="B83" s="155"/>
      <c r="C83" s="162"/>
      <c r="D83" s="19" t="s">
        <v>24</v>
      </c>
      <c r="E83" s="18" t="s">
        <v>20</v>
      </c>
      <c r="F83" s="20" t="s">
        <v>115</v>
      </c>
      <c r="G83" s="21">
        <f>'Notes and Assumptions'!F101</f>
        <v>20000</v>
      </c>
      <c r="H83" s="21">
        <f>'Notes and Assumptions'!G101</f>
        <v>0</v>
      </c>
      <c r="I83" s="21">
        <f>'Notes and Assumptions'!H101</f>
        <v>0</v>
      </c>
      <c r="J83" s="21">
        <f>'Notes and Assumptions'!I101</f>
        <v>10000</v>
      </c>
      <c r="K83" s="21">
        <f>'Notes and Assumptions'!J101</f>
        <v>10000</v>
      </c>
      <c r="L83" s="21">
        <f>'Notes and Assumptions'!K101</f>
        <v>0</v>
      </c>
      <c r="M83" s="21">
        <f>'Notes and Assumptions'!L101</f>
        <v>0</v>
      </c>
      <c r="N83" s="49">
        <f t="shared" si="17"/>
        <v>20000</v>
      </c>
      <c r="O83" s="17" t="b">
        <f t="shared" si="18"/>
        <v>1</v>
      </c>
    </row>
    <row r="84" spans="1:18" customFormat="1" ht="56.5" customHeight="1" x14ac:dyDescent="0.35">
      <c r="A84" s="153"/>
      <c r="B84" s="155" t="s">
        <v>339</v>
      </c>
      <c r="C84" s="165" t="s">
        <v>340</v>
      </c>
      <c r="D84" s="19" t="s">
        <v>17</v>
      </c>
      <c r="E84" s="18" t="s">
        <v>18</v>
      </c>
      <c r="F84" s="20" t="s">
        <v>108</v>
      </c>
      <c r="G84" s="21">
        <f>'Notes and Assumptions'!F95</f>
        <v>36000</v>
      </c>
      <c r="H84" s="21">
        <f>'Notes and Assumptions'!G95</f>
        <v>0</v>
      </c>
      <c r="I84" s="21">
        <f>'Notes and Assumptions'!H95</f>
        <v>0</v>
      </c>
      <c r="J84" s="21">
        <f>'Notes and Assumptions'!I95</f>
        <v>36000</v>
      </c>
      <c r="K84" s="21">
        <f>'Notes and Assumptions'!J95</f>
        <v>0</v>
      </c>
      <c r="L84" s="21">
        <f>'Notes and Assumptions'!K95</f>
        <v>0</v>
      </c>
      <c r="M84" s="21">
        <f>'Notes and Assumptions'!L95</f>
        <v>0</v>
      </c>
      <c r="N84" s="49">
        <f t="shared" si="17"/>
        <v>36000</v>
      </c>
      <c r="O84" s="17" t="b">
        <f t="shared" si="18"/>
        <v>1</v>
      </c>
    </row>
    <row r="85" spans="1:18" customFormat="1" ht="56.5" customHeight="1" x14ac:dyDescent="0.35">
      <c r="A85" s="153"/>
      <c r="B85" s="155"/>
      <c r="C85" s="165"/>
      <c r="D85" s="19" t="s">
        <v>17</v>
      </c>
      <c r="E85" s="18" t="s">
        <v>20</v>
      </c>
      <c r="F85" s="20" t="s">
        <v>109</v>
      </c>
      <c r="G85" s="48">
        <f>'Notes and Assumptions'!F96</f>
        <v>480240</v>
      </c>
      <c r="H85" s="48">
        <f>'Notes and Assumptions'!G96</f>
        <v>0</v>
      </c>
      <c r="I85" s="48">
        <f>'Notes and Assumptions'!H96</f>
        <v>0</v>
      </c>
      <c r="J85" s="48">
        <f>'Notes and Assumptions'!I96</f>
        <v>480240</v>
      </c>
      <c r="K85" s="48">
        <f>'Notes and Assumptions'!J96</f>
        <v>0</v>
      </c>
      <c r="L85" s="48">
        <f>'Notes and Assumptions'!K96</f>
        <v>0</v>
      </c>
      <c r="M85" s="48">
        <f>'Notes and Assumptions'!L96</f>
        <v>0</v>
      </c>
      <c r="N85" s="49">
        <f t="shared" si="17"/>
        <v>480240</v>
      </c>
      <c r="O85" s="17" t="b">
        <f t="shared" si="18"/>
        <v>1</v>
      </c>
    </row>
    <row r="86" spans="1:18" customFormat="1" ht="56.5" customHeight="1" x14ac:dyDescent="0.35">
      <c r="A86" s="153"/>
      <c r="B86" s="155"/>
      <c r="C86" s="165"/>
      <c r="D86" s="19" t="s">
        <v>17</v>
      </c>
      <c r="E86" s="18" t="s">
        <v>54</v>
      </c>
      <c r="F86" s="20" t="s">
        <v>110</v>
      </c>
      <c r="G86" s="21">
        <f>'Notes and Assumptions'!F97</f>
        <v>216000</v>
      </c>
      <c r="H86" s="21">
        <f>'Notes and Assumptions'!G97</f>
        <v>0</v>
      </c>
      <c r="I86" s="21">
        <f>'Notes and Assumptions'!H97</f>
        <v>0</v>
      </c>
      <c r="J86" s="21">
        <f>'Notes and Assumptions'!I97</f>
        <v>0</v>
      </c>
      <c r="K86" s="21">
        <f>'Notes and Assumptions'!J97</f>
        <v>72000</v>
      </c>
      <c r="L86" s="21">
        <f>'Notes and Assumptions'!K97</f>
        <v>72000</v>
      </c>
      <c r="M86" s="21">
        <f>'Notes and Assumptions'!L97</f>
        <v>72000</v>
      </c>
      <c r="N86" s="49">
        <f t="shared" si="17"/>
        <v>216000</v>
      </c>
      <c r="O86" s="17" t="b">
        <f t="shared" si="18"/>
        <v>1</v>
      </c>
    </row>
    <row r="87" spans="1:18" x14ac:dyDescent="0.3">
      <c r="A87" s="23" t="s">
        <v>135</v>
      </c>
      <c r="B87" s="24"/>
      <c r="C87" s="24"/>
      <c r="D87" s="24"/>
      <c r="E87" s="24"/>
      <c r="F87" s="25"/>
      <c r="G87" s="26">
        <f>SUMIF($D61:$D86, "GCF", G61:G86)</f>
        <v>6685144</v>
      </c>
      <c r="H87" s="26">
        <f t="shared" ref="H87:M87" si="19">SUMIF($D61:$D86, "GCF", H61:H86)</f>
        <v>167306</v>
      </c>
      <c r="I87" s="26">
        <f t="shared" si="19"/>
        <v>559998</v>
      </c>
      <c r="J87" s="26">
        <f t="shared" si="19"/>
        <v>3042040</v>
      </c>
      <c r="K87" s="26">
        <f t="shared" si="19"/>
        <v>2597800</v>
      </c>
      <c r="L87" s="26">
        <f t="shared" si="19"/>
        <v>204000</v>
      </c>
      <c r="M87" s="26">
        <f t="shared" si="19"/>
        <v>114000</v>
      </c>
      <c r="N87" s="27">
        <f t="shared" si="17"/>
        <v>6685144</v>
      </c>
      <c r="O87" s="17"/>
    </row>
    <row r="88" spans="1:18" x14ac:dyDescent="0.3">
      <c r="A88" s="28" t="s">
        <v>136</v>
      </c>
      <c r="B88" s="29"/>
      <c r="C88" s="29"/>
      <c r="D88" s="29"/>
      <c r="E88" s="29"/>
      <c r="F88" s="30"/>
      <c r="G88" s="31">
        <f>SUMIF($D$61:$D$86, "GoM", G$61:G$86)</f>
        <v>152800</v>
      </c>
      <c r="H88" s="31">
        <f t="shared" ref="H88:M88" si="20">SUMIF($D$61:$D$86, "GoM", H$61:H$86)</f>
        <v>32800</v>
      </c>
      <c r="I88" s="31">
        <f t="shared" si="20"/>
        <v>0</v>
      </c>
      <c r="J88" s="31">
        <f t="shared" si="20"/>
        <v>35000</v>
      </c>
      <c r="K88" s="31">
        <f t="shared" si="20"/>
        <v>35000</v>
      </c>
      <c r="L88" s="31">
        <f t="shared" si="20"/>
        <v>25000</v>
      </c>
      <c r="M88" s="31">
        <f t="shared" si="20"/>
        <v>25000</v>
      </c>
      <c r="N88" s="32">
        <f t="shared" si="17"/>
        <v>152800</v>
      </c>
      <c r="O88" s="17"/>
    </row>
    <row r="89" spans="1:18" ht="14.5" thickBot="1" x14ac:dyDescent="0.35">
      <c r="A89" s="34" t="s">
        <v>137</v>
      </c>
      <c r="B89" s="35"/>
      <c r="C89" s="35"/>
      <c r="D89" s="35"/>
      <c r="E89" s="35"/>
      <c r="F89" s="36"/>
      <c r="G89" s="37">
        <f t="shared" ref="G89:M89" si="21">SUM(G87:G88)</f>
        <v>6837944</v>
      </c>
      <c r="H89" s="37">
        <f t="shared" si="21"/>
        <v>200106</v>
      </c>
      <c r="I89" s="37">
        <f t="shared" si="21"/>
        <v>559998</v>
      </c>
      <c r="J89" s="37">
        <f t="shared" si="21"/>
        <v>3077040</v>
      </c>
      <c r="K89" s="37">
        <f t="shared" si="21"/>
        <v>2632800</v>
      </c>
      <c r="L89" s="37">
        <f t="shared" si="21"/>
        <v>229000</v>
      </c>
      <c r="M89" s="37">
        <f t="shared" si="21"/>
        <v>139000</v>
      </c>
      <c r="N89" s="37">
        <f>SUM(N61:N86)</f>
        <v>6837944</v>
      </c>
      <c r="O89" s="17"/>
    </row>
    <row r="90" spans="1:18" ht="14.25" customHeight="1" x14ac:dyDescent="0.3">
      <c r="A90" s="202" t="s">
        <v>341</v>
      </c>
      <c r="B90" s="166" t="s">
        <v>342</v>
      </c>
      <c r="C90" s="164" t="s">
        <v>343</v>
      </c>
      <c r="D90" s="46" t="s">
        <v>17</v>
      </c>
      <c r="E90" s="52" t="s">
        <v>20</v>
      </c>
      <c r="F90" s="47" t="s">
        <v>66</v>
      </c>
      <c r="G90" s="48">
        <f>'Notes and Assumptions'!F52</f>
        <v>186000</v>
      </c>
      <c r="H90" s="48">
        <f>'Notes and Assumptions'!G52</f>
        <v>0</v>
      </c>
      <c r="I90" s="48">
        <f>'Notes and Assumptions'!H52</f>
        <v>138000</v>
      </c>
      <c r="J90" s="48">
        <f>'Notes and Assumptions'!I52</f>
        <v>12000</v>
      </c>
      <c r="K90" s="48">
        <f>'Notes and Assumptions'!J52</f>
        <v>12000</v>
      </c>
      <c r="L90" s="48">
        <f>'Notes and Assumptions'!K52</f>
        <v>12000</v>
      </c>
      <c r="M90" s="48">
        <f>'Notes and Assumptions'!L52</f>
        <v>12000</v>
      </c>
      <c r="N90" s="55">
        <f t="shared" ref="N90:N110" si="22">SUM(H90:M90)</f>
        <v>186000</v>
      </c>
      <c r="O90" s="17" t="b">
        <f t="shared" si="5"/>
        <v>1</v>
      </c>
      <c r="P90" s="15"/>
      <c r="Q90" s="15"/>
      <c r="R90" s="15"/>
    </row>
    <row r="91" spans="1:18" ht="28" x14ac:dyDescent="0.3">
      <c r="A91" s="203"/>
      <c r="B91" s="159"/>
      <c r="C91" s="167"/>
      <c r="D91" s="19" t="s">
        <v>17</v>
      </c>
      <c r="E91" s="18" t="s">
        <v>18</v>
      </c>
      <c r="F91" s="20" t="s">
        <v>67</v>
      </c>
      <c r="G91" s="21">
        <f>'Notes and Assumptions'!F53</f>
        <v>72000</v>
      </c>
      <c r="H91" s="21">
        <f>'Notes and Assumptions'!G53</f>
        <v>0</v>
      </c>
      <c r="I91" s="21">
        <f>'Notes and Assumptions'!H53</f>
        <v>72000</v>
      </c>
      <c r="J91" s="21">
        <f>'Notes and Assumptions'!I53</f>
        <v>0</v>
      </c>
      <c r="K91" s="21">
        <f>'Notes and Assumptions'!J53</f>
        <v>0</v>
      </c>
      <c r="L91" s="21">
        <f>'Notes and Assumptions'!K53</f>
        <v>0</v>
      </c>
      <c r="M91" s="21">
        <f>'Notes and Assumptions'!L53</f>
        <v>0</v>
      </c>
      <c r="N91" s="49">
        <f t="shared" si="22"/>
        <v>72000</v>
      </c>
      <c r="O91" s="17" t="b">
        <f t="shared" si="5"/>
        <v>1</v>
      </c>
    </row>
    <row r="92" spans="1:18" x14ac:dyDescent="0.3">
      <c r="A92" s="203"/>
      <c r="B92" s="159"/>
      <c r="C92" s="167"/>
      <c r="D92" s="19" t="s">
        <v>17</v>
      </c>
      <c r="E92" s="18" t="s">
        <v>22</v>
      </c>
      <c r="F92" s="20" t="s">
        <v>68</v>
      </c>
      <c r="G92" s="48">
        <f>'Notes and Assumptions'!F54</f>
        <v>19776</v>
      </c>
      <c r="H92" s="48">
        <f>'Notes and Assumptions'!G54</f>
        <v>0</v>
      </c>
      <c r="I92" s="48">
        <f>'Notes and Assumptions'!H54</f>
        <v>19776</v>
      </c>
      <c r="J92" s="48">
        <f>'Notes and Assumptions'!I54</f>
        <v>0</v>
      </c>
      <c r="K92" s="48">
        <f>'Notes and Assumptions'!J54</f>
        <v>0</v>
      </c>
      <c r="L92" s="48">
        <f>'Notes and Assumptions'!K54</f>
        <v>0</v>
      </c>
      <c r="M92" s="48">
        <f>'Notes and Assumptions'!L54</f>
        <v>0</v>
      </c>
      <c r="N92" s="49">
        <f t="shared" si="22"/>
        <v>19776</v>
      </c>
      <c r="O92" s="17" t="b">
        <f t="shared" si="5"/>
        <v>1</v>
      </c>
    </row>
    <row r="93" spans="1:18" ht="28" x14ac:dyDescent="0.3">
      <c r="A93" s="203"/>
      <c r="B93" s="159"/>
      <c r="C93" s="167"/>
      <c r="D93" s="19" t="s">
        <v>17</v>
      </c>
      <c r="E93" s="18" t="s">
        <v>20</v>
      </c>
      <c r="F93" s="20" t="s">
        <v>69</v>
      </c>
      <c r="G93" s="21">
        <f>'Notes and Assumptions'!F55</f>
        <v>438000</v>
      </c>
      <c r="H93" s="21">
        <f>'Notes and Assumptions'!G55</f>
        <v>0</v>
      </c>
      <c r="I93" s="21">
        <f>'Notes and Assumptions'!H55</f>
        <v>87600</v>
      </c>
      <c r="J93" s="21">
        <f>'Notes and Assumptions'!I55</f>
        <v>87600</v>
      </c>
      <c r="K93" s="21">
        <f>'Notes and Assumptions'!J55</f>
        <v>87600</v>
      </c>
      <c r="L93" s="21">
        <f>'Notes and Assumptions'!K55</f>
        <v>87600</v>
      </c>
      <c r="M93" s="21">
        <f>'Notes and Assumptions'!L55</f>
        <v>87600</v>
      </c>
      <c r="N93" s="49">
        <f t="shared" si="22"/>
        <v>438000</v>
      </c>
      <c r="O93" s="17" t="b">
        <f t="shared" si="5"/>
        <v>1</v>
      </c>
    </row>
    <row r="94" spans="1:18" ht="28" x14ac:dyDescent="0.3">
      <c r="A94" s="203"/>
      <c r="B94" s="159"/>
      <c r="C94" s="167"/>
      <c r="D94" s="19" t="s">
        <v>17</v>
      </c>
      <c r="E94" s="18" t="s">
        <v>20</v>
      </c>
      <c r="F94" s="20" t="s">
        <v>70</v>
      </c>
      <c r="G94" s="48">
        <f>'Notes and Assumptions'!F56</f>
        <v>284100</v>
      </c>
      <c r="H94" s="48">
        <f>'Notes and Assumptions'!G56</f>
        <v>0</v>
      </c>
      <c r="I94" s="48">
        <f>'Notes and Assumptions'!H56</f>
        <v>188100</v>
      </c>
      <c r="J94" s="48">
        <f>'Notes and Assumptions'!I56</f>
        <v>24000</v>
      </c>
      <c r="K94" s="48">
        <f>'Notes and Assumptions'!J56</f>
        <v>24000</v>
      </c>
      <c r="L94" s="48">
        <f>'Notes and Assumptions'!K56</f>
        <v>24000</v>
      </c>
      <c r="M94" s="48">
        <f>'Notes and Assumptions'!L56</f>
        <v>24000</v>
      </c>
      <c r="N94" s="49">
        <f t="shared" si="22"/>
        <v>284100</v>
      </c>
      <c r="O94" s="17" t="b">
        <f t="shared" si="5"/>
        <v>1</v>
      </c>
    </row>
    <row r="95" spans="1:18" ht="28" x14ac:dyDescent="0.3">
      <c r="A95" s="203"/>
      <c r="B95" s="159"/>
      <c r="C95" s="167"/>
      <c r="D95" s="19" t="s">
        <v>17</v>
      </c>
      <c r="E95" s="18" t="s">
        <v>18</v>
      </c>
      <c r="F95" s="20" t="s">
        <v>71</v>
      </c>
      <c r="G95" s="21">
        <f>'Notes and Assumptions'!F57</f>
        <v>72000</v>
      </c>
      <c r="H95" s="21">
        <f>'Notes and Assumptions'!G57</f>
        <v>0</v>
      </c>
      <c r="I95" s="21">
        <f>'Notes and Assumptions'!H57</f>
        <v>72000</v>
      </c>
      <c r="J95" s="21">
        <f>'Notes and Assumptions'!I57</f>
        <v>0</v>
      </c>
      <c r="K95" s="21">
        <f>'Notes and Assumptions'!J57</f>
        <v>0</v>
      </c>
      <c r="L95" s="21">
        <f>'Notes and Assumptions'!K57</f>
        <v>0</v>
      </c>
      <c r="M95" s="21">
        <f>'Notes and Assumptions'!L57</f>
        <v>0</v>
      </c>
      <c r="N95" s="49">
        <f t="shared" si="22"/>
        <v>72000</v>
      </c>
      <c r="O95" s="17" t="b">
        <f t="shared" si="5"/>
        <v>1</v>
      </c>
    </row>
    <row r="96" spans="1:18" x14ac:dyDescent="0.3">
      <c r="A96" s="203"/>
      <c r="B96" s="159"/>
      <c r="C96" s="167"/>
      <c r="D96" s="19" t="s">
        <v>17</v>
      </c>
      <c r="E96" s="18" t="s">
        <v>22</v>
      </c>
      <c r="F96" s="20" t="s">
        <v>72</v>
      </c>
      <c r="G96" s="48">
        <f>'Notes and Assumptions'!F58</f>
        <v>19776</v>
      </c>
      <c r="H96" s="48">
        <f>'Notes and Assumptions'!G58</f>
        <v>0</v>
      </c>
      <c r="I96" s="48">
        <f>'Notes and Assumptions'!H58</f>
        <v>19776</v>
      </c>
      <c r="J96" s="48">
        <f>'Notes and Assumptions'!I58</f>
        <v>0</v>
      </c>
      <c r="K96" s="48">
        <f>'Notes and Assumptions'!J58</f>
        <v>0</v>
      </c>
      <c r="L96" s="48">
        <f>'Notes and Assumptions'!K58</f>
        <v>0</v>
      </c>
      <c r="M96" s="48">
        <f>'Notes and Assumptions'!L58</f>
        <v>0</v>
      </c>
      <c r="N96" s="49">
        <f t="shared" si="22"/>
        <v>19776</v>
      </c>
      <c r="O96" s="17" t="b">
        <f t="shared" si="5"/>
        <v>1</v>
      </c>
    </row>
    <row r="97" spans="1:15" ht="28" x14ac:dyDescent="0.3">
      <c r="A97" s="203"/>
      <c r="B97" s="159"/>
      <c r="C97" s="167"/>
      <c r="D97" s="19" t="s">
        <v>17</v>
      </c>
      <c r="E97" s="18" t="s">
        <v>20</v>
      </c>
      <c r="F97" s="20" t="s">
        <v>73</v>
      </c>
      <c r="G97" s="21">
        <f>'Notes and Assumptions'!F59</f>
        <v>438000</v>
      </c>
      <c r="H97" s="21">
        <f>'Notes and Assumptions'!G59</f>
        <v>0</v>
      </c>
      <c r="I97" s="21">
        <f>'Notes and Assumptions'!H59</f>
        <v>87600</v>
      </c>
      <c r="J97" s="21">
        <f>'Notes and Assumptions'!I59</f>
        <v>87600</v>
      </c>
      <c r="K97" s="21">
        <f>'Notes and Assumptions'!J59</f>
        <v>87600</v>
      </c>
      <c r="L97" s="21">
        <f>'Notes and Assumptions'!K59</f>
        <v>87600</v>
      </c>
      <c r="M97" s="21">
        <f>'Notes and Assumptions'!L59</f>
        <v>87600</v>
      </c>
      <c r="N97" s="49">
        <f t="shared" si="22"/>
        <v>438000</v>
      </c>
      <c r="O97" s="17" t="b">
        <f t="shared" si="5"/>
        <v>1</v>
      </c>
    </row>
    <row r="98" spans="1:15" ht="28" x14ac:dyDescent="0.3">
      <c r="A98" s="203"/>
      <c r="B98" s="159"/>
      <c r="C98" s="163" t="s">
        <v>344</v>
      </c>
      <c r="D98" s="19" t="s">
        <v>17</v>
      </c>
      <c r="E98" s="18" t="s">
        <v>18</v>
      </c>
      <c r="F98" s="20" t="s">
        <v>74</v>
      </c>
      <c r="G98" s="48">
        <f>'Notes and Assumptions'!F60</f>
        <v>18000</v>
      </c>
      <c r="H98" s="48">
        <f>'Notes and Assumptions'!G60</f>
        <v>0</v>
      </c>
      <c r="I98" s="48">
        <f>'Notes and Assumptions'!H60</f>
        <v>18000</v>
      </c>
      <c r="J98" s="48">
        <f>'Notes and Assumptions'!I60</f>
        <v>0</v>
      </c>
      <c r="K98" s="48">
        <f>'Notes and Assumptions'!J60</f>
        <v>0</v>
      </c>
      <c r="L98" s="48">
        <f>'Notes and Assumptions'!K60</f>
        <v>0</v>
      </c>
      <c r="M98" s="48">
        <f>'Notes and Assumptions'!L60</f>
        <v>0</v>
      </c>
      <c r="N98" s="49">
        <f t="shared" si="22"/>
        <v>18000</v>
      </c>
      <c r="O98" s="17" t="b">
        <f t="shared" si="5"/>
        <v>1</v>
      </c>
    </row>
    <row r="99" spans="1:15" x14ac:dyDescent="0.3">
      <c r="A99" s="203"/>
      <c r="B99" s="159"/>
      <c r="C99" s="164"/>
      <c r="D99" s="19" t="s">
        <v>17</v>
      </c>
      <c r="E99" s="18" t="s">
        <v>26</v>
      </c>
      <c r="F99" s="20" t="s">
        <v>75</v>
      </c>
      <c r="G99" s="21">
        <f>'Notes and Assumptions'!F61</f>
        <v>36000</v>
      </c>
      <c r="H99" s="21">
        <f>'Notes and Assumptions'!G61</f>
        <v>0</v>
      </c>
      <c r="I99" s="21">
        <f>'Notes and Assumptions'!H61</f>
        <v>36000</v>
      </c>
      <c r="J99" s="21">
        <f>'Notes and Assumptions'!I61</f>
        <v>0</v>
      </c>
      <c r="K99" s="21">
        <f>'Notes and Assumptions'!J61</f>
        <v>0</v>
      </c>
      <c r="L99" s="21">
        <f>'Notes and Assumptions'!K61</f>
        <v>0</v>
      </c>
      <c r="M99" s="21">
        <f>'Notes and Assumptions'!L61</f>
        <v>0</v>
      </c>
      <c r="N99" s="49">
        <f t="shared" si="22"/>
        <v>36000</v>
      </c>
      <c r="O99" s="17" t="b">
        <f t="shared" si="5"/>
        <v>1</v>
      </c>
    </row>
    <row r="100" spans="1:15" ht="28" x14ac:dyDescent="0.3">
      <c r="A100" s="203"/>
      <c r="B100" s="159"/>
      <c r="C100" s="164"/>
      <c r="D100" s="19" t="s">
        <v>24</v>
      </c>
      <c r="E100" s="18" t="s">
        <v>20</v>
      </c>
      <c r="F100" s="20" t="s">
        <v>76</v>
      </c>
      <c r="G100" s="48">
        <f>'Notes and Assumptions'!F62</f>
        <v>3600</v>
      </c>
      <c r="H100" s="48">
        <f>'Notes and Assumptions'!G62</f>
        <v>0</v>
      </c>
      <c r="I100" s="48">
        <f>'Notes and Assumptions'!H62</f>
        <v>3600</v>
      </c>
      <c r="J100" s="48">
        <f>'Notes and Assumptions'!I62</f>
        <v>0</v>
      </c>
      <c r="K100" s="48">
        <f>'Notes and Assumptions'!J62</f>
        <v>0</v>
      </c>
      <c r="L100" s="48">
        <f>'Notes and Assumptions'!K62</f>
        <v>0</v>
      </c>
      <c r="M100" s="48">
        <f>'Notes and Assumptions'!L62</f>
        <v>0</v>
      </c>
      <c r="N100" s="49">
        <f t="shared" si="22"/>
        <v>3600</v>
      </c>
      <c r="O100" s="17" t="b">
        <f t="shared" si="5"/>
        <v>1</v>
      </c>
    </row>
    <row r="101" spans="1:15" ht="28" x14ac:dyDescent="0.3">
      <c r="A101" s="203"/>
      <c r="B101" s="159"/>
      <c r="C101" s="163" t="s">
        <v>345</v>
      </c>
      <c r="D101" s="19" t="s">
        <v>17</v>
      </c>
      <c r="E101" s="18" t="s">
        <v>18</v>
      </c>
      <c r="F101" s="20" t="s">
        <v>77</v>
      </c>
      <c r="G101" s="21">
        <f>'Notes and Assumptions'!F63</f>
        <v>270000</v>
      </c>
      <c r="H101" s="21">
        <f>'Notes and Assumptions'!G63</f>
        <v>0</v>
      </c>
      <c r="I101" s="21">
        <f>'Notes and Assumptions'!H63</f>
        <v>54000</v>
      </c>
      <c r="J101" s="21">
        <f>'Notes and Assumptions'!I63</f>
        <v>54000</v>
      </c>
      <c r="K101" s="21">
        <f>'Notes and Assumptions'!J63</f>
        <v>54000</v>
      </c>
      <c r="L101" s="21">
        <f>'Notes and Assumptions'!K63</f>
        <v>54000</v>
      </c>
      <c r="M101" s="21">
        <f>'Notes and Assumptions'!L63</f>
        <v>54000</v>
      </c>
      <c r="N101" s="49">
        <f t="shared" si="22"/>
        <v>270000</v>
      </c>
      <c r="O101" s="17" t="b">
        <f t="shared" si="5"/>
        <v>1</v>
      </c>
    </row>
    <row r="102" spans="1:15" ht="28" x14ac:dyDescent="0.3">
      <c r="A102" s="203"/>
      <c r="B102" s="159"/>
      <c r="C102" s="164"/>
      <c r="D102" s="19" t="s">
        <v>24</v>
      </c>
      <c r="E102" s="18" t="s">
        <v>20</v>
      </c>
      <c r="F102" s="20" t="s">
        <v>383</v>
      </c>
      <c r="G102" s="48">
        <f>'Notes and Assumptions'!F64</f>
        <v>72000</v>
      </c>
      <c r="H102" s="21">
        <f>'Notes and Assumptions'!G64</f>
        <v>0</v>
      </c>
      <c r="I102" s="21">
        <f>'Notes and Assumptions'!H64</f>
        <v>14400</v>
      </c>
      <c r="J102" s="21">
        <f>'Notes and Assumptions'!I64</f>
        <v>14400</v>
      </c>
      <c r="K102" s="21">
        <f>'Notes and Assumptions'!J64</f>
        <v>14400</v>
      </c>
      <c r="L102" s="21">
        <f>'Notes and Assumptions'!K64</f>
        <v>14400</v>
      </c>
      <c r="M102" s="21">
        <f>'Notes and Assumptions'!L64</f>
        <v>14400</v>
      </c>
      <c r="N102" s="49">
        <f t="shared" si="22"/>
        <v>72000</v>
      </c>
      <c r="O102" s="17" t="b">
        <f t="shared" si="5"/>
        <v>1</v>
      </c>
    </row>
    <row r="103" spans="1:15" x14ac:dyDescent="0.3">
      <c r="A103" s="203"/>
      <c r="B103" s="159"/>
      <c r="C103" s="164"/>
      <c r="D103" s="19" t="s">
        <v>17</v>
      </c>
      <c r="E103" s="18" t="s">
        <v>22</v>
      </c>
      <c r="F103" s="20" t="s">
        <v>78</v>
      </c>
      <c r="G103" s="48">
        <f>'Notes and Assumptions'!F65</f>
        <v>96480</v>
      </c>
      <c r="H103" s="48">
        <f>'Notes and Assumptions'!G65</f>
        <v>0</v>
      </c>
      <c r="I103" s="48">
        <f>'Notes and Assumptions'!H65</f>
        <v>19296</v>
      </c>
      <c r="J103" s="48">
        <f>'Notes and Assumptions'!I65</f>
        <v>19296</v>
      </c>
      <c r="K103" s="48">
        <f>'Notes and Assumptions'!J65</f>
        <v>19296</v>
      </c>
      <c r="L103" s="48">
        <f>'Notes and Assumptions'!K65</f>
        <v>19296</v>
      </c>
      <c r="M103" s="48">
        <f>'Notes and Assumptions'!L65</f>
        <v>19296</v>
      </c>
      <c r="N103" s="49">
        <f t="shared" si="22"/>
        <v>96480</v>
      </c>
      <c r="O103" s="17" t="b">
        <f t="shared" si="5"/>
        <v>1</v>
      </c>
    </row>
    <row r="104" spans="1:15" ht="38.5" customHeight="1" x14ac:dyDescent="0.3">
      <c r="A104" s="203"/>
      <c r="B104" s="159"/>
      <c r="C104" s="164"/>
      <c r="D104" s="19" t="s">
        <v>17</v>
      </c>
      <c r="E104" s="18" t="s">
        <v>20</v>
      </c>
      <c r="F104" s="20" t="s">
        <v>79</v>
      </c>
      <c r="G104" s="21">
        <f>'Notes and Assumptions'!F66</f>
        <v>95600</v>
      </c>
      <c r="H104" s="21">
        <f>'Notes and Assumptions'!G66</f>
        <v>0</v>
      </c>
      <c r="I104" s="21">
        <f>'Notes and Assumptions'!H66</f>
        <v>92000</v>
      </c>
      <c r="J104" s="21">
        <f>'Notes and Assumptions'!I66</f>
        <v>900</v>
      </c>
      <c r="K104" s="21">
        <f>'Notes and Assumptions'!J66</f>
        <v>900</v>
      </c>
      <c r="L104" s="21">
        <f>'Notes and Assumptions'!K66</f>
        <v>900</v>
      </c>
      <c r="M104" s="21">
        <f>'Notes and Assumptions'!L66</f>
        <v>900</v>
      </c>
      <c r="N104" s="49">
        <f t="shared" si="22"/>
        <v>95600</v>
      </c>
      <c r="O104" s="17" t="b">
        <f t="shared" si="5"/>
        <v>1</v>
      </c>
    </row>
    <row r="105" spans="1:15" ht="28" x14ac:dyDescent="0.3">
      <c r="A105" s="203"/>
      <c r="B105" s="159"/>
      <c r="C105" s="163" t="s">
        <v>346</v>
      </c>
      <c r="D105" s="19" t="s">
        <v>17</v>
      </c>
      <c r="E105" s="18" t="s">
        <v>18</v>
      </c>
      <c r="F105" s="20" t="s">
        <v>80</v>
      </c>
      <c r="G105" s="48">
        <f>'Notes and Assumptions'!F67</f>
        <v>162000</v>
      </c>
      <c r="H105" s="48">
        <f>'Notes and Assumptions'!G67</f>
        <v>0</v>
      </c>
      <c r="I105" s="48">
        <f>'Notes and Assumptions'!H67</f>
        <v>54000</v>
      </c>
      <c r="J105" s="48">
        <f>'Notes and Assumptions'!I67</f>
        <v>0</v>
      </c>
      <c r="K105" s="48">
        <f>'Notes and Assumptions'!J67</f>
        <v>54000</v>
      </c>
      <c r="L105" s="48">
        <f>'Notes and Assumptions'!K67</f>
        <v>0</v>
      </c>
      <c r="M105" s="48">
        <f>'Notes and Assumptions'!L67</f>
        <v>54000</v>
      </c>
      <c r="N105" s="49">
        <f t="shared" si="22"/>
        <v>162000</v>
      </c>
      <c r="O105" s="17" t="b">
        <f t="shared" si="5"/>
        <v>1</v>
      </c>
    </row>
    <row r="106" spans="1:15" ht="28" x14ac:dyDescent="0.3">
      <c r="A106" s="203"/>
      <c r="B106" s="159"/>
      <c r="C106" s="164"/>
      <c r="D106" s="19" t="s">
        <v>24</v>
      </c>
      <c r="E106" s="18" t="s">
        <v>20</v>
      </c>
      <c r="F106" s="20" t="s">
        <v>81</v>
      </c>
      <c r="G106" s="21">
        <f>'Notes and Assumptions'!F68</f>
        <v>43200</v>
      </c>
      <c r="H106" s="21">
        <f>'Notes and Assumptions'!G68</f>
        <v>0</v>
      </c>
      <c r="I106" s="21">
        <f>'Notes and Assumptions'!H68</f>
        <v>14400</v>
      </c>
      <c r="J106" s="21">
        <f>'Notes and Assumptions'!I68</f>
        <v>0</v>
      </c>
      <c r="K106" s="21">
        <f>'Notes and Assumptions'!J68</f>
        <v>14400</v>
      </c>
      <c r="L106" s="21">
        <f>'Notes and Assumptions'!K68</f>
        <v>0</v>
      </c>
      <c r="M106" s="21">
        <f>'Notes and Assumptions'!L68</f>
        <v>14400</v>
      </c>
      <c r="N106" s="49">
        <f t="shared" si="22"/>
        <v>43200</v>
      </c>
      <c r="O106" s="17" t="b">
        <f t="shared" si="5"/>
        <v>1</v>
      </c>
    </row>
    <row r="107" spans="1:15" ht="40.4" customHeight="1" x14ac:dyDescent="0.3">
      <c r="A107" s="203"/>
      <c r="B107" s="159"/>
      <c r="C107" s="164"/>
      <c r="D107" s="19" t="s">
        <v>17</v>
      </c>
      <c r="E107" s="18" t="s">
        <v>22</v>
      </c>
      <c r="F107" s="20" t="s">
        <v>82</v>
      </c>
      <c r="G107" s="48">
        <f>'Notes and Assumptions'!F69</f>
        <v>44496</v>
      </c>
      <c r="H107" s="48">
        <f>'Notes and Assumptions'!G69</f>
        <v>0</v>
      </c>
      <c r="I107" s="48">
        <f>'Notes and Assumptions'!H69</f>
        <v>14832</v>
      </c>
      <c r="J107" s="48">
        <f>'Notes and Assumptions'!I69</f>
        <v>0</v>
      </c>
      <c r="K107" s="48">
        <f>'Notes and Assumptions'!J69</f>
        <v>14832</v>
      </c>
      <c r="L107" s="48">
        <f>'Notes and Assumptions'!K69</f>
        <v>0</v>
      </c>
      <c r="M107" s="48">
        <f>'Notes and Assumptions'!L69</f>
        <v>14832</v>
      </c>
      <c r="N107" s="49">
        <f t="shared" si="22"/>
        <v>44496</v>
      </c>
      <c r="O107" s="17" t="b">
        <f t="shared" si="5"/>
        <v>1</v>
      </c>
    </row>
    <row r="108" spans="1:15" x14ac:dyDescent="0.3">
      <c r="A108" s="203"/>
      <c r="B108" s="159"/>
      <c r="C108" s="163" t="s">
        <v>347</v>
      </c>
      <c r="D108" s="19" t="s">
        <v>17</v>
      </c>
      <c r="E108" s="18" t="s">
        <v>52</v>
      </c>
      <c r="F108" s="20" t="s">
        <v>83</v>
      </c>
      <c r="G108" s="21">
        <f>'Notes and Assumptions'!F70</f>
        <v>99000</v>
      </c>
      <c r="H108" s="21">
        <f>'Notes and Assumptions'!G70</f>
        <v>0</v>
      </c>
      <c r="I108" s="21">
        <f>'Notes and Assumptions'!H70</f>
        <v>99000</v>
      </c>
      <c r="J108" s="21">
        <f>'Notes and Assumptions'!I70</f>
        <v>0</v>
      </c>
      <c r="K108" s="21">
        <f>'Notes and Assumptions'!J70</f>
        <v>0</v>
      </c>
      <c r="L108" s="21">
        <f>'Notes and Assumptions'!K70</f>
        <v>0</v>
      </c>
      <c r="M108" s="21">
        <f>'Notes and Assumptions'!L70</f>
        <v>0</v>
      </c>
      <c r="N108" s="49">
        <f t="shared" si="22"/>
        <v>99000</v>
      </c>
      <c r="O108" s="17" t="b">
        <f t="shared" si="5"/>
        <v>1</v>
      </c>
    </row>
    <row r="109" spans="1:15" ht="28" x14ac:dyDescent="0.3">
      <c r="A109" s="203"/>
      <c r="B109" s="159"/>
      <c r="C109" s="164"/>
      <c r="D109" s="19" t="s">
        <v>17</v>
      </c>
      <c r="E109" s="18" t="s">
        <v>20</v>
      </c>
      <c r="F109" s="20" t="s">
        <v>84</v>
      </c>
      <c r="G109" s="48">
        <f>'Notes and Assumptions'!F71</f>
        <v>10350</v>
      </c>
      <c r="H109" s="48">
        <f>'Notes and Assumptions'!G71</f>
        <v>0</v>
      </c>
      <c r="I109" s="48">
        <f>'Notes and Assumptions'!H71</f>
        <v>10350</v>
      </c>
      <c r="J109" s="48">
        <f>'Notes and Assumptions'!I71</f>
        <v>0</v>
      </c>
      <c r="K109" s="48">
        <f>'Notes and Assumptions'!J71</f>
        <v>0</v>
      </c>
      <c r="L109" s="48">
        <f>'Notes and Assumptions'!K71</f>
        <v>0</v>
      </c>
      <c r="M109" s="48">
        <f>'Notes and Assumptions'!L71</f>
        <v>0</v>
      </c>
      <c r="N109" s="49">
        <f t="shared" si="22"/>
        <v>10350</v>
      </c>
      <c r="O109" s="17" t="b">
        <f t="shared" si="5"/>
        <v>1</v>
      </c>
    </row>
    <row r="110" spans="1:15" ht="28" x14ac:dyDescent="0.3">
      <c r="A110" s="203"/>
      <c r="B110" s="159"/>
      <c r="C110" s="164"/>
      <c r="D110" s="19" t="s">
        <v>17</v>
      </c>
      <c r="E110" s="18" t="s">
        <v>20</v>
      </c>
      <c r="F110" s="20" t="s">
        <v>85</v>
      </c>
      <c r="G110" s="21">
        <f>'Notes and Assumptions'!F72</f>
        <v>103500</v>
      </c>
      <c r="H110" s="21">
        <f>'Notes and Assumptions'!G72</f>
        <v>0</v>
      </c>
      <c r="I110" s="21">
        <f>'Notes and Assumptions'!H72</f>
        <v>103500</v>
      </c>
      <c r="J110" s="21">
        <f>'Notes and Assumptions'!I72</f>
        <v>0</v>
      </c>
      <c r="K110" s="21">
        <f>'Notes and Assumptions'!J72</f>
        <v>0</v>
      </c>
      <c r="L110" s="21">
        <f>'Notes and Assumptions'!K72</f>
        <v>0</v>
      </c>
      <c r="M110" s="21">
        <f>'Notes and Assumptions'!L72</f>
        <v>0</v>
      </c>
      <c r="N110" s="49">
        <f t="shared" si="22"/>
        <v>103500</v>
      </c>
      <c r="O110" s="17" t="b">
        <f t="shared" si="5"/>
        <v>1</v>
      </c>
    </row>
    <row r="111" spans="1:15" ht="28" x14ac:dyDescent="0.3">
      <c r="A111" s="203"/>
      <c r="B111" s="159"/>
      <c r="C111" s="163" t="s">
        <v>348</v>
      </c>
      <c r="D111" s="19" t="s">
        <v>17</v>
      </c>
      <c r="E111" s="18" t="s">
        <v>18</v>
      </c>
      <c r="F111" s="20" t="s">
        <v>86</v>
      </c>
      <c r="G111" s="21">
        <f>'Notes and Assumptions'!F73</f>
        <v>108000</v>
      </c>
      <c r="H111" s="21">
        <f>'Notes and Assumptions'!G73</f>
        <v>0</v>
      </c>
      <c r="I111" s="21">
        <f>'Notes and Assumptions'!H73</f>
        <v>108000</v>
      </c>
      <c r="J111" s="21">
        <f>'Notes and Assumptions'!I73</f>
        <v>0</v>
      </c>
      <c r="K111" s="21">
        <f>'Notes and Assumptions'!J73</f>
        <v>0</v>
      </c>
      <c r="L111" s="21">
        <f>'Notes and Assumptions'!K73</f>
        <v>0</v>
      </c>
      <c r="M111" s="21">
        <f>'Notes and Assumptions'!L73</f>
        <v>0</v>
      </c>
      <c r="N111" s="49">
        <f t="shared" ref="N111:N113" si="23">SUM(H111:M111)</f>
        <v>108000</v>
      </c>
      <c r="O111" s="17" t="b">
        <f t="shared" si="5"/>
        <v>1</v>
      </c>
    </row>
    <row r="112" spans="1:15" ht="28" x14ac:dyDescent="0.3">
      <c r="A112" s="203"/>
      <c r="B112" s="159"/>
      <c r="C112" s="164"/>
      <c r="D112" s="19" t="s">
        <v>24</v>
      </c>
      <c r="E112" s="18" t="s">
        <v>20</v>
      </c>
      <c r="F112" s="20" t="s">
        <v>87</v>
      </c>
      <c r="G112" s="48">
        <f>'Notes and Assumptions'!F74</f>
        <v>23200</v>
      </c>
      <c r="H112" s="48">
        <f>'Notes and Assumptions'!G74</f>
        <v>0</v>
      </c>
      <c r="I112" s="48">
        <f>'Notes and Assumptions'!H74</f>
        <v>23200</v>
      </c>
      <c r="J112" s="48">
        <f>'Notes and Assumptions'!I74</f>
        <v>0</v>
      </c>
      <c r="K112" s="48">
        <f>'Notes and Assumptions'!J74</f>
        <v>0</v>
      </c>
      <c r="L112" s="48">
        <f>'Notes and Assumptions'!K74</f>
        <v>0</v>
      </c>
      <c r="M112" s="48">
        <f>'Notes and Assumptions'!L74</f>
        <v>0</v>
      </c>
      <c r="N112" s="49">
        <f t="shared" si="23"/>
        <v>23200</v>
      </c>
      <c r="O112" s="17"/>
    </row>
    <row r="113" spans="1:21" x14ac:dyDescent="0.3">
      <c r="A113" s="203"/>
      <c r="B113" s="159"/>
      <c r="C113" s="164"/>
      <c r="D113" s="19" t="s">
        <v>17</v>
      </c>
      <c r="E113" s="18" t="s">
        <v>22</v>
      </c>
      <c r="F113" s="20" t="s">
        <v>88</v>
      </c>
      <c r="G113" s="21">
        <f>'Notes and Assumptions'!F75</f>
        <v>19776</v>
      </c>
      <c r="H113" s="21">
        <f>'Notes and Assumptions'!G75</f>
        <v>0</v>
      </c>
      <c r="I113" s="21">
        <f>'Notes and Assumptions'!H75</f>
        <v>19776</v>
      </c>
      <c r="J113" s="21">
        <f>'Notes and Assumptions'!I75</f>
        <v>0</v>
      </c>
      <c r="K113" s="21">
        <f>'Notes and Assumptions'!J75</f>
        <v>0</v>
      </c>
      <c r="L113" s="21">
        <f>'Notes and Assumptions'!K75</f>
        <v>0</v>
      </c>
      <c r="M113" s="21">
        <f>'Notes and Assumptions'!L75</f>
        <v>0</v>
      </c>
      <c r="N113" s="49">
        <f t="shared" si="23"/>
        <v>19776</v>
      </c>
      <c r="O113" s="17" t="b">
        <f t="shared" si="5"/>
        <v>1</v>
      </c>
    </row>
    <row r="114" spans="1:21" ht="28" x14ac:dyDescent="0.3">
      <c r="A114" s="203"/>
      <c r="B114" s="159" t="s">
        <v>429</v>
      </c>
      <c r="C114" s="205" t="s">
        <v>349</v>
      </c>
      <c r="D114" s="19" t="s">
        <v>17</v>
      </c>
      <c r="E114" s="18" t="s">
        <v>20</v>
      </c>
      <c r="F114" s="20" t="s">
        <v>116</v>
      </c>
      <c r="G114" s="48">
        <f>'Notes and Assumptions'!F102</f>
        <v>60000</v>
      </c>
      <c r="H114" s="48">
        <f>'Notes and Assumptions'!G102</f>
        <v>0</v>
      </c>
      <c r="I114" s="48">
        <f>'Notes and Assumptions'!H102</f>
        <v>60000</v>
      </c>
      <c r="J114" s="48">
        <f>'Notes and Assumptions'!I102</f>
        <v>0</v>
      </c>
      <c r="K114" s="48">
        <f>'Notes and Assumptions'!J102</f>
        <v>0</v>
      </c>
      <c r="L114" s="48">
        <f>'Notes and Assumptions'!K102</f>
        <v>0</v>
      </c>
      <c r="M114" s="48">
        <f>'Notes and Assumptions'!L102</f>
        <v>0</v>
      </c>
      <c r="N114" s="22">
        <f t="shared" ref="N114:N126" si="24">SUM(H114:M114)</f>
        <v>60000</v>
      </c>
      <c r="O114" s="17" t="b">
        <f t="shared" si="5"/>
        <v>1</v>
      </c>
      <c r="S114" s="126" t="s">
        <v>117</v>
      </c>
      <c r="T114" s="126" t="s">
        <v>118</v>
      </c>
      <c r="U114" s="127">
        <f>SUM(G90:G113)</f>
        <v>2734854</v>
      </c>
    </row>
    <row r="115" spans="1:21" ht="28" x14ac:dyDescent="0.3">
      <c r="A115" s="203"/>
      <c r="B115" s="159"/>
      <c r="C115" s="205"/>
      <c r="D115" s="19" t="s">
        <v>17</v>
      </c>
      <c r="E115" s="18" t="s">
        <v>20</v>
      </c>
      <c r="F115" s="20" t="s">
        <v>444</v>
      </c>
      <c r="G115" s="48">
        <f>'Notes and Assumptions'!F103</f>
        <v>100000</v>
      </c>
      <c r="H115" s="48">
        <f>'Notes and Assumptions'!G103</f>
        <v>20000</v>
      </c>
      <c r="I115" s="48">
        <f>'Notes and Assumptions'!H103</f>
        <v>40000</v>
      </c>
      <c r="J115" s="48">
        <f>'Notes and Assumptions'!I103</f>
        <v>10000</v>
      </c>
      <c r="K115" s="48">
        <f>'Notes and Assumptions'!J103</f>
        <v>10000</v>
      </c>
      <c r="L115" s="48">
        <f>'Notes and Assumptions'!K103</f>
        <v>10000</v>
      </c>
      <c r="M115" s="48">
        <f>'Notes and Assumptions'!L103</f>
        <v>10000</v>
      </c>
      <c r="N115" s="22">
        <f t="shared" si="24"/>
        <v>100000</v>
      </c>
      <c r="O115" s="17" t="b">
        <f t="shared" si="5"/>
        <v>1</v>
      </c>
      <c r="S115" s="126"/>
      <c r="T115" s="126"/>
      <c r="U115" s="127"/>
    </row>
    <row r="116" spans="1:21" ht="28" x14ac:dyDescent="0.3">
      <c r="A116" s="203"/>
      <c r="B116" s="159"/>
      <c r="C116" s="205"/>
      <c r="D116" s="19" t="s">
        <v>17</v>
      </c>
      <c r="E116" s="18" t="s">
        <v>18</v>
      </c>
      <c r="F116" s="20" t="s">
        <v>120</v>
      </c>
      <c r="G116" s="21">
        <f>'Notes and Assumptions'!F104</f>
        <v>18000</v>
      </c>
      <c r="H116" s="21">
        <f>'Notes and Assumptions'!G104</f>
        <v>0</v>
      </c>
      <c r="I116" s="21">
        <f>'Notes and Assumptions'!H104</f>
        <v>18000</v>
      </c>
      <c r="J116" s="21">
        <f>'Notes and Assumptions'!I104</f>
        <v>0</v>
      </c>
      <c r="K116" s="21">
        <f>'Notes and Assumptions'!J104</f>
        <v>0</v>
      </c>
      <c r="L116" s="21">
        <f>'Notes and Assumptions'!K104</f>
        <v>0</v>
      </c>
      <c r="M116" s="21">
        <f>'Notes and Assumptions'!L104</f>
        <v>0</v>
      </c>
      <c r="N116" s="22">
        <f t="shared" si="24"/>
        <v>18000</v>
      </c>
      <c r="O116" s="17" t="b">
        <f t="shared" ref="O116:O126" si="25">G116=N116</f>
        <v>1</v>
      </c>
      <c r="S116" s="126" t="s">
        <v>121</v>
      </c>
      <c r="T116" s="126" t="s">
        <v>122</v>
      </c>
      <c r="U116" s="127">
        <f>SUM(G61:G113)</f>
        <v>23248686</v>
      </c>
    </row>
    <row r="117" spans="1:21" x14ac:dyDescent="0.3">
      <c r="A117" s="203"/>
      <c r="B117" s="159"/>
      <c r="C117" s="205"/>
      <c r="D117" s="19" t="s">
        <v>17</v>
      </c>
      <c r="E117" s="18" t="s">
        <v>26</v>
      </c>
      <c r="F117" s="20" t="s">
        <v>123</v>
      </c>
      <c r="G117" s="48">
        <f>'Notes and Assumptions'!F105</f>
        <v>960000</v>
      </c>
      <c r="H117" s="48">
        <f>'Notes and Assumptions'!G105</f>
        <v>0</v>
      </c>
      <c r="I117" s="48">
        <f>'Notes and Assumptions'!H105</f>
        <v>0</v>
      </c>
      <c r="J117" s="48">
        <f>'Notes and Assumptions'!I105</f>
        <v>240000</v>
      </c>
      <c r="K117" s="48">
        <f>'Notes and Assumptions'!J105</f>
        <v>240000</v>
      </c>
      <c r="L117" s="48">
        <f>'Notes and Assumptions'!K105</f>
        <v>240000</v>
      </c>
      <c r="M117" s="48">
        <f>'Notes and Assumptions'!L105</f>
        <v>240000</v>
      </c>
      <c r="N117" s="22">
        <f t="shared" si="24"/>
        <v>960000</v>
      </c>
      <c r="O117" s="17" t="b">
        <f t="shared" si="25"/>
        <v>1</v>
      </c>
      <c r="S117" s="128" t="s">
        <v>124</v>
      </c>
      <c r="T117" s="128" t="s">
        <v>125</v>
      </c>
      <c r="U117" s="129">
        <f>SUM(G114:G126)</f>
        <v>7929060</v>
      </c>
    </row>
    <row r="118" spans="1:21" x14ac:dyDescent="0.3">
      <c r="A118" s="203"/>
      <c r="B118" s="159"/>
      <c r="C118" s="205"/>
      <c r="D118" s="19" t="s">
        <v>17</v>
      </c>
      <c r="E118" s="18" t="s">
        <v>119</v>
      </c>
      <c r="F118" s="20" t="s">
        <v>126</v>
      </c>
      <c r="G118" s="21">
        <f>'Notes and Assumptions'!F106</f>
        <v>6000000</v>
      </c>
      <c r="H118" s="21">
        <f>'Notes and Assumptions'!G106</f>
        <v>0</v>
      </c>
      <c r="I118" s="21">
        <f>'Notes and Assumptions'!H106</f>
        <v>0</v>
      </c>
      <c r="J118" s="21">
        <f>'Notes and Assumptions'!I106</f>
        <v>1500000</v>
      </c>
      <c r="K118" s="21">
        <f>'Notes and Assumptions'!J106</f>
        <v>1500000</v>
      </c>
      <c r="L118" s="21">
        <f>'Notes and Assumptions'!K106</f>
        <v>1500000</v>
      </c>
      <c r="M118" s="21">
        <f>'Notes and Assumptions'!L106</f>
        <v>1500000</v>
      </c>
      <c r="N118" s="22">
        <f t="shared" si="24"/>
        <v>6000000</v>
      </c>
      <c r="O118" s="17" t="b">
        <f t="shared" si="25"/>
        <v>1</v>
      </c>
    </row>
    <row r="119" spans="1:21" ht="28" x14ac:dyDescent="0.3">
      <c r="A119" s="203"/>
      <c r="B119" s="159"/>
      <c r="C119" s="205"/>
      <c r="D119" s="19" t="s">
        <v>17</v>
      </c>
      <c r="E119" s="18" t="s">
        <v>20</v>
      </c>
      <c r="F119" s="20" t="s">
        <v>127</v>
      </c>
      <c r="G119" s="48">
        <f>'Notes and Assumptions'!F107</f>
        <v>19000</v>
      </c>
      <c r="H119" s="48">
        <f>'Notes and Assumptions'!G107</f>
        <v>0</v>
      </c>
      <c r="I119" s="48">
        <f>'Notes and Assumptions'!H107</f>
        <v>0</v>
      </c>
      <c r="J119" s="48">
        <f>'Notes and Assumptions'!I107</f>
        <v>19000</v>
      </c>
      <c r="K119" s="48">
        <f>'Notes and Assumptions'!J107</f>
        <v>0</v>
      </c>
      <c r="L119" s="48">
        <f>'Notes and Assumptions'!K107</f>
        <v>0</v>
      </c>
      <c r="M119" s="48">
        <f>'Notes and Assumptions'!L107</f>
        <v>0</v>
      </c>
      <c r="N119" s="22">
        <f t="shared" si="24"/>
        <v>19000</v>
      </c>
      <c r="O119" s="17" t="b">
        <f t="shared" si="25"/>
        <v>1</v>
      </c>
    </row>
    <row r="120" spans="1:21" ht="28" x14ac:dyDescent="0.3">
      <c r="A120" s="203"/>
      <c r="B120" s="159"/>
      <c r="C120" s="205"/>
      <c r="D120" s="19" t="s">
        <v>17</v>
      </c>
      <c r="E120" s="18" t="s">
        <v>20</v>
      </c>
      <c r="F120" s="20" t="s">
        <v>425</v>
      </c>
      <c r="G120" s="48">
        <f>'Notes and Assumptions'!F108</f>
        <v>600000</v>
      </c>
      <c r="H120" s="48">
        <f>'Notes and Assumptions'!G108</f>
        <v>150000</v>
      </c>
      <c r="I120" s="48">
        <f>'Notes and Assumptions'!H108</f>
        <v>150000</v>
      </c>
      <c r="J120" s="48">
        <f>'Notes and Assumptions'!I108</f>
        <v>150000</v>
      </c>
      <c r="K120" s="48">
        <f>'Notes and Assumptions'!J108</f>
        <v>150000</v>
      </c>
      <c r="L120" s="48">
        <f>'Notes and Assumptions'!K108</f>
        <v>0</v>
      </c>
      <c r="M120" s="48">
        <f>'Notes and Assumptions'!L108</f>
        <v>0</v>
      </c>
      <c r="N120" s="22">
        <f t="shared" ref="N120" si="26">SUM(H120:M120)</f>
        <v>600000</v>
      </c>
      <c r="O120" s="17" t="b">
        <f t="shared" si="25"/>
        <v>1</v>
      </c>
    </row>
    <row r="121" spans="1:21" ht="28" x14ac:dyDescent="0.3">
      <c r="A121" s="203"/>
      <c r="B121" s="159"/>
      <c r="C121" s="205"/>
      <c r="D121" s="19" t="s">
        <v>17</v>
      </c>
      <c r="E121" s="18" t="s">
        <v>18</v>
      </c>
      <c r="F121" s="20" t="s">
        <v>128</v>
      </c>
      <c r="G121" s="21">
        <f>'Notes and Assumptions'!F109</f>
        <v>18000</v>
      </c>
      <c r="H121" s="21">
        <f>'Notes and Assumptions'!G109</f>
        <v>0</v>
      </c>
      <c r="I121" s="21">
        <f>'Notes and Assumptions'!H109</f>
        <v>0</v>
      </c>
      <c r="J121" s="21">
        <f>'Notes and Assumptions'!I109</f>
        <v>18000</v>
      </c>
      <c r="K121" s="21">
        <f>'Notes and Assumptions'!J109</f>
        <v>0</v>
      </c>
      <c r="L121" s="21">
        <f>'Notes and Assumptions'!K109</f>
        <v>0</v>
      </c>
      <c r="M121" s="21">
        <f>'Notes and Assumptions'!L109</f>
        <v>0</v>
      </c>
      <c r="N121" s="22">
        <f t="shared" si="24"/>
        <v>18000</v>
      </c>
      <c r="O121" s="17" t="b">
        <f t="shared" si="25"/>
        <v>1</v>
      </c>
    </row>
    <row r="122" spans="1:21" x14ac:dyDescent="0.3">
      <c r="A122" s="203"/>
      <c r="B122" s="159"/>
      <c r="C122" s="159" t="s">
        <v>430</v>
      </c>
      <c r="D122" s="19" t="s">
        <v>17</v>
      </c>
      <c r="E122" s="18" t="s">
        <v>129</v>
      </c>
      <c r="F122" s="20" t="s">
        <v>130</v>
      </c>
      <c r="G122" s="48">
        <f>'Notes and Assumptions'!F110</f>
        <v>26000</v>
      </c>
      <c r="H122" s="48">
        <f>'Notes and Assumptions'!G110</f>
        <v>0</v>
      </c>
      <c r="I122" s="48">
        <f>'Notes and Assumptions'!H110</f>
        <v>26000</v>
      </c>
      <c r="J122" s="48">
        <f>'Notes and Assumptions'!I110</f>
        <v>0</v>
      </c>
      <c r="K122" s="48">
        <f>'Notes and Assumptions'!J110</f>
        <v>0</v>
      </c>
      <c r="L122" s="48">
        <f>'Notes and Assumptions'!K110</f>
        <v>0</v>
      </c>
      <c r="M122" s="48">
        <f>'Notes and Assumptions'!L110</f>
        <v>0</v>
      </c>
      <c r="N122" s="22">
        <f t="shared" si="24"/>
        <v>26000</v>
      </c>
      <c r="O122" s="17" t="b">
        <f t="shared" si="25"/>
        <v>1</v>
      </c>
    </row>
    <row r="123" spans="1:21" x14ac:dyDescent="0.3">
      <c r="A123" s="203"/>
      <c r="B123" s="159"/>
      <c r="C123" s="159"/>
      <c r="D123" s="19" t="s">
        <v>17</v>
      </c>
      <c r="E123" s="18" t="s">
        <v>22</v>
      </c>
      <c r="F123" s="20" t="s">
        <v>131</v>
      </c>
      <c r="G123" s="21">
        <f>'Notes and Assumptions'!F111</f>
        <v>2060</v>
      </c>
      <c r="H123" s="21">
        <f>'Notes and Assumptions'!G111</f>
        <v>0</v>
      </c>
      <c r="I123" s="21">
        <f>'Notes and Assumptions'!H111</f>
        <v>2060</v>
      </c>
      <c r="J123" s="21">
        <f>'Notes and Assumptions'!I111</f>
        <v>0</v>
      </c>
      <c r="K123" s="21">
        <f>'Notes and Assumptions'!J111</f>
        <v>0</v>
      </c>
      <c r="L123" s="21">
        <f>'Notes and Assumptions'!K111</f>
        <v>0</v>
      </c>
      <c r="M123" s="21">
        <f>'Notes and Assumptions'!L111</f>
        <v>0</v>
      </c>
      <c r="N123" s="22">
        <f t="shared" si="24"/>
        <v>2060</v>
      </c>
      <c r="O123" s="17" t="b">
        <f t="shared" si="25"/>
        <v>1</v>
      </c>
    </row>
    <row r="124" spans="1:21" ht="28" x14ac:dyDescent="0.3">
      <c r="A124" s="203"/>
      <c r="B124" s="159"/>
      <c r="C124" s="159"/>
      <c r="D124" s="19" t="s">
        <v>17</v>
      </c>
      <c r="E124" s="18" t="s">
        <v>18</v>
      </c>
      <c r="F124" s="20" t="s">
        <v>132</v>
      </c>
      <c r="G124" s="48">
        <f>'Notes and Assumptions'!F112</f>
        <v>6000</v>
      </c>
      <c r="H124" s="48">
        <f>'Notes and Assumptions'!G112</f>
        <v>0</v>
      </c>
      <c r="I124" s="48">
        <f>'Notes and Assumptions'!H112</f>
        <v>6000</v>
      </c>
      <c r="J124" s="48">
        <f>'Notes and Assumptions'!I112</f>
        <v>0</v>
      </c>
      <c r="K124" s="48">
        <f>'Notes and Assumptions'!J112</f>
        <v>0</v>
      </c>
      <c r="L124" s="48">
        <f>'Notes and Assumptions'!K112</f>
        <v>0</v>
      </c>
      <c r="M124" s="48">
        <f>'Notes and Assumptions'!L112</f>
        <v>0</v>
      </c>
      <c r="N124" s="22">
        <f t="shared" si="24"/>
        <v>6000</v>
      </c>
      <c r="O124" s="17" t="b">
        <f t="shared" si="25"/>
        <v>1</v>
      </c>
    </row>
    <row r="125" spans="1:21" ht="28" x14ac:dyDescent="0.3">
      <c r="A125" s="203"/>
      <c r="B125" s="159"/>
      <c r="C125" s="159"/>
      <c r="D125" s="19" t="s">
        <v>17</v>
      </c>
      <c r="E125" s="18" t="s">
        <v>20</v>
      </c>
      <c r="F125" s="20" t="s">
        <v>133</v>
      </c>
      <c r="G125" s="21">
        <f>'Notes and Assumptions'!F113</f>
        <v>60000</v>
      </c>
      <c r="H125" s="21">
        <f>'Notes and Assumptions'!G113</f>
        <v>0</v>
      </c>
      <c r="I125" s="21">
        <f>'Notes and Assumptions'!H113</f>
        <v>60000</v>
      </c>
      <c r="J125" s="21">
        <f>'Notes and Assumptions'!I113</f>
        <v>0</v>
      </c>
      <c r="K125" s="21">
        <f>'Notes and Assumptions'!J113</f>
        <v>0</v>
      </c>
      <c r="L125" s="21">
        <f>'Notes and Assumptions'!K113</f>
        <v>0</v>
      </c>
      <c r="M125" s="21">
        <f>'Notes and Assumptions'!L113</f>
        <v>0</v>
      </c>
      <c r="N125" s="22">
        <f t="shared" si="24"/>
        <v>60000</v>
      </c>
      <c r="O125" s="17" t="b">
        <f t="shared" si="25"/>
        <v>1</v>
      </c>
    </row>
    <row r="126" spans="1:21" ht="42" x14ac:dyDescent="0.3">
      <c r="A126" s="204"/>
      <c r="B126" s="159"/>
      <c r="C126" s="51" t="s">
        <v>431</v>
      </c>
      <c r="D126" s="19" t="s">
        <v>17</v>
      </c>
      <c r="E126" s="18" t="s">
        <v>20</v>
      </c>
      <c r="F126" s="20" t="s">
        <v>134</v>
      </c>
      <c r="G126" s="21">
        <f>'Notes and Assumptions'!F114</f>
        <v>60000</v>
      </c>
      <c r="H126" s="21">
        <f>'Notes and Assumptions'!G114</f>
        <v>30000</v>
      </c>
      <c r="I126" s="21">
        <f>'Notes and Assumptions'!H114</f>
        <v>30000</v>
      </c>
      <c r="J126" s="21">
        <f>'Notes and Assumptions'!I114</f>
        <v>0</v>
      </c>
      <c r="K126" s="21">
        <f>'Notes and Assumptions'!J114</f>
        <v>0</v>
      </c>
      <c r="L126" s="21">
        <f>'Notes and Assumptions'!K114</f>
        <v>0</v>
      </c>
      <c r="M126" s="21">
        <f>'Notes and Assumptions'!L114</f>
        <v>0</v>
      </c>
      <c r="N126" s="22">
        <f t="shared" si="24"/>
        <v>60000</v>
      </c>
      <c r="O126" s="17" t="b">
        <f t="shared" si="25"/>
        <v>1</v>
      </c>
    </row>
    <row r="127" spans="1:21" x14ac:dyDescent="0.3">
      <c r="A127" s="23" t="s">
        <v>360</v>
      </c>
      <c r="B127" s="24"/>
      <c r="C127" s="24"/>
      <c r="D127" s="24"/>
      <c r="E127" s="24"/>
      <c r="F127" s="25"/>
      <c r="G127" s="26">
        <f t="shared" ref="G127:M127" si="27">SUMIF($D$90:$D$126, "GCF", G90:G126)</f>
        <v>10521914</v>
      </c>
      <c r="H127" s="26">
        <f t="shared" si="27"/>
        <v>200000</v>
      </c>
      <c r="I127" s="26">
        <f t="shared" si="27"/>
        <v>1705666</v>
      </c>
      <c r="J127" s="26">
        <f t="shared" si="27"/>
        <v>2222396</v>
      </c>
      <c r="K127" s="26">
        <f t="shared" si="27"/>
        <v>2254228</v>
      </c>
      <c r="L127" s="26">
        <f t="shared" si="27"/>
        <v>2035396</v>
      </c>
      <c r="M127" s="26">
        <f t="shared" si="27"/>
        <v>2104228</v>
      </c>
      <c r="N127" s="41">
        <f>SUM(H127:M127)</f>
        <v>10521914</v>
      </c>
      <c r="O127" s="17"/>
    </row>
    <row r="128" spans="1:21" x14ac:dyDescent="0.3">
      <c r="A128" s="168" t="s">
        <v>361</v>
      </c>
      <c r="B128" s="169"/>
      <c r="C128" s="169"/>
      <c r="D128" s="169"/>
      <c r="E128" s="169"/>
      <c r="F128" s="170"/>
      <c r="G128" s="41">
        <f t="shared" ref="G128:M128" si="28">SUMIF($D$90:$D$126, "GoM", G90:G126)</f>
        <v>142000</v>
      </c>
      <c r="H128" s="41">
        <f t="shared" si="28"/>
        <v>0</v>
      </c>
      <c r="I128" s="41">
        <f t="shared" si="28"/>
        <v>55600</v>
      </c>
      <c r="J128" s="41">
        <f t="shared" si="28"/>
        <v>14400</v>
      </c>
      <c r="K128" s="41">
        <f t="shared" si="28"/>
        <v>28800</v>
      </c>
      <c r="L128" s="41">
        <f t="shared" si="28"/>
        <v>14400</v>
      </c>
      <c r="M128" s="41">
        <f t="shared" si="28"/>
        <v>28800</v>
      </c>
      <c r="N128" s="41">
        <f t="shared" ref="N128" si="29">SUM(H128:M128)</f>
        <v>142000</v>
      </c>
      <c r="O128" s="17"/>
    </row>
    <row r="129" spans="1:15" ht="14.5" customHeight="1" thickBot="1" x14ac:dyDescent="0.35">
      <c r="A129" s="184" t="s">
        <v>362</v>
      </c>
      <c r="B129" s="185"/>
      <c r="C129" s="185"/>
      <c r="D129" s="185"/>
      <c r="E129" s="185"/>
      <c r="F129" s="186"/>
      <c r="G129" s="37">
        <f t="shared" ref="G129:M129" si="30">SUM(G127:G128)</f>
        <v>10663914</v>
      </c>
      <c r="H129" s="37">
        <f t="shared" si="30"/>
        <v>200000</v>
      </c>
      <c r="I129" s="37">
        <f t="shared" si="30"/>
        <v>1761266</v>
      </c>
      <c r="J129" s="37">
        <f t="shared" si="30"/>
        <v>2236796</v>
      </c>
      <c r="K129" s="37">
        <f t="shared" si="30"/>
        <v>2283028</v>
      </c>
      <c r="L129" s="37">
        <f t="shared" si="30"/>
        <v>2049796</v>
      </c>
      <c r="M129" s="37">
        <f t="shared" si="30"/>
        <v>2133028</v>
      </c>
      <c r="N129" s="38">
        <f>SUM(H129:M129)</f>
        <v>10663914</v>
      </c>
      <c r="O129" s="17"/>
    </row>
    <row r="130" spans="1:15" s="82" customFormat="1" ht="14.5" thickBot="1" x14ac:dyDescent="0.35">
      <c r="A130" s="78"/>
      <c r="B130" s="79"/>
      <c r="C130" s="79"/>
      <c r="D130" s="79"/>
      <c r="E130" s="79"/>
      <c r="F130" s="79"/>
      <c r="G130" s="80"/>
      <c r="H130" s="80"/>
      <c r="I130" s="80"/>
      <c r="J130" s="80"/>
      <c r="K130" s="80"/>
      <c r="L130" s="80"/>
      <c r="M130" s="80"/>
      <c r="N130" s="81"/>
      <c r="O130" s="17"/>
    </row>
    <row r="131" spans="1:15" x14ac:dyDescent="0.3">
      <c r="A131" s="199" t="s">
        <v>138</v>
      </c>
      <c r="B131" s="200"/>
      <c r="C131" s="200"/>
      <c r="D131" s="200"/>
      <c r="E131" s="200"/>
      <c r="F131" s="200"/>
      <c r="G131" s="200"/>
      <c r="H131" s="200"/>
      <c r="I131" s="200"/>
      <c r="J131" s="200"/>
      <c r="K131" s="200"/>
      <c r="L131" s="200"/>
      <c r="M131" s="200"/>
      <c r="N131" s="201"/>
      <c r="O131" s="17"/>
    </row>
    <row r="132" spans="1:15" ht="27.65" customHeight="1" x14ac:dyDescent="0.3">
      <c r="A132" s="206" t="s">
        <v>139</v>
      </c>
      <c r="B132" s="207"/>
      <c r="C132" s="208"/>
      <c r="D132" s="19" t="s">
        <v>17</v>
      </c>
      <c r="E132" s="18" t="s">
        <v>20</v>
      </c>
      <c r="F132" s="5" t="s">
        <v>140</v>
      </c>
      <c r="G132" s="21">
        <f>'Notes and Assumptions'!F116</f>
        <v>279500</v>
      </c>
      <c r="H132" s="21">
        <f>'Notes and Assumptions'!G116</f>
        <v>74000</v>
      </c>
      <c r="I132" s="21">
        <f>'Notes and Assumptions'!H116</f>
        <v>43800</v>
      </c>
      <c r="J132" s="21">
        <f>'Notes and Assumptions'!I116</f>
        <v>45800</v>
      </c>
      <c r="K132" s="21">
        <f>'Notes and Assumptions'!J116</f>
        <v>41800</v>
      </c>
      <c r="L132" s="21">
        <f>'Notes and Assumptions'!K116</f>
        <v>41800</v>
      </c>
      <c r="M132" s="21">
        <f>'Notes and Assumptions'!L116</f>
        <v>32300</v>
      </c>
      <c r="N132" s="83">
        <f t="shared" ref="N132:N136" si="31">SUM(H132:M132)</f>
        <v>279500</v>
      </c>
      <c r="O132" s="17" t="b">
        <f t="shared" ref="O132:O137" si="32">G132=N132</f>
        <v>1</v>
      </c>
    </row>
    <row r="133" spans="1:15" ht="28" x14ac:dyDescent="0.3">
      <c r="A133" s="206" t="s">
        <v>141</v>
      </c>
      <c r="B133" s="207"/>
      <c r="C133" s="208"/>
      <c r="D133" s="19" t="s">
        <v>17</v>
      </c>
      <c r="E133" s="18" t="s">
        <v>20</v>
      </c>
      <c r="F133" s="5" t="s">
        <v>142</v>
      </c>
      <c r="G133" s="21">
        <f>'Notes and Assumptions'!F117</f>
        <v>330000</v>
      </c>
      <c r="H133" s="21">
        <f>'Notes and Assumptions'!G117</f>
        <v>55000</v>
      </c>
      <c r="I133" s="21">
        <f>'Notes and Assumptions'!H117</f>
        <v>55000</v>
      </c>
      <c r="J133" s="21">
        <f>'Notes and Assumptions'!I117</f>
        <v>55000</v>
      </c>
      <c r="K133" s="21">
        <f>'Notes and Assumptions'!J117</f>
        <v>55000</v>
      </c>
      <c r="L133" s="21">
        <f>'Notes and Assumptions'!K117</f>
        <v>55000</v>
      </c>
      <c r="M133" s="21">
        <f>'Notes and Assumptions'!L117</f>
        <v>55000</v>
      </c>
      <c r="N133" s="83">
        <f t="shared" si="31"/>
        <v>330000</v>
      </c>
      <c r="O133" s="17" t="b">
        <f t="shared" si="32"/>
        <v>1</v>
      </c>
    </row>
    <row r="134" spans="1:15" ht="28" x14ac:dyDescent="0.3">
      <c r="A134" s="206" t="s">
        <v>143</v>
      </c>
      <c r="B134" s="207"/>
      <c r="C134" s="208"/>
      <c r="D134" s="19" t="s">
        <v>17</v>
      </c>
      <c r="E134" s="18" t="s">
        <v>20</v>
      </c>
      <c r="F134" s="5" t="s">
        <v>144</v>
      </c>
      <c r="G134" s="21">
        <f>'Notes and Assumptions'!F118</f>
        <v>25000</v>
      </c>
      <c r="H134" s="21">
        <f>'Notes and Assumptions'!G118</f>
        <v>4166.666666666667</v>
      </c>
      <c r="I134" s="21">
        <f>'Notes and Assumptions'!H118</f>
        <v>4166.666666666667</v>
      </c>
      <c r="J134" s="21">
        <f>'Notes and Assumptions'!I118</f>
        <v>4166.666666666667</v>
      </c>
      <c r="K134" s="21">
        <f>'Notes and Assumptions'!J118</f>
        <v>4166.666666666667</v>
      </c>
      <c r="L134" s="21">
        <f>'Notes and Assumptions'!K118</f>
        <v>4166.666666666667</v>
      </c>
      <c r="M134" s="21">
        <f>'Notes and Assumptions'!L118</f>
        <v>4166.666666666667</v>
      </c>
      <c r="N134" s="83">
        <f t="shared" si="31"/>
        <v>25000.000000000004</v>
      </c>
      <c r="O134" s="17" t="b">
        <f t="shared" si="32"/>
        <v>1</v>
      </c>
    </row>
    <row r="135" spans="1:15" ht="28" x14ac:dyDescent="0.3">
      <c r="A135" s="206" t="s">
        <v>460</v>
      </c>
      <c r="B135" s="207"/>
      <c r="C135" s="208"/>
      <c r="D135" s="19" t="s">
        <v>17</v>
      </c>
      <c r="E135" s="18" t="s">
        <v>20</v>
      </c>
      <c r="F135" s="5" t="s">
        <v>145</v>
      </c>
      <c r="G135" s="21">
        <f>'Notes and Assumptions'!F119</f>
        <v>165000</v>
      </c>
      <c r="H135" s="21">
        <f>'Notes and Assumptions'!G119</f>
        <v>27500</v>
      </c>
      <c r="I135" s="21">
        <f>'Notes and Assumptions'!H119</f>
        <v>27500</v>
      </c>
      <c r="J135" s="21">
        <f>'Notes and Assumptions'!I119</f>
        <v>27500</v>
      </c>
      <c r="K135" s="21">
        <f>'Notes and Assumptions'!J119</f>
        <v>27500</v>
      </c>
      <c r="L135" s="21">
        <f>'Notes and Assumptions'!K119</f>
        <v>27500</v>
      </c>
      <c r="M135" s="21">
        <f>'Notes and Assumptions'!L119</f>
        <v>27500</v>
      </c>
      <c r="N135" s="83">
        <f t="shared" si="31"/>
        <v>165000</v>
      </c>
      <c r="O135" s="17" t="b">
        <f t="shared" si="32"/>
        <v>1</v>
      </c>
    </row>
    <row r="136" spans="1:15" ht="28" x14ac:dyDescent="0.3">
      <c r="A136" s="206" t="s">
        <v>146</v>
      </c>
      <c r="B136" s="207"/>
      <c r="C136" s="208"/>
      <c r="D136" s="19" t="s">
        <v>17</v>
      </c>
      <c r="E136" s="18" t="s">
        <v>20</v>
      </c>
      <c r="F136" s="5" t="s">
        <v>147</v>
      </c>
      <c r="G136" s="21">
        <f>'Notes and Assumptions'!F120</f>
        <v>330000</v>
      </c>
      <c r="H136" s="21">
        <f>'Notes and Assumptions'!G120</f>
        <v>55000</v>
      </c>
      <c r="I136" s="21">
        <f>'Notes and Assumptions'!H120</f>
        <v>55000</v>
      </c>
      <c r="J136" s="21">
        <f>'Notes and Assumptions'!I120</f>
        <v>55000</v>
      </c>
      <c r="K136" s="21">
        <f>'Notes and Assumptions'!J120</f>
        <v>55000</v>
      </c>
      <c r="L136" s="21">
        <f>'Notes and Assumptions'!K120</f>
        <v>55000</v>
      </c>
      <c r="M136" s="21">
        <f>'Notes and Assumptions'!L120</f>
        <v>55000</v>
      </c>
      <c r="N136" s="83">
        <f t="shared" si="31"/>
        <v>330000</v>
      </c>
      <c r="O136" s="17" t="b">
        <f t="shared" si="32"/>
        <v>1</v>
      </c>
    </row>
    <row r="137" spans="1:15" ht="28" x14ac:dyDescent="0.3">
      <c r="A137" s="156" t="s">
        <v>148</v>
      </c>
      <c r="B137" s="157"/>
      <c r="C137" s="158"/>
      <c r="D137" s="19" t="s">
        <v>17</v>
      </c>
      <c r="E137" s="18" t="s">
        <v>20</v>
      </c>
      <c r="F137" s="5" t="s">
        <v>149</v>
      </c>
      <c r="G137" s="21">
        <v>315000</v>
      </c>
      <c r="H137" s="21">
        <f>'Notes and Assumptions'!G121</f>
        <v>105000</v>
      </c>
      <c r="I137" s="21">
        <f>'Notes and Assumptions'!H121</f>
        <v>0</v>
      </c>
      <c r="J137" s="21">
        <f>'Notes and Assumptions'!I121</f>
        <v>105000</v>
      </c>
      <c r="K137" s="21">
        <f>'Notes and Assumptions'!J121</f>
        <v>0</v>
      </c>
      <c r="L137" s="21">
        <f>'Notes and Assumptions'!K121</f>
        <v>0</v>
      </c>
      <c r="M137" s="21">
        <f>'Notes and Assumptions'!L121</f>
        <v>105000</v>
      </c>
      <c r="N137" s="83">
        <f t="shared" ref="N137" si="33">SUM(H137:M137)</f>
        <v>315000</v>
      </c>
      <c r="O137" s="17" t="b">
        <f t="shared" si="32"/>
        <v>1</v>
      </c>
    </row>
    <row r="138" spans="1:15" ht="13.75" customHeight="1" x14ac:dyDescent="0.3">
      <c r="A138" s="168" t="s">
        <v>150</v>
      </c>
      <c r="B138" s="169"/>
      <c r="C138" s="169"/>
      <c r="D138" s="169"/>
      <c r="E138" s="169"/>
      <c r="F138" s="170"/>
      <c r="G138" s="84">
        <f t="shared" ref="G138:N138" si="34">SUMIF($D132:$D137, "GCF", G132:G137)</f>
        <v>1444500</v>
      </c>
      <c r="H138" s="84">
        <f t="shared" si="34"/>
        <v>320666.66666666663</v>
      </c>
      <c r="I138" s="84">
        <f t="shared" si="34"/>
        <v>185466.66666666669</v>
      </c>
      <c r="J138" s="84">
        <f t="shared" si="34"/>
        <v>292466.66666666669</v>
      </c>
      <c r="K138" s="84">
        <f t="shared" si="34"/>
        <v>183466.66666666669</v>
      </c>
      <c r="L138" s="84">
        <f t="shared" si="34"/>
        <v>183466.66666666669</v>
      </c>
      <c r="M138" s="84">
        <f t="shared" si="34"/>
        <v>278966.66666666669</v>
      </c>
      <c r="N138" s="84">
        <f t="shared" si="34"/>
        <v>1444500</v>
      </c>
      <c r="O138" s="17"/>
    </row>
    <row r="139" spans="1:15" ht="13.75" customHeight="1" x14ac:dyDescent="0.3">
      <c r="A139" s="168" t="s">
        <v>151</v>
      </c>
      <c r="B139" s="169"/>
      <c r="C139" s="169"/>
      <c r="D139" s="169"/>
      <c r="E139" s="169"/>
      <c r="F139" s="170"/>
      <c r="G139" s="41">
        <f>SUMIF($D132:$D137, "GoM", G132:G137)</f>
        <v>0</v>
      </c>
      <c r="H139" s="31">
        <f>SUMIF($D$132:$D$137,"Gom",H132:H137)</f>
        <v>0</v>
      </c>
      <c r="I139" s="31"/>
      <c r="J139" s="31"/>
      <c r="K139" s="31"/>
      <c r="L139" s="31"/>
      <c r="M139" s="31"/>
      <c r="N139" s="32">
        <f>SUMIF($D$145:$D$149,"GoJ",N132:N137)</f>
        <v>0</v>
      </c>
      <c r="O139" s="17"/>
    </row>
    <row r="140" spans="1:15" x14ac:dyDescent="0.3">
      <c r="A140" s="85" t="s">
        <v>152</v>
      </c>
      <c r="B140" s="43"/>
      <c r="C140" s="43"/>
      <c r="D140" s="43"/>
      <c r="E140" s="43"/>
      <c r="F140" s="44"/>
      <c r="G140" s="41">
        <f t="shared" ref="G140:N140" si="35">SUMIF($D$132:$D$137, "4 Regions (DREDDs)", G$132:G$137)</f>
        <v>0</v>
      </c>
      <c r="H140" s="41">
        <f t="shared" si="35"/>
        <v>0</v>
      </c>
      <c r="I140" s="41">
        <f t="shared" si="35"/>
        <v>0</v>
      </c>
      <c r="J140" s="41">
        <f t="shared" si="35"/>
        <v>0</v>
      </c>
      <c r="K140" s="41">
        <f t="shared" si="35"/>
        <v>0</v>
      </c>
      <c r="L140" s="41">
        <f t="shared" si="35"/>
        <v>0</v>
      </c>
      <c r="M140" s="41">
        <f t="shared" si="35"/>
        <v>0</v>
      </c>
      <c r="N140" s="42">
        <f t="shared" si="35"/>
        <v>0</v>
      </c>
      <c r="O140" s="17"/>
    </row>
    <row r="141" spans="1:15" ht="14.5" thickBot="1" x14ac:dyDescent="0.35">
      <c r="A141" s="85" t="s">
        <v>153</v>
      </c>
      <c r="B141" s="43"/>
      <c r="C141" s="43"/>
      <c r="D141" s="43"/>
      <c r="E141" s="43"/>
      <c r="F141" s="44"/>
      <c r="G141" s="33">
        <f t="shared" ref="G141:N141" si="36">SUMIF($D132:$D137, "UNEP", G132:G137)</f>
        <v>0</v>
      </c>
      <c r="H141" s="33">
        <f t="shared" si="36"/>
        <v>0</v>
      </c>
      <c r="I141" s="33">
        <f t="shared" si="36"/>
        <v>0</v>
      </c>
      <c r="J141" s="33">
        <f t="shared" si="36"/>
        <v>0</v>
      </c>
      <c r="K141" s="33">
        <f t="shared" si="36"/>
        <v>0</v>
      </c>
      <c r="L141" s="33">
        <f t="shared" si="36"/>
        <v>0</v>
      </c>
      <c r="M141" s="33">
        <f t="shared" si="36"/>
        <v>0</v>
      </c>
      <c r="N141" s="33">
        <f t="shared" si="36"/>
        <v>0</v>
      </c>
      <c r="O141" s="17"/>
    </row>
    <row r="142" spans="1:15" ht="14.5" thickBot="1" x14ac:dyDescent="0.35">
      <c r="A142" s="184" t="s">
        <v>154</v>
      </c>
      <c r="B142" s="185"/>
      <c r="C142" s="185"/>
      <c r="D142" s="185"/>
      <c r="E142" s="185"/>
      <c r="F142" s="186"/>
      <c r="G142" s="37">
        <f>SUM(G138:G141)</f>
        <v>1444500</v>
      </c>
      <c r="H142" s="37">
        <f t="shared" ref="H142:N142" si="37">SUM(H138:H141)</f>
        <v>320666.66666666663</v>
      </c>
      <c r="I142" s="37">
        <f t="shared" si="37"/>
        <v>185466.66666666669</v>
      </c>
      <c r="J142" s="37">
        <f t="shared" si="37"/>
        <v>292466.66666666669</v>
      </c>
      <c r="K142" s="37">
        <f t="shared" si="37"/>
        <v>183466.66666666669</v>
      </c>
      <c r="L142" s="37">
        <f t="shared" si="37"/>
        <v>183466.66666666669</v>
      </c>
      <c r="M142" s="37">
        <f t="shared" si="37"/>
        <v>278966.66666666669</v>
      </c>
      <c r="N142" s="37">
        <f t="shared" si="37"/>
        <v>1444500</v>
      </c>
      <c r="O142" s="17"/>
    </row>
    <row r="143" spans="1:15" ht="14.5" thickBot="1" x14ac:dyDescent="0.35">
      <c r="A143" s="86"/>
      <c r="B143" s="87"/>
      <c r="C143" s="87"/>
      <c r="D143" s="87"/>
      <c r="E143" s="87"/>
      <c r="F143" s="87"/>
      <c r="G143" s="87"/>
      <c r="H143" s="88"/>
      <c r="I143" s="88"/>
      <c r="J143" s="88"/>
      <c r="K143" s="88"/>
      <c r="L143" s="88"/>
      <c r="M143" s="88"/>
      <c r="N143" s="88"/>
      <c r="O143" s="17"/>
    </row>
    <row r="144" spans="1:15" x14ac:dyDescent="0.3">
      <c r="A144" s="199" t="s">
        <v>155</v>
      </c>
      <c r="B144" s="200"/>
      <c r="C144" s="200"/>
      <c r="D144" s="200"/>
      <c r="E144" s="200"/>
      <c r="F144" s="200"/>
      <c r="G144" s="200"/>
      <c r="H144" s="200"/>
      <c r="I144" s="200"/>
      <c r="J144" s="200"/>
      <c r="K144" s="200"/>
      <c r="L144" s="200"/>
      <c r="M144" s="200"/>
      <c r="N144" s="201"/>
      <c r="O144" s="17"/>
    </row>
    <row r="145" spans="1:15" ht="28" x14ac:dyDescent="0.3">
      <c r="A145" s="156" t="s">
        <v>156</v>
      </c>
      <c r="B145" s="157"/>
      <c r="C145" s="158"/>
      <c r="D145" s="19" t="s">
        <v>17</v>
      </c>
      <c r="E145" s="18" t="s">
        <v>20</v>
      </c>
      <c r="F145" s="20" t="str">
        <f>'Notes and Assumptions'!A123</f>
        <v>PM1</v>
      </c>
      <c r="G145" s="21">
        <f>'Notes and Assumptions'!F123</f>
        <v>450000</v>
      </c>
      <c r="H145" s="21">
        <f>'Notes and Assumptions'!G123</f>
        <v>75000</v>
      </c>
      <c r="I145" s="21">
        <f>'Notes and Assumptions'!H123</f>
        <v>75000</v>
      </c>
      <c r="J145" s="21">
        <f>'Notes and Assumptions'!I123</f>
        <v>75000</v>
      </c>
      <c r="K145" s="21">
        <f>'Notes and Assumptions'!J123</f>
        <v>75000</v>
      </c>
      <c r="L145" s="21">
        <f>'Notes and Assumptions'!K123</f>
        <v>75000</v>
      </c>
      <c r="M145" s="21">
        <f>'Notes and Assumptions'!L123</f>
        <v>75000</v>
      </c>
      <c r="N145" s="22">
        <f>SUM(H145:M145)</f>
        <v>450000</v>
      </c>
      <c r="O145" s="17" t="b">
        <f>G145=N145</f>
        <v>1</v>
      </c>
    </row>
    <row r="146" spans="1:15" ht="28" x14ac:dyDescent="0.3">
      <c r="A146" s="156" t="s">
        <v>157</v>
      </c>
      <c r="B146" s="157"/>
      <c r="C146" s="158"/>
      <c r="D146" s="19" t="s">
        <v>17</v>
      </c>
      <c r="E146" s="18" t="s">
        <v>20</v>
      </c>
      <c r="F146" s="20" t="str">
        <f>'Notes and Assumptions'!A124</f>
        <v>PM2</v>
      </c>
      <c r="G146" s="21">
        <f>'Notes and Assumptions'!F124</f>
        <v>110000</v>
      </c>
      <c r="H146" s="21">
        <f>'Notes and Assumptions'!G124</f>
        <v>55000</v>
      </c>
      <c r="I146" s="21">
        <f>'Notes and Assumptions'!H124</f>
        <v>55000</v>
      </c>
      <c r="J146" s="21">
        <f>'Notes and Assumptions'!I124</f>
        <v>0</v>
      </c>
      <c r="K146" s="21">
        <f>'Notes and Assumptions'!J124</f>
        <v>0</v>
      </c>
      <c r="L146" s="21">
        <f>'Notes and Assumptions'!K124</f>
        <v>0</v>
      </c>
      <c r="M146" s="21">
        <f>'Notes and Assumptions'!L124</f>
        <v>0</v>
      </c>
      <c r="N146" s="22">
        <f t="shared" ref="N146:N148" si="38">SUM(H146:M146)</f>
        <v>110000</v>
      </c>
      <c r="O146" s="17" t="b">
        <f>G146=N146</f>
        <v>1</v>
      </c>
    </row>
    <row r="147" spans="1:15" ht="28" x14ac:dyDescent="0.3">
      <c r="A147" s="156" t="s">
        <v>158</v>
      </c>
      <c r="B147" s="209"/>
      <c r="C147" s="210"/>
      <c r="D147" s="19" t="s">
        <v>17</v>
      </c>
      <c r="E147" s="18" t="s">
        <v>20</v>
      </c>
      <c r="F147" s="20" t="s">
        <v>159</v>
      </c>
      <c r="G147" s="21">
        <f>'Notes and Assumptions'!F125</f>
        <v>330000</v>
      </c>
      <c r="H147" s="21">
        <f>'Notes and Assumptions'!G125</f>
        <v>55000</v>
      </c>
      <c r="I147" s="21">
        <f>'Notes and Assumptions'!H125</f>
        <v>55000</v>
      </c>
      <c r="J147" s="21">
        <f>'Notes and Assumptions'!I125</f>
        <v>55000</v>
      </c>
      <c r="K147" s="21">
        <f>'Notes and Assumptions'!J125</f>
        <v>55000</v>
      </c>
      <c r="L147" s="21">
        <f>'Notes and Assumptions'!K125</f>
        <v>55000</v>
      </c>
      <c r="M147" s="21">
        <f>'Notes and Assumptions'!L125</f>
        <v>55000</v>
      </c>
      <c r="N147" s="22">
        <f t="shared" si="38"/>
        <v>330000</v>
      </c>
      <c r="O147" s="17" t="b">
        <f t="shared" ref="O147" si="39">G147=N147</f>
        <v>1</v>
      </c>
    </row>
    <row r="148" spans="1:15" ht="28" x14ac:dyDescent="0.3">
      <c r="A148" s="156" t="s">
        <v>465</v>
      </c>
      <c r="B148" s="157"/>
      <c r="C148" s="158"/>
      <c r="D148" s="19" t="s">
        <v>17</v>
      </c>
      <c r="E148" s="18" t="s">
        <v>20</v>
      </c>
      <c r="F148" s="20" t="str">
        <f>'Notes and Assumptions'!A126</f>
        <v>PM4</v>
      </c>
      <c r="G148" s="21">
        <f>'Notes and Assumptions'!F126</f>
        <v>195000</v>
      </c>
      <c r="H148" s="21">
        <f>'Notes and Assumptions'!G126</f>
        <v>32500</v>
      </c>
      <c r="I148" s="21">
        <f>'Notes and Assumptions'!H126</f>
        <v>32500</v>
      </c>
      <c r="J148" s="21">
        <f>'Notes and Assumptions'!I126</f>
        <v>32500</v>
      </c>
      <c r="K148" s="21">
        <f>'Notes and Assumptions'!J126</f>
        <v>32500</v>
      </c>
      <c r="L148" s="21">
        <f>'Notes and Assumptions'!K126</f>
        <v>32500</v>
      </c>
      <c r="M148" s="21">
        <f>'Notes and Assumptions'!L126</f>
        <v>32500</v>
      </c>
      <c r="N148" s="22">
        <f t="shared" si="38"/>
        <v>195000</v>
      </c>
      <c r="O148" s="17" t="b">
        <f t="shared" ref="O148:O154" si="40">G148=N148</f>
        <v>1</v>
      </c>
    </row>
    <row r="149" spans="1:15" x14ac:dyDescent="0.3">
      <c r="A149" s="156" t="s">
        <v>160</v>
      </c>
      <c r="B149" s="157"/>
      <c r="C149" s="158"/>
      <c r="D149" s="19" t="s">
        <v>24</v>
      </c>
      <c r="E149" s="18" t="s">
        <v>52</v>
      </c>
      <c r="F149" s="20" t="str">
        <f>'Notes and Assumptions'!A127</f>
        <v>PM5</v>
      </c>
      <c r="G149" s="21">
        <f>'Notes and Assumptions'!F127</f>
        <v>180000</v>
      </c>
      <c r="H149" s="21">
        <f>'Notes and Assumptions'!G127</f>
        <v>30000</v>
      </c>
      <c r="I149" s="21">
        <f>'Notes and Assumptions'!H127</f>
        <v>30000</v>
      </c>
      <c r="J149" s="21">
        <f>'Notes and Assumptions'!I127</f>
        <v>30000</v>
      </c>
      <c r="K149" s="21">
        <f>'Notes and Assumptions'!J127</f>
        <v>30000</v>
      </c>
      <c r="L149" s="21">
        <f>'Notes and Assumptions'!K127</f>
        <v>30000</v>
      </c>
      <c r="M149" s="21">
        <f>'Notes and Assumptions'!L127</f>
        <v>30000</v>
      </c>
      <c r="N149" s="22">
        <f t="shared" ref="N149:N156" si="41">SUM(H149:M149)</f>
        <v>180000</v>
      </c>
      <c r="O149" s="17" t="b">
        <f t="shared" si="40"/>
        <v>1</v>
      </c>
    </row>
    <row r="150" spans="1:15" x14ac:dyDescent="0.3">
      <c r="A150" s="156" t="s">
        <v>161</v>
      </c>
      <c r="B150" s="157"/>
      <c r="C150" s="158"/>
      <c r="D150" s="19" t="s">
        <v>24</v>
      </c>
      <c r="E150" s="89" t="s">
        <v>52</v>
      </c>
      <c r="F150" s="20" t="s">
        <v>162</v>
      </c>
      <c r="G150" s="21">
        <f>'Notes and Assumptions'!F128</f>
        <v>30000</v>
      </c>
      <c r="H150" s="21">
        <f>'Notes and Assumptions'!G128</f>
        <v>5000</v>
      </c>
      <c r="I150" s="21">
        <f>'Notes and Assumptions'!H128</f>
        <v>5000</v>
      </c>
      <c r="J150" s="21">
        <f>'Notes and Assumptions'!I128</f>
        <v>5000</v>
      </c>
      <c r="K150" s="21">
        <f>'Notes and Assumptions'!J128</f>
        <v>5000</v>
      </c>
      <c r="L150" s="21">
        <f>'Notes and Assumptions'!K128</f>
        <v>5000</v>
      </c>
      <c r="M150" s="21">
        <f>'Notes and Assumptions'!L128</f>
        <v>5000</v>
      </c>
      <c r="N150" s="22">
        <f t="shared" si="41"/>
        <v>30000</v>
      </c>
      <c r="O150" s="17" t="b">
        <f t="shared" si="40"/>
        <v>1</v>
      </c>
    </row>
    <row r="151" spans="1:15" x14ac:dyDescent="0.3">
      <c r="A151" s="156" t="s">
        <v>163</v>
      </c>
      <c r="B151" s="157"/>
      <c r="C151" s="158"/>
      <c r="D151" s="19" t="s">
        <v>17</v>
      </c>
      <c r="E151" s="18" t="s">
        <v>52</v>
      </c>
      <c r="F151" s="20" t="str">
        <f>'Notes and Assumptions'!A129</f>
        <v>PM7</v>
      </c>
      <c r="G151" s="21">
        <f>'Notes and Assumptions'!F129</f>
        <v>39000</v>
      </c>
      <c r="H151" s="21">
        <f>'Notes and Assumptions'!G129</f>
        <v>6500</v>
      </c>
      <c r="I151" s="21">
        <f>'Notes and Assumptions'!H129</f>
        <v>6500</v>
      </c>
      <c r="J151" s="21">
        <f>'Notes and Assumptions'!I129</f>
        <v>6500</v>
      </c>
      <c r="K151" s="21">
        <f>'Notes and Assumptions'!J129</f>
        <v>6500</v>
      </c>
      <c r="L151" s="21">
        <f>'Notes and Assumptions'!K129</f>
        <v>6500</v>
      </c>
      <c r="M151" s="21">
        <f>'Notes and Assumptions'!L129</f>
        <v>6500</v>
      </c>
      <c r="N151" s="22">
        <f t="shared" si="41"/>
        <v>39000</v>
      </c>
      <c r="O151" s="17" t="b">
        <f t="shared" si="40"/>
        <v>1</v>
      </c>
    </row>
    <row r="152" spans="1:15" ht="28" x14ac:dyDescent="0.3">
      <c r="A152" s="156" t="s">
        <v>164</v>
      </c>
      <c r="B152" s="157"/>
      <c r="C152" s="158"/>
      <c r="D152" s="19" t="s">
        <v>17</v>
      </c>
      <c r="E152" s="18" t="s">
        <v>20</v>
      </c>
      <c r="F152" s="20" t="str">
        <f>'Notes and Assumptions'!A130</f>
        <v>PM8</v>
      </c>
      <c r="G152" s="21">
        <f>'Notes and Assumptions'!F130</f>
        <v>30000</v>
      </c>
      <c r="H152" s="21">
        <f>'Notes and Assumptions'!G130</f>
        <v>5000</v>
      </c>
      <c r="I152" s="21">
        <f>'Notes and Assumptions'!H130</f>
        <v>5000</v>
      </c>
      <c r="J152" s="21">
        <f>'Notes and Assumptions'!I130</f>
        <v>5000</v>
      </c>
      <c r="K152" s="21">
        <f>'Notes and Assumptions'!J130</f>
        <v>5000</v>
      </c>
      <c r="L152" s="21">
        <f>'Notes and Assumptions'!K130</f>
        <v>5000</v>
      </c>
      <c r="M152" s="21">
        <f>'Notes and Assumptions'!L130</f>
        <v>5000</v>
      </c>
      <c r="N152" s="22">
        <f t="shared" si="41"/>
        <v>30000</v>
      </c>
      <c r="O152" s="17" t="b">
        <f t="shared" si="40"/>
        <v>1</v>
      </c>
    </row>
    <row r="153" spans="1:15" x14ac:dyDescent="0.3">
      <c r="A153" s="156" t="s">
        <v>165</v>
      </c>
      <c r="B153" s="157"/>
      <c r="C153" s="158"/>
      <c r="D153" s="19" t="s">
        <v>17</v>
      </c>
      <c r="E153" s="18" t="s">
        <v>22</v>
      </c>
      <c r="F153" s="20" t="s">
        <v>166</v>
      </c>
      <c r="G153" s="21">
        <f>'Notes and Assumptions'!F131</f>
        <v>60000</v>
      </c>
      <c r="H153" s="21">
        <f>'Notes and Assumptions'!G131</f>
        <v>10000</v>
      </c>
      <c r="I153" s="21">
        <f>'Notes and Assumptions'!H131</f>
        <v>10000</v>
      </c>
      <c r="J153" s="21">
        <f>'Notes and Assumptions'!I131</f>
        <v>10000</v>
      </c>
      <c r="K153" s="21">
        <f>'Notes and Assumptions'!J131</f>
        <v>10000</v>
      </c>
      <c r="L153" s="21">
        <f>'Notes and Assumptions'!K131</f>
        <v>10000</v>
      </c>
      <c r="M153" s="21">
        <f>'Notes and Assumptions'!L131</f>
        <v>10000</v>
      </c>
      <c r="N153" s="22">
        <f t="shared" si="41"/>
        <v>60000</v>
      </c>
      <c r="O153" s="17" t="b">
        <f t="shared" si="40"/>
        <v>1</v>
      </c>
    </row>
    <row r="154" spans="1:15" ht="28" x14ac:dyDescent="0.3">
      <c r="A154" s="156" t="s">
        <v>167</v>
      </c>
      <c r="B154" s="157"/>
      <c r="C154" s="158"/>
      <c r="D154" s="90" t="s">
        <v>17</v>
      </c>
      <c r="E154" s="40" t="s">
        <v>18</v>
      </c>
      <c r="F154" s="20" t="str">
        <f>'Notes and Assumptions'!A132</f>
        <v>PM10</v>
      </c>
      <c r="G154" s="21">
        <f>'Notes and Assumptions'!F132</f>
        <v>42000</v>
      </c>
      <c r="H154" s="21">
        <f>'Notes and Assumptions'!G132</f>
        <v>7000</v>
      </c>
      <c r="I154" s="21">
        <f>'Notes and Assumptions'!H132</f>
        <v>7000</v>
      </c>
      <c r="J154" s="21">
        <f>'Notes and Assumptions'!I132</f>
        <v>7000</v>
      </c>
      <c r="K154" s="21">
        <f>'Notes and Assumptions'!J132</f>
        <v>7000</v>
      </c>
      <c r="L154" s="21">
        <f>'Notes and Assumptions'!K132</f>
        <v>7000</v>
      </c>
      <c r="M154" s="21">
        <f>'Notes and Assumptions'!L132</f>
        <v>7000</v>
      </c>
      <c r="N154" s="91">
        <f t="shared" si="41"/>
        <v>42000</v>
      </c>
      <c r="O154" s="17" t="b">
        <f t="shared" si="40"/>
        <v>1</v>
      </c>
    </row>
    <row r="155" spans="1:15" x14ac:dyDescent="0.3">
      <c r="A155" s="190" t="s">
        <v>168</v>
      </c>
      <c r="B155" s="191"/>
      <c r="C155" s="191"/>
      <c r="D155" s="191"/>
      <c r="E155" s="191"/>
      <c r="F155" s="192"/>
      <c r="G155" s="92">
        <f t="shared" ref="G155:M155" si="42">SUMIF($D145:$D154, "GCF", G145:G154)</f>
        <v>1256000</v>
      </c>
      <c r="H155" s="92">
        <f t="shared" si="42"/>
        <v>246000</v>
      </c>
      <c r="I155" s="92">
        <f t="shared" si="42"/>
        <v>246000</v>
      </c>
      <c r="J155" s="92">
        <f t="shared" si="42"/>
        <v>191000</v>
      </c>
      <c r="K155" s="92">
        <f t="shared" si="42"/>
        <v>191000</v>
      </c>
      <c r="L155" s="92">
        <f t="shared" si="42"/>
        <v>191000</v>
      </c>
      <c r="M155" s="92">
        <f t="shared" si="42"/>
        <v>191000</v>
      </c>
      <c r="N155" s="93">
        <f t="shared" si="41"/>
        <v>1256000</v>
      </c>
      <c r="O155" s="17"/>
    </row>
    <row r="156" spans="1:15" x14ac:dyDescent="0.3">
      <c r="A156" s="190" t="s">
        <v>169</v>
      </c>
      <c r="B156" s="191"/>
      <c r="C156" s="191"/>
      <c r="D156" s="191"/>
      <c r="E156" s="191"/>
      <c r="F156" s="192"/>
      <c r="G156" s="92">
        <f t="shared" ref="G156:M156" si="43">SUMIF($D145:$D154, "GoM", G145:G154)</f>
        <v>210000</v>
      </c>
      <c r="H156" s="92">
        <f t="shared" si="43"/>
        <v>35000</v>
      </c>
      <c r="I156" s="92">
        <f t="shared" si="43"/>
        <v>35000</v>
      </c>
      <c r="J156" s="92">
        <f t="shared" si="43"/>
        <v>35000</v>
      </c>
      <c r="K156" s="92">
        <f t="shared" si="43"/>
        <v>35000</v>
      </c>
      <c r="L156" s="92">
        <f t="shared" si="43"/>
        <v>35000</v>
      </c>
      <c r="M156" s="92">
        <f t="shared" si="43"/>
        <v>35000</v>
      </c>
      <c r="N156" s="93">
        <f t="shared" si="41"/>
        <v>210000</v>
      </c>
      <c r="O156" s="17"/>
    </row>
    <row r="157" spans="1:15" ht="14.5" thickBot="1" x14ac:dyDescent="0.35">
      <c r="A157" s="184" t="s">
        <v>170</v>
      </c>
      <c r="B157" s="185"/>
      <c r="C157" s="185"/>
      <c r="D157" s="185"/>
      <c r="E157" s="185"/>
      <c r="F157" s="186"/>
      <c r="G157" s="95">
        <f t="shared" ref="G157:N157" si="44">SUM(G155:G156)</f>
        <v>1466000</v>
      </c>
      <c r="H157" s="95">
        <f t="shared" si="44"/>
        <v>281000</v>
      </c>
      <c r="I157" s="95">
        <f t="shared" si="44"/>
        <v>281000</v>
      </c>
      <c r="J157" s="95">
        <f t="shared" si="44"/>
        <v>226000</v>
      </c>
      <c r="K157" s="95">
        <f t="shared" si="44"/>
        <v>226000</v>
      </c>
      <c r="L157" s="95">
        <f t="shared" si="44"/>
        <v>226000</v>
      </c>
      <c r="M157" s="95">
        <f t="shared" si="44"/>
        <v>226000</v>
      </c>
      <c r="N157" s="95">
        <f t="shared" si="44"/>
        <v>1466000</v>
      </c>
      <c r="O157" s="17"/>
    </row>
    <row r="158" spans="1:15" ht="14.5" thickBot="1" x14ac:dyDescent="0.35">
      <c r="A158" s="96"/>
      <c r="B158" s="96"/>
      <c r="C158" s="96"/>
      <c r="D158" s="96"/>
      <c r="E158" s="96"/>
      <c r="F158" s="96"/>
      <c r="G158" s="96"/>
      <c r="H158" s="17"/>
      <c r="I158" s="17"/>
      <c r="J158" s="17"/>
      <c r="K158" s="17"/>
      <c r="L158" s="17"/>
      <c r="M158" s="17"/>
      <c r="N158" s="17"/>
      <c r="O158" s="17"/>
    </row>
    <row r="159" spans="1:15" ht="14.5" thickBot="1" x14ac:dyDescent="0.35">
      <c r="A159" s="187" t="s">
        <v>171</v>
      </c>
      <c r="B159" s="188"/>
      <c r="C159" s="188"/>
      <c r="D159" s="188"/>
      <c r="E159" s="188"/>
      <c r="F159" s="189"/>
      <c r="G159" s="97">
        <f t="shared" ref="G159:M160" si="45">SUM(G26,G38,G58,G87,G127)</f>
        <v>28202274.880000003</v>
      </c>
      <c r="H159" s="97">
        <f t="shared" si="45"/>
        <v>1053208</v>
      </c>
      <c r="I159" s="97">
        <f t="shared" si="45"/>
        <v>4182845.4280000003</v>
      </c>
      <c r="J159" s="97">
        <f t="shared" si="45"/>
        <v>7359469.3629999999</v>
      </c>
      <c r="K159" s="97">
        <f t="shared" si="45"/>
        <v>6959061.3629999999</v>
      </c>
      <c r="L159" s="97">
        <f t="shared" si="45"/>
        <v>4334429.3629999999</v>
      </c>
      <c r="M159" s="97">
        <f t="shared" si="45"/>
        <v>4313261.3629999999</v>
      </c>
      <c r="N159" s="98">
        <f>SUM(H159:M159)</f>
        <v>28202274.879999995</v>
      </c>
      <c r="O159" s="17" t="b">
        <f>G159=N159</f>
        <v>1</v>
      </c>
    </row>
    <row r="160" spans="1:15" ht="14.5" thickBot="1" x14ac:dyDescent="0.35">
      <c r="A160" s="190" t="s">
        <v>172</v>
      </c>
      <c r="B160" s="191"/>
      <c r="C160" s="191"/>
      <c r="D160" s="191"/>
      <c r="E160" s="191"/>
      <c r="F160" s="192"/>
      <c r="G160" s="99">
        <f t="shared" si="45"/>
        <v>2447570</v>
      </c>
      <c r="H160" s="99">
        <f t="shared" si="45"/>
        <v>45600</v>
      </c>
      <c r="I160" s="99">
        <f t="shared" si="45"/>
        <v>699594</v>
      </c>
      <c r="J160" s="99">
        <f t="shared" si="45"/>
        <v>423394</v>
      </c>
      <c r="K160" s="99">
        <f t="shared" si="45"/>
        <v>437794</v>
      </c>
      <c r="L160" s="99">
        <f t="shared" si="45"/>
        <v>413394</v>
      </c>
      <c r="M160" s="99">
        <f t="shared" si="45"/>
        <v>427794</v>
      </c>
      <c r="N160" s="98">
        <f t="shared" ref="N160" si="46">SUM(H160:M160)</f>
        <v>2447570</v>
      </c>
      <c r="O160" s="17" t="b">
        <f t="shared" ref="O160:O171" si="47">G160=N160</f>
        <v>1</v>
      </c>
    </row>
    <row r="161" spans="1:15" ht="14.5" thickBot="1" x14ac:dyDescent="0.35">
      <c r="A161" s="196" t="s">
        <v>173</v>
      </c>
      <c r="B161" s="197"/>
      <c r="C161" s="197"/>
      <c r="D161" s="197"/>
      <c r="E161" s="197"/>
      <c r="F161" s="198"/>
      <c r="G161" s="103">
        <f t="shared" ref="G161:M161" si="48">SUM(G159:G160)</f>
        <v>30649844.880000003</v>
      </c>
      <c r="H161" s="104">
        <f t="shared" si="48"/>
        <v>1098808</v>
      </c>
      <c r="I161" s="104">
        <f t="shared" si="48"/>
        <v>4882439.4280000003</v>
      </c>
      <c r="J161" s="104">
        <f t="shared" si="48"/>
        <v>7782863.3629999999</v>
      </c>
      <c r="K161" s="104">
        <f t="shared" si="48"/>
        <v>7396855.3629999999</v>
      </c>
      <c r="L161" s="104">
        <f t="shared" si="48"/>
        <v>4747823.3629999999</v>
      </c>
      <c r="M161" s="104">
        <f t="shared" si="48"/>
        <v>4741055.3629999999</v>
      </c>
      <c r="N161" s="105">
        <f>SUM(H161:M161)</f>
        <v>30649844.879999995</v>
      </c>
      <c r="O161" s="17" t="b">
        <f t="shared" si="47"/>
        <v>1</v>
      </c>
    </row>
    <row r="162" spans="1:15" x14ac:dyDescent="0.3">
      <c r="A162" s="190" t="s">
        <v>174</v>
      </c>
      <c r="B162" s="191"/>
      <c r="C162" s="191"/>
      <c r="D162" s="191"/>
      <c r="E162" s="191"/>
      <c r="F162" s="192"/>
      <c r="G162" s="99">
        <f t="shared" ref="G162:N163" si="49">G138</f>
        <v>1444500</v>
      </c>
      <c r="H162" s="99">
        <f t="shared" si="49"/>
        <v>320666.66666666663</v>
      </c>
      <c r="I162" s="99">
        <f t="shared" si="49"/>
        <v>185466.66666666669</v>
      </c>
      <c r="J162" s="99">
        <f t="shared" si="49"/>
        <v>292466.66666666669</v>
      </c>
      <c r="K162" s="99">
        <f t="shared" si="49"/>
        <v>183466.66666666669</v>
      </c>
      <c r="L162" s="99">
        <f t="shared" si="49"/>
        <v>183466.66666666669</v>
      </c>
      <c r="M162" s="99">
        <f t="shared" si="49"/>
        <v>278966.66666666669</v>
      </c>
      <c r="N162" s="100">
        <f t="shared" si="49"/>
        <v>1444500</v>
      </c>
      <c r="O162" s="17" t="b">
        <f t="shared" si="47"/>
        <v>1</v>
      </c>
    </row>
    <row r="163" spans="1:15" x14ac:dyDescent="0.3">
      <c r="A163" s="106" t="s">
        <v>175</v>
      </c>
      <c r="B163" s="107"/>
      <c r="C163" s="107"/>
      <c r="D163" s="107"/>
      <c r="E163" s="107"/>
      <c r="F163" s="108"/>
      <c r="G163" s="99">
        <f t="shared" si="49"/>
        <v>0</v>
      </c>
      <c r="H163" s="99">
        <f t="shared" si="49"/>
        <v>0</v>
      </c>
      <c r="I163" s="99">
        <f t="shared" si="49"/>
        <v>0</v>
      </c>
      <c r="J163" s="99">
        <f t="shared" si="49"/>
        <v>0</v>
      </c>
      <c r="K163" s="99">
        <f t="shared" si="49"/>
        <v>0</v>
      </c>
      <c r="L163" s="99">
        <f t="shared" si="49"/>
        <v>0</v>
      </c>
      <c r="M163" s="99">
        <f t="shared" si="49"/>
        <v>0</v>
      </c>
      <c r="N163" s="100">
        <f t="shared" si="49"/>
        <v>0</v>
      </c>
      <c r="O163" s="17" t="b">
        <f t="shared" si="47"/>
        <v>1</v>
      </c>
    </row>
    <row r="164" spans="1:15" ht="18" customHeight="1" thickBot="1" x14ac:dyDescent="0.35">
      <c r="A164" s="190" t="s">
        <v>176</v>
      </c>
      <c r="B164" s="191"/>
      <c r="C164" s="191"/>
      <c r="D164" s="107"/>
      <c r="E164" s="107"/>
      <c r="F164" s="108"/>
      <c r="G164" s="94">
        <f t="shared" ref="G164:N164" si="50">G141</f>
        <v>0</v>
      </c>
      <c r="H164" s="101">
        <f t="shared" si="50"/>
        <v>0</v>
      </c>
      <c r="I164" s="101">
        <f t="shared" si="50"/>
        <v>0</v>
      </c>
      <c r="J164" s="101">
        <f t="shared" si="50"/>
        <v>0</v>
      </c>
      <c r="K164" s="101">
        <f t="shared" si="50"/>
        <v>0</v>
      </c>
      <c r="L164" s="101">
        <f t="shared" si="50"/>
        <v>0</v>
      </c>
      <c r="M164" s="101">
        <f t="shared" si="50"/>
        <v>0</v>
      </c>
      <c r="N164" s="102">
        <f t="shared" si="50"/>
        <v>0</v>
      </c>
      <c r="O164" s="17" t="b">
        <f t="shared" si="47"/>
        <v>1</v>
      </c>
    </row>
    <row r="165" spans="1:15" ht="14.5" thickBot="1" x14ac:dyDescent="0.35">
      <c r="A165" s="109" t="s">
        <v>177</v>
      </c>
      <c r="B165" s="110"/>
      <c r="C165" s="110"/>
      <c r="D165" s="110"/>
      <c r="E165" s="110"/>
      <c r="F165" s="111"/>
      <c r="G165" s="103">
        <f t="shared" ref="G165:N165" si="51">SUM(G162:G164)</f>
        <v>1444500</v>
      </c>
      <c r="H165" s="104">
        <f t="shared" si="51"/>
        <v>320666.66666666663</v>
      </c>
      <c r="I165" s="104">
        <f t="shared" si="51"/>
        <v>185466.66666666669</v>
      </c>
      <c r="J165" s="104">
        <f t="shared" si="51"/>
        <v>292466.66666666669</v>
      </c>
      <c r="K165" s="104">
        <f t="shared" si="51"/>
        <v>183466.66666666669</v>
      </c>
      <c r="L165" s="104">
        <f t="shared" si="51"/>
        <v>183466.66666666669</v>
      </c>
      <c r="M165" s="104">
        <f t="shared" si="51"/>
        <v>278966.66666666669</v>
      </c>
      <c r="N165" s="104">
        <f t="shared" si="51"/>
        <v>1444500</v>
      </c>
      <c r="O165" s="17" t="b">
        <f t="shared" si="47"/>
        <v>1</v>
      </c>
    </row>
    <row r="166" spans="1:15" x14ac:dyDescent="0.3">
      <c r="A166" s="190" t="s">
        <v>178</v>
      </c>
      <c r="B166" s="191"/>
      <c r="C166" s="191"/>
      <c r="D166" s="191"/>
      <c r="E166" s="191"/>
      <c r="F166" s="192"/>
      <c r="G166" s="99">
        <f t="shared" ref="G166:M167" si="52">G155</f>
        <v>1256000</v>
      </c>
      <c r="H166" s="99">
        <f t="shared" si="52"/>
        <v>246000</v>
      </c>
      <c r="I166" s="99">
        <f t="shared" si="52"/>
        <v>246000</v>
      </c>
      <c r="J166" s="99">
        <f t="shared" si="52"/>
        <v>191000</v>
      </c>
      <c r="K166" s="99">
        <f t="shared" si="52"/>
        <v>191000</v>
      </c>
      <c r="L166" s="99">
        <f t="shared" si="52"/>
        <v>191000</v>
      </c>
      <c r="M166" s="99">
        <f t="shared" si="52"/>
        <v>191000</v>
      </c>
      <c r="N166" s="100">
        <f>SUM(H166:M166)</f>
        <v>1256000</v>
      </c>
      <c r="O166" s="17" t="b">
        <f t="shared" si="47"/>
        <v>1</v>
      </c>
    </row>
    <row r="167" spans="1:15" ht="14.5" thickBot="1" x14ac:dyDescent="0.35">
      <c r="A167" s="106" t="s">
        <v>179</v>
      </c>
      <c r="B167" s="107"/>
      <c r="C167" s="107"/>
      <c r="D167" s="107"/>
      <c r="E167" s="107"/>
      <c r="F167" s="108"/>
      <c r="G167" s="99">
        <f t="shared" si="52"/>
        <v>210000</v>
      </c>
      <c r="H167" s="99">
        <f t="shared" si="52"/>
        <v>35000</v>
      </c>
      <c r="I167" s="99">
        <f t="shared" si="52"/>
        <v>35000</v>
      </c>
      <c r="J167" s="99">
        <f t="shared" si="52"/>
        <v>35000</v>
      </c>
      <c r="K167" s="99">
        <f t="shared" si="52"/>
        <v>35000</v>
      </c>
      <c r="L167" s="99">
        <f t="shared" si="52"/>
        <v>35000</v>
      </c>
      <c r="M167" s="99">
        <f t="shared" si="52"/>
        <v>35000</v>
      </c>
      <c r="N167" s="100">
        <f>SUM(H167:M167)</f>
        <v>210000</v>
      </c>
      <c r="O167" s="17" t="b">
        <f t="shared" si="47"/>
        <v>1</v>
      </c>
    </row>
    <row r="168" spans="1:15" ht="14.5" thickBot="1" x14ac:dyDescent="0.35">
      <c r="A168" s="109" t="s">
        <v>180</v>
      </c>
      <c r="B168" s="110"/>
      <c r="C168" s="110"/>
      <c r="D168" s="110"/>
      <c r="E168" s="110"/>
      <c r="F168" s="111"/>
      <c r="G168" s="103">
        <f t="shared" ref="G168:N168" si="53">SUM(G166:G167)</f>
        <v>1466000</v>
      </c>
      <c r="H168" s="104">
        <f t="shared" si="53"/>
        <v>281000</v>
      </c>
      <c r="I168" s="104">
        <f t="shared" si="53"/>
        <v>281000</v>
      </c>
      <c r="J168" s="104">
        <f t="shared" si="53"/>
        <v>226000</v>
      </c>
      <c r="K168" s="104">
        <f t="shared" si="53"/>
        <v>226000</v>
      </c>
      <c r="L168" s="104">
        <f t="shared" si="53"/>
        <v>226000</v>
      </c>
      <c r="M168" s="104">
        <f t="shared" si="53"/>
        <v>226000</v>
      </c>
      <c r="N168" s="104">
        <f t="shared" si="53"/>
        <v>1466000</v>
      </c>
      <c r="O168" s="17" t="b">
        <f t="shared" si="47"/>
        <v>1</v>
      </c>
    </row>
    <row r="169" spans="1:15" ht="13.75" customHeight="1" x14ac:dyDescent="0.3">
      <c r="A169" s="190" t="s">
        <v>181</v>
      </c>
      <c r="B169" s="191"/>
      <c r="C169" s="191"/>
      <c r="D169" s="191"/>
      <c r="E169" s="191"/>
      <c r="F169" s="192"/>
      <c r="G169" s="99">
        <f>SUM(G159,G162,G166)</f>
        <v>30902774.880000003</v>
      </c>
      <c r="H169" s="99">
        <f t="shared" ref="H169:M169" si="54">SUM(H166,H162,H159)</f>
        <v>1619874.6666666665</v>
      </c>
      <c r="I169" s="99">
        <f t="shared" si="54"/>
        <v>4614312.0946666673</v>
      </c>
      <c r="J169" s="99">
        <f t="shared" si="54"/>
        <v>7842936.0296666669</v>
      </c>
      <c r="K169" s="99">
        <f t="shared" si="54"/>
        <v>7333528.0296666669</v>
      </c>
      <c r="L169" s="99">
        <f t="shared" si="54"/>
        <v>4708896.0296666669</v>
      </c>
      <c r="M169" s="99">
        <f t="shared" si="54"/>
        <v>4783228.0296666669</v>
      </c>
      <c r="N169" s="100">
        <f>SUM(H169:M169)</f>
        <v>30902774.879999999</v>
      </c>
      <c r="O169" s="17" t="b">
        <f t="shared" si="47"/>
        <v>1</v>
      </c>
    </row>
    <row r="170" spans="1:15" x14ac:dyDescent="0.3">
      <c r="A170" s="193" t="s">
        <v>182</v>
      </c>
      <c r="B170" s="194"/>
      <c r="C170" s="194"/>
      <c r="D170" s="194"/>
      <c r="E170" s="194"/>
      <c r="F170" s="195"/>
      <c r="G170" s="92">
        <f>SUM(G160,G163,G167)</f>
        <v>2657570</v>
      </c>
      <c r="H170" s="112">
        <f t="shared" ref="H170:M170" si="55">SUM(H160,H163,H167)</f>
        <v>80600</v>
      </c>
      <c r="I170" s="112">
        <f t="shared" si="55"/>
        <v>734594</v>
      </c>
      <c r="J170" s="112">
        <f t="shared" si="55"/>
        <v>458394</v>
      </c>
      <c r="K170" s="112">
        <f t="shared" si="55"/>
        <v>472794</v>
      </c>
      <c r="L170" s="112">
        <f t="shared" si="55"/>
        <v>448394</v>
      </c>
      <c r="M170" s="112">
        <f t="shared" si="55"/>
        <v>462794</v>
      </c>
      <c r="N170" s="113">
        <f>SUM(H170:M170)</f>
        <v>2657570</v>
      </c>
      <c r="O170" s="17" t="b">
        <f t="shared" si="47"/>
        <v>1</v>
      </c>
    </row>
    <row r="171" spans="1:15" ht="14.5" thickBot="1" x14ac:dyDescent="0.35">
      <c r="A171" s="181" t="s">
        <v>183</v>
      </c>
      <c r="B171" s="182"/>
      <c r="C171" s="182"/>
      <c r="D171" s="182"/>
      <c r="E171" s="182"/>
      <c r="F171" s="183"/>
      <c r="G171" s="37">
        <f t="shared" ref="G171:N171" si="56">SUM(G169:G170)</f>
        <v>33560344.880000003</v>
      </c>
      <c r="H171" s="37">
        <f t="shared" si="56"/>
        <v>1700474.6666666665</v>
      </c>
      <c r="I171" s="37">
        <f t="shared" si="56"/>
        <v>5348906.0946666673</v>
      </c>
      <c r="J171" s="37">
        <f t="shared" si="56"/>
        <v>8301330.0296666669</v>
      </c>
      <c r="K171" s="37">
        <f t="shared" si="56"/>
        <v>7806322.0296666669</v>
      </c>
      <c r="L171" s="37">
        <f t="shared" si="56"/>
        <v>5157290.0296666669</v>
      </c>
      <c r="M171" s="37">
        <f t="shared" si="56"/>
        <v>5246022.0296666669</v>
      </c>
      <c r="N171" s="37">
        <f t="shared" si="56"/>
        <v>33560344.879999995</v>
      </c>
      <c r="O171" s="17" t="b">
        <f t="shared" si="47"/>
        <v>1</v>
      </c>
    </row>
    <row r="172" spans="1:15" ht="14.5" thickBot="1" x14ac:dyDescent="0.35"/>
    <row r="173" spans="1:15" x14ac:dyDescent="0.3">
      <c r="A173" s="114" t="s">
        <v>184</v>
      </c>
      <c r="B173" s="115">
        <f>G169-G168</f>
        <v>29436774.880000003</v>
      </c>
      <c r="C173" s="114" t="s">
        <v>439</v>
      </c>
      <c r="D173" s="148">
        <f>G169-G165</f>
        <v>29458274.880000003</v>
      </c>
      <c r="H173" s="151"/>
      <c r="I173" s="151"/>
      <c r="L173" s="15"/>
      <c r="M173" s="15"/>
    </row>
    <row r="174" spans="1:15" ht="14.5" x14ac:dyDescent="0.35">
      <c r="A174" s="116" t="s">
        <v>185</v>
      </c>
      <c r="B174" s="117">
        <f>G168</f>
        <v>1466000</v>
      </c>
      <c r="C174" s="116" t="s">
        <v>437</v>
      </c>
      <c r="D174" s="149">
        <f>G165</f>
        <v>1444500</v>
      </c>
      <c r="E174" s="118"/>
      <c r="F174" s="118"/>
      <c r="G174" s="119"/>
    </row>
    <row r="175" spans="1:15" ht="15" thickBot="1" x14ac:dyDescent="0.4">
      <c r="A175" s="120" t="s">
        <v>186</v>
      </c>
      <c r="B175" s="121">
        <f>B174/B173</f>
        <v>4.9801651368949144E-2</v>
      </c>
      <c r="C175" s="120" t="s">
        <v>438</v>
      </c>
      <c r="D175" s="150">
        <f>D174/D173</f>
        <v>4.903545797859022E-2</v>
      </c>
      <c r="E175" s="118"/>
      <c r="F175" s="118"/>
      <c r="G175" s="15"/>
    </row>
    <row r="176" spans="1:15" ht="14.5" x14ac:dyDescent="0.35">
      <c r="A176" s="118"/>
      <c r="B176" s="118"/>
      <c r="C176" s="118"/>
      <c r="D176" s="118"/>
      <c r="E176" s="118"/>
      <c r="F176" s="118"/>
    </row>
    <row r="177" spans="1:6" ht="14.5" x14ac:dyDescent="0.35">
      <c r="A177" s="118"/>
      <c r="B177" s="118"/>
      <c r="C177" s="118"/>
      <c r="D177" s="118"/>
      <c r="E177" s="118"/>
      <c r="F177" s="118"/>
    </row>
    <row r="178" spans="1:6" ht="14.5" x14ac:dyDescent="0.35">
      <c r="A178" s="118"/>
      <c r="B178" s="118"/>
      <c r="C178" s="118"/>
      <c r="D178" s="118"/>
      <c r="E178" s="118"/>
      <c r="F178" s="118"/>
    </row>
    <row r="179" spans="1:6" ht="14.5" x14ac:dyDescent="0.35">
      <c r="A179" s="118"/>
      <c r="B179" s="118"/>
      <c r="C179" s="118"/>
      <c r="D179" s="118"/>
      <c r="E179" s="118"/>
      <c r="F179" s="118"/>
    </row>
    <row r="180" spans="1:6" x14ac:dyDescent="0.3">
      <c r="A180" s="122"/>
      <c r="B180" s="15"/>
      <c r="C180" s="123"/>
    </row>
    <row r="181" spans="1:6" x14ac:dyDescent="0.3">
      <c r="B181" s="124"/>
      <c r="C181" s="125"/>
    </row>
    <row r="182" spans="1:6" ht="14.5" x14ac:dyDescent="0.35">
      <c r="C182" s="118"/>
      <c r="D182" s="118"/>
    </row>
    <row r="183" spans="1:6" ht="14.5" x14ac:dyDescent="0.35">
      <c r="C183" s="118"/>
      <c r="D183" s="118"/>
    </row>
    <row r="184" spans="1:6" ht="14.5" x14ac:dyDescent="0.35">
      <c r="C184" s="118"/>
      <c r="D184" s="118"/>
    </row>
    <row r="185" spans="1:6" ht="14.5" x14ac:dyDescent="0.35">
      <c r="C185" s="118"/>
      <c r="D185" s="118"/>
    </row>
    <row r="186" spans="1:6" ht="14.5" x14ac:dyDescent="0.35">
      <c r="C186" s="118"/>
      <c r="D186" s="118"/>
    </row>
    <row r="187" spans="1:6" ht="14.5" x14ac:dyDescent="0.35">
      <c r="C187" s="118"/>
      <c r="D187" s="118"/>
    </row>
    <row r="190" spans="1:6" x14ac:dyDescent="0.3">
      <c r="F190" s="15"/>
    </row>
  </sheetData>
  <autoFilter ref="A3:N129" xr:uid="{0F5EC31F-005E-45C1-A5FA-77CA2BFD0174}"/>
  <mergeCells count="77">
    <mergeCell ref="A4:A25"/>
    <mergeCell ref="C4:C12"/>
    <mergeCell ref="B41:B57"/>
    <mergeCell ref="C41:C44"/>
    <mergeCell ref="C74:C79"/>
    <mergeCell ref="C68:C70"/>
    <mergeCell ref="C71:C73"/>
    <mergeCell ref="C61:C67"/>
    <mergeCell ref="A60:F60"/>
    <mergeCell ref="A41:A57"/>
    <mergeCell ref="C13:C17"/>
    <mergeCell ref="C21:C22"/>
    <mergeCell ref="C18:C20"/>
    <mergeCell ref="C23:C25"/>
    <mergeCell ref="B4:B25"/>
    <mergeCell ref="A59:F59"/>
    <mergeCell ref="A90:A126"/>
    <mergeCell ref="C114:C121"/>
    <mergeCell ref="A137:C137"/>
    <mergeCell ref="A153:C153"/>
    <mergeCell ref="A128:F128"/>
    <mergeCell ref="A129:F129"/>
    <mergeCell ref="A152:C152"/>
    <mergeCell ref="A133:C133"/>
    <mergeCell ref="A135:C135"/>
    <mergeCell ref="A131:N131"/>
    <mergeCell ref="A132:C132"/>
    <mergeCell ref="A136:C136"/>
    <mergeCell ref="A134:C134"/>
    <mergeCell ref="A147:C147"/>
    <mergeCell ref="A156:F156"/>
    <mergeCell ref="A138:F138"/>
    <mergeCell ref="A144:N144"/>
    <mergeCell ref="A148:C148"/>
    <mergeCell ref="A139:F139"/>
    <mergeCell ref="A142:F142"/>
    <mergeCell ref="A171:F171"/>
    <mergeCell ref="A157:F157"/>
    <mergeCell ref="A145:C145"/>
    <mergeCell ref="A159:F159"/>
    <mergeCell ref="A160:F160"/>
    <mergeCell ref="A146:C146"/>
    <mergeCell ref="A149:C149"/>
    <mergeCell ref="A150:C150"/>
    <mergeCell ref="A151:C151"/>
    <mergeCell ref="A162:F162"/>
    <mergeCell ref="A166:F166"/>
    <mergeCell ref="A164:C164"/>
    <mergeCell ref="A170:F170"/>
    <mergeCell ref="A161:F161"/>
    <mergeCell ref="A169:F169"/>
    <mergeCell ref="A155:F155"/>
    <mergeCell ref="C45:C52"/>
    <mergeCell ref="C53:C54"/>
    <mergeCell ref="C55:C57"/>
    <mergeCell ref="A58:F58"/>
    <mergeCell ref="B29:B33"/>
    <mergeCell ref="C29:C32"/>
    <mergeCell ref="C36:C37"/>
    <mergeCell ref="B34:B37"/>
    <mergeCell ref="A29:A37"/>
    <mergeCell ref="A61:A86"/>
    <mergeCell ref="B61:B73"/>
    <mergeCell ref="B74:B83"/>
    <mergeCell ref="B84:B86"/>
    <mergeCell ref="A154:C154"/>
    <mergeCell ref="C122:C125"/>
    <mergeCell ref="C80:C83"/>
    <mergeCell ref="C108:C110"/>
    <mergeCell ref="C111:C113"/>
    <mergeCell ref="C98:C100"/>
    <mergeCell ref="B114:B126"/>
    <mergeCell ref="C84:C86"/>
    <mergeCell ref="B90:B113"/>
    <mergeCell ref="C101:C104"/>
    <mergeCell ref="C105:C107"/>
    <mergeCell ref="C90:C97"/>
  </mergeCells>
  <phoneticPr fontId="1" type="noConversion"/>
  <pageMargins left="0.7" right="0.7" top="0.75" bottom="0.75" header="0.3" footer="0.3"/>
  <pageSetup paperSize="9" orientation="portrait" r:id="rId1"/>
  <headerFooter>
    <oddHeader xml:space="preserve">&amp;CDetailed budget breakdown
</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E68E114A-15C9-4772-9021-E4BEFF6E2676}">
          <x14:formula1>
            <xm:f>'Cost categories'!$B$3:$B$13</xm:f>
          </x14:formula1>
          <xm:sqref>E4:E5 E132:E137 E61:E86 E13:E25 E29:E37 E145:E154 E90:E126 E41:E57</xm:sqref>
        </x14:dataValidation>
        <x14:dataValidation type="list" allowBlank="1" showInputMessage="1" showErrorMessage="1" xr:uid="{F9CB3CC0-5E9E-4D97-AF36-1DD08C3D7081}">
          <x14:formula1>
            <xm:f>'Cost categories'!$B$16:$B$19</xm:f>
          </x14:formula1>
          <xm:sqref>D143 D130 D61:D127 D4:D57</xm:sqref>
        </x14:dataValidation>
        <x14:dataValidation type="list" allowBlank="1" showInputMessage="1" showErrorMessage="1" xr:uid="{662EFDE8-07D3-45B7-9535-BB25CBD5FF67}">
          <x14:formula1>
            <xm:f>'Cost categories'!$B$16:$B$18</xm:f>
          </x14:formula1>
          <xm:sqref>D132:D137 D145:D154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46"/>
  <sheetViews>
    <sheetView zoomScale="80" zoomScaleNormal="80" workbookViewId="0">
      <pane ySplit="1" topLeftCell="A98" activePane="bottomLeft" state="frozen"/>
      <selection pane="bottomLeft" activeCell="B105" sqref="B105"/>
    </sheetView>
  </sheetViews>
  <sheetFormatPr defaultColWidth="8.54296875" defaultRowHeight="12.5" x14ac:dyDescent="0.35"/>
  <cols>
    <col min="1" max="1" width="7.453125" style="147" customWidth="1"/>
    <col min="2" max="2" width="86.54296875" style="11" customWidth="1"/>
    <col min="3" max="3" width="12.1796875" style="11" customWidth="1"/>
    <col min="4" max="4" width="8.1796875" style="65" customWidth="1"/>
    <col min="5" max="5" width="14.453125" style="66" bestFit="1" customWidth="1"/>
    <col min="6" max="6" width="18.453125" style="66" customWidth="1"/>
    <col min="7" max="7" width="13.453125" style="66" customWidth="1"/>
    <col min="8" max="9" width="15" style="66" bestFit="1" customWidth="1"/>
    <col min="10" max="10" width="14.453125" style="66" bestFit="1" customWidth="1"/>
    <col min="11" max="11" width="13.26953125" style="66" customWidth="1"/>
    <col min="12" max="12" width="13.7265625" style="66" customWidth="1"/>
    <col min="13" max="13" width="12.453125" style="64" bestFit="1" customWidth="1"/>
    <col min="14" max="16384" width="8.54296875" style="64"/>
  </cols>
  <sheetData>
    <row r="1" spans="1:13" ht="13" x14ac:dyDescent="0.35">
      <c r="A1" s="223" t="s">
        <v>187</v>
      </c>
      <c r="B1" s="224"/>
      <c r="C1" s="56" t="s">
        <v>188</v>
      </c>
      <c r="D1" s="57" t="s">
        <v>189</v>
      </c>
      <c r="E1" s="58" t="s">
        <v>190</v>
      </c>
      <c r="F1" s="58" t="s">
        <v>191</v>
      </c>
      <c r="G1" s="58" t="s">
        <v>192</v>
      </c>
      <c r="H1" s="58" t="s">
        <v>193</v>
      </c>
      <c r="I1" s="58" t="s">
        <v>194</v>
      </c>
      <c r="J1" s="58" t="s">
        <v>195</v>
      </c>
      <c r="K1" s="58" t="s">
        <v>196</v>
      </c>
      <c r="L1" s="58" t="s">
        <v>197</v>
      </c>
    </row>
    <row r="2" spans="1:13" ht="62.5" x14ac:dyDescent="0.35">
      <c r="A2" s="59" t="s">
        <v>19</v>
      </c>
      <c r="B2" s="5" t="s">
        <v>198</v>
      </c>
      <c r="C2" s="5" t="s">
        <v>199</v>
      </c>
      <c r="D2" s="60">
        <v>1</v>
      </c>
      <c r="E2" s="6">
        <v>3000</v>
      </c>
      <c r="F2" s="6">
        <v>3000</v>
      </c>
      <c r="G2" s="61">
        <v>3000</v>
      </c>
      <c r="H2" s="62"/>
      <c r="I2" s="62"/>
      <c r="J2" s="62"/>
      <c r="K2" s="62"/>
      <c r="L2" s="62"/>
      <c r="M2" s="66"/>
    </row>
    <row r="3" spans="1:13" ht="136.5" customHeight="1" x14ac:dyDescent="0.35">
      <c r="A3" s="63" t="s">
        <v>21</v>
      </c>
      <c r="B3" s="5" t="s">
        <v>200</v>
      </c>
      <c r="C3" s="5" t="s">
        <v>201</v>
      </c>
      <c r="D3" s="8">
        <v>80</v>
      </c>
      <c r="E3" s="6">
        <v>950</v>
      </c>
      <c r="F3" s="6">
        <f t="shared" ref="F3:F23" si="0">D3*E3</f>
        <v>76000</v>
      </c>
      <c r="G3" s="6">
        <f>F3</f>
        <v>76000</v>
      </c>
      <c r="H3" s="6"/>
      <c r="I3" s="6"/>
      <c r="J3" s="6"/>
      <c r="K3" s="6"/>
      <c r="L3" s="6"/>
    </row>
    <row r="4" spans="1:13" ht="37.5" x14ac:dyDescent="0.35">
      <c r="A4" s="59" t="s">
        <v>23</v>
      </c>
      <c r="B4" s="5" t="s">
        <v>202</v>
      </c>
      <c r="C4" s="5" t="s">
        <v>201</v>
      </c>
      <c r="D4" s="8">
        <v>27</v>
      </c>
      <c r="E4" s="6">
        <f>62+150+200</f>
        <v>412</v>
      </c>
      <c r="F4" s="6">
        <f t="shared" si="0"/>
        <v>11124</v>
      </c>
      <c r="G4" s="6">
        <f>F4</f>
        <v>11124</v>
      </c>
      <c r="H4" s="6"/>
      <c r="I4" s="6"/>
      <c r="J4" s="6"/>
      <c r="K4" s="6"/>
      <c r="L4" s="6"/>
    </row>
    <row r="5" spans="1:13" ht="46.5" customHeight="1" x14ac:dyDescent="0.35">
      <c r="A5" s="63" t="s">
        <v>25</v>
      </c>
      <c r="B5" s="5" t="s">
        <v>458</v>
      </c>
      <c r="C5" s="5" t="s">
        <v>199</v>
      </c>
      <c r="D5" s="8">
        <v>4</v>
      </c>
      <c r="E5" s="6">
        <v>3000</v>
      </c>
      <c r="F5" s="6">
        <f t="shared" si="0"/>
        <v>12000</v>
      </c>
      <c r="G5" s="6">
        <f>F5</f>
        <v>12000</v>
      </c>
      <c r="H5" s="6"/>
      <c r="I5" s="6"/>
      <c r="J5" s="6"/>
      <c r="K5" s="6"/>
      <c r="L5" s="6"/>
    </row>
    <row r="6" spans="1:13" ht="87.65" customHeight="1" x14ac:dyDescent="0.35">
      <c r="A6" s="59" t="s">
        <v>27</v>
      </c>
      <c r="B6" s="5" t="s">
        <v>434</v>
      </c>
      <c r="C6" s="5" t="s">
        <v>203</v>
      </c>
      <c r="D6" s="8">
        <v>6</v>
      </c>
      <c r="E6" s="6">
        <v>160000</v>
      </c>
      <c r="F6" s="6">
        <f>E6*D6</f>
        <v>960000</v>
      </c>
      <c r="G6" s="6">
        <f>F6/6</f>
        <v>160000</v>
      </c>
      <c r="H6" s="6">
        <f>F6/6</f>
        <v>160000</v>
      </c>
      <c r="I6" s="6">
        <f>F6/6</f>
        <v>160000</v>
      </c>
      <c r="J6" s="6">
        <f>F6/6</f>
        <v>160000</v>
      </c>
      <c r="K6" s="6">
        <f>F6/6</f>
        <v>160000</v>
      </c>
      <c r="L6" s="6">
        <f>F6/6</f>
        <v>160000</v>
      </c>
    </row>
    <row r="7" spans="1:13" ht="89.15" customHeight="1" x14ac:dyDescent="0.35">
      <c r="A7" s="63" t="s">
        <v>28</v>
      </c>
      <c r="B7" s="5" t="s">
        <v>435</v>
      </c>
      <c r="C7" s="5" t="s">
        <v>203</v>
      </c>
      <c r="D7" s="8">
        <v>6</v>
      </c>
      <c r="E7" s="6">
        <v>80000</v>
      </c>
      <c r="F7" s="6">
        <f>E7*D7</f>
        <v>480000</v>
      </c>
      <c r="G7" s="6">
        <f>F7/6</f>
        <v>80000</v>
      </c>
      <c r="H7" s="6">
        <f>F7/6</f>
        <v>80000</v>
      </c>
      <c r="I7" s="6">
        <f>F7/6</f>
        <v>80000</v>
      </c>
      <c r="J7" s="6">
        <f>F7/6</f>
        <v>80000</v>
      </c>
      <c r="K7" s="6">
        <f>F7/6</f>
        <v>80000</v>
      </c>
      <c r="L7" s="6">
        <f>F7/6</f>
        <v>80000</v>
      </c>
    </row>
    <row r="8" spans="1:13" ht="32" customHeight="1" x14ac:dyDescent="0.35">
      <c r="A8" s="145" t="s">
        <v>461</v>
      </c>
      <c r="B8" s="5" t="s">
        <v>462</v>
      </c>
      <c r="C8" s="5" t="s">
        <v>203</v>
      </c>
      <c r="D8" s="8">
        <v>6</v>
      </c>
      <c r="E8" s="6">
        <v>27500</v>
      </c>
      <c r="F8" s="6">
        <f t="shared" ref="F8:F9" si="1">D8*E8</f>
        <v>165000</v>
      </c>
      <c r="G8" s="6">
        <f t="shared" ref="G8:L8" si="2">$F$8/6</f>
        <v>27500</v>
      </c>
      <c r="H8" s="6">
        <f t="shared" si="2"/>
        <v>27500</v>
      </c>
      <c r="I8" s="6">
        <f t="shared" si="2"/>
        <v>27500</v>
      </c>
      <c r="J8" s="6">
        <f t="shared" si="2"/>
        <v>27500</v>
      </c>
      <c r="K8" s="6">
        <f t="shared" si="2"/>
        <v>27500</v>
      </c>
      <c r="L8" s="6">
        <f t="shared" si="2"/>
        <v>27500</v>
      </c>
    </row>
    <row r="9" spans="1:13" ht="41" customHeight="1" x14ac:dyDescent="0.35">
      <c r="A9" s="145" t="s">
        <v>463</v>
      </c>
      <c r="B9" s="5" t="s">
        <v>464</v>
      </c>
      <c r="C9" s="5" t="s">
        <v>203</v>
      </c>
      <c r="D9" s="8">
        <v>6</v>
      </c>
      <c r="E9" s="6">
        <v>32500</v>
      </c>
      <c r="F9" s="6">
        <f t="shared" si="1"/>
        <v>195000</v>
      </c>
      <c r="G9" s="6">
        <f t="shared" ref="G9:L9" si="3">$F$9/6</f>
        <v>32500</v>
      </c>
      <c r="H9" s="6">
        <f t="shared" si="3"/>
        <v>32500</v>
      </c>
      <c r="I9" s="6">
        <f t="shared" si="3"/>
        <v>32500</v>
      </c>
      <c r="J9" s="6">
        <f t="shared" si="3"/>
        <v>32500</v>
      </c>
      <c r="K9" s="6">
        <f t="shared" si="3"/>
        <v>32500</v>
      </c>
      <c r="L9" s="6">
        <f t="shared" si="3"/>
        <v>32500</v>
      </c>
    </row>
    <row r="10" spans="1:13" ht="60" customHeight="1" x14ac:dyDescent="0.35">
      <c r="A10" s="59" t="s">
        <v>29</v>
      </c>
      <c r="B10" s="5" t="s">
        <v>204</v>
      </c>
      <c r="C10" s="5" t="s">
        <v>205</v>
      </c>
      <c r="D10" s="8">
        <v>1</v>
      </c>
      <c r="E10" s="6">
        <v>3000</v>
      </c>
      <c r="F10" s="6">
        <f t="shared" si="0"/>
        <v>3000</v>
      </c>
      <c r="G10" s="6">
        <f>F10</f>
        <v>3000</v>
      </c>
      <c r="H10" s="6"/>
      <c r="I10" s="6"/>
      <c r="J10" s="6"/>
      <c r="K10" s="6"/>
      <c r="L10" s="6"/>
    </row>
    <row r="11" spans="1:13" ht="108" customHeight="1" x14ac:dyDescent="0.35">
      <c r="A11" s="63" t="s">
        <v>30</v>
      </c>
      <c r="B11" s="5" t="s">
        <v>406</v>
      </c>
      <c r="C11" s="5" t="s">
        <v>201</v>
      </c>
      <c r="D11" s="8">
        <v>10</v>
      </c>
      <c r="E11" s="6">
        <v>400</v>
      </c>
      <c r="F11" s="6">
        <f t="shared" si="0"/>
        <v>4000</v>
      </c>
      <c r="G11" s="6">
        <f>F11</f>
        <v>4000</v>
      </c>
      <c r="H11" s="6"/>
      <c r="I11" s="6"/>
      <c r="J11" s="6"/>
      <c r="K11" s="6"/>
      <c r="L11" s="6"/>
    </row>
    <row r="12" spans="1:13" ht="40" customHeight="1" x14ac:dyDescent="0.35">
      <c r="A12" s="145" t="s">
        <v>391</v>
      </c>
      <c r="B12" s="5" t="s">
        <v>408</v>
      </c>
      <c r="C12" s="5" t="s">
        <v>201</v>
      </c>
      <c r="D12" s="8">
        <v>96</v>
      </c>
      <c r="E12" s="6">
        <v>100</v>
      </c>
      <c r="F12" s="6">
        <f t="shared" si="0"/>
        <v>9600</v>
      </c>
      <c r="G12" s="6">
        <f>F12/6</f>
        <v>1600</v>
      </c>
      <c r="H12" s="6">
        <f>F12/6</f>
        <v>1600</v>
      </c>
      <c r="I12" s="6">
        <f>F12/6</f>
        <v>1600</v>
      </c>
      <c r="J12" s="6">
        <f>F12/6</f>
        <v>1600</v>
      </c>
      <c r="K12" s="6">
        <f>F12/6</f>
        <v>1600</v>
      </c>
      <c r="L12" s="6">
        <f>F12/6</f>
        <v>1600</v>
      </c>
    </row>
    <row r="13" spans="1:13" s="139" customFormat="1" ht="62.5" x14ac:dyDescent="0.35">
      <c r="A13" s="59" t="s">
        <v>31</v>
      </c>
      <c r="B13" s="138" t="s">
        <v>407</v>
      </c>
      <c r="C13" s="138" t="s">
        <v>201</v>
      </c>
      <c r="D13" s="60">
        <v>48</v>
      </c>
      <c r="E13" s="61">
        <f>(2*62)+150+200</f>
        <v>474</v>
      </c>
      <c r="F13" s="61">
        <f t="shared" si="0"/>
        <v>22752</v>
      </c>
      <c r="G13" s="61">
        <f>F13/6</f>
        <v>3792</v>
      </c>
      <c r="H13" s="61">
        <f>F13/6</f>
        <v>3792</v>
      </c>
      <c r="I13" s="61">
        <f>F13/6</f>
        <v>3792</v>
      </c>
      <c r="J13" s="61">
        <f>F13/6</f>
        <v>3792</v>
      </c>
      <c r="K13" s="61">
        <f>F13/6</f>
        <v>3792</v>
      </c>
      <c r="L13" s="61">
        <f>F13/6</f>
        <v>3792</v>
      </c>
    </row>
    <row r="14" spans="1:13" s="139" customFormat="1" ht="66" customHeight="1" x14ac:dyDescent="0.35">
      <c r="A14" s="63" t="s">
        <v>32</v>
      </c>
      <c r="B14" s="138" t="s">
        <v>398</v>
      </c>
      <c r="C14" s="138" t="s">
        <v>201</v>
      </c>
      <c r="D14" s="60">
        <v>48</v>
      </c>
      <c r="E14" s="61">
        <f>(3*62)+150+200</f>
        <v>536</v>
      </c>
      <c r="F14" s="61">
        <f>D14*E14</f>
        <v>25728</v>
      </c>
      <c r="G14" s="61">
        <f>F14/6</f>
        <v>4288</v>
      </c>
      <c r="H14" s="61">
        <f>F14/6</f>
        <v>4288</v>
      </c>
      <c r="I14" s="61">
        <f>F14/6</f>
        <v>4288</v>
      </c>
      <c r="J14" s="61">
        <f>F14/6</f>
        <v>4288</v>
      </c>
      <c r="K14" s="61">
        <f>F14/6</f>
        <v>4288</v>
      </c>
      <c r="L14" s="61">
        <f>F14/6</f>
        <v>4288</v>
      </c>
    </row>
    <row r="15" spans="1:13" ht="69" customHeight="1" x14ac:dyDescent="0.35">
      <c r="A15" s="59" t="s">
        <v>33</v>
      </c>
      <c r="B15" s="5" t="s">
        <v>390</v>
      </c>
      <c r="C15" s="5" t="s">
        <v>201</v>
      </c>
      <c r="D15" s="8">
        <v>24</v>
      </c>
      <c r="E15" s="6">
        <v>1500</v>
      </c>
      <c r="F15" s="6">
        <f t="shared" si="0"/>
        <v>36000</v>
      </c>
      <c r="G15" s="6">
        <f>F15/6</f>
        <v>6000</v>
      </c>
      <c r="H15" s="6">
        <f>F15/6</f>
        <v>6000</v>
      </c>
      <c r="I15" s="6">
        <f>F15/6</f>
        <v>6000</v>
      </c>
      <c r="J15" s="6">
        <f>F15/6</f>
        <v>6000</v>
      </c>
      <c r="K15" s="6">
        <f>F15/6</f>
        <v>6000</v>
      </c>
      <c r="L15" s="6">
        <f>F15/6</f>
        <v>6000</v>
      </c>
    </row>
    <row r="16" spans="1:13" ht="56.15" customHeight="1" x14ac:dyDescent="0.35">
      <c r="A16" s="63" t="s">
        <v>34</v>
      </c>
      <c r="B16" s="5" t="s">
        <v>366</v>
      </c>
      <c r="C16" s="5" t="s">
        <v>201</v>
      </c>
      <c r="D16" s="8">
        <v>10</v>
      </c>
      <c r="E16" s="6">
        <v>400</v>
      </c>
      <c r="F16" s="6">
        <f t="shared" si="0"/>
        <v>4000</v>
      </c>
      <c r="G16" s="6">
        <v>4000</v>
      </c>
      <c r="H16" s="6"/>
      <c r="I16" s="6"/>
      <c r="J16" s="6"/>
      <c r="K16" s="6"/>
      <c r="L16" s="6"/>
    </row>
    <row r="17" spans="1:12" ht="56.15" customHeight="1" x14ac:dyDescent="0.35">
      <c r="A17" s="59" t="s">
        <v>36</v>
      </c>
      <c r="B17" s="5" t="s">
        <v>403</v>
      </c>
      <c r="C17" s="5" t="s">
        <v>205</v>
      </c>
      <c r="D17" s="8">
        <v>4</v>
      </c>
      <c r="E17" s="6">
        <v>1500</v>
      </c>
      <c r="F17" s="6">
        <f t="shared" si="0"/>
        <v>6000</v>
      </c>
      <c r="G17" s="6">
        <f>F17/1</f>
        <v>6000</v>
      </c>
      <c r="H17" s="6"/>
      <c r="I17" s="6"/>
      <c r="J17" s="6"/>
      <c r="K17" s="6"/>
      <c r="L17" s="6"/>
    </row>
    <row r="18" spans="1:12" ht="50" x14ac:dyDescent="0.35">
      <c r="A18" s="63" t="s">
        <v>37</v>
      </c>
      <c r="B18" s="5" t="s">
        <v>395</v>
      </c>
      <c r="C18" s="5" t="s">
        <v>201</v>
      </c>
      <c r="D18" s="8">
        <v>5</v>
      </c>
      <c r="E18" s="6">
        <f>(2*62)+150+200</f>
        <v>474</v>
      </c>
      <c r="F18" s="6">
        <f t="shared" si="0"/>
        <v>2370</v>
      </c>
      <c r="G18" s="6">
        <f>F18</f>
        <v>2370</v>
      </c>
      <c r="H18" s="6"/>
      <c r="I18" s="6"/>
      <c r="J18" s="6"/>
      <c r="K18" s="6"/>
      <c r="L18" s="6"/>
    </row>
    <row r="19" spans="1:12" ht="44.15" customHeight="1" x14ac:dyDescent="0.35">
      <c r="A19" s="59" t="s">
        <v>38</v>
      </c>
      <c r="B19" s="5" t="s">
        <v>206</v>
      </c>
      <c r="C19" s="5" t="s">
        <v>201</v>
      </c>
      <c r="D19" s="8">
        <v>180</v>
      </c>
      <c r="E19" s="6">
        <v>400</v>
      </c>
      <c r="F19" s="6">
        <f t="shared" si="0"/>
        <v>72000</v>
      </c>
      <c r="G19" s="6">
        <f>F19/1</f>
        <v>72000</v>
      </c>
      <c r="H19" s="6"/>
      <c r="I19" s="6"/>
      <c r="J19" s="6"/>
      <c r="K19" s="6"/>
      <c r="L19" s="6"/>
    </row>
    <row r="20" spans="1:12" ht="40" customHeight="1" x14ac:dyDescent="0.35">
      <c r="A20" s="63" t="s">
        <v>39</v>
      </c>
      <c r="B20" s="5" t="s">
        <v>452</v>
      </c>
      <c r="C20" s="5" t="s">
        <v>201</v>
      </c>
      <c r="D20" s="8">
        <v>90</v>
      </c>
      <c r="E20" s="6">
        <v>400</v>
      </c>
      <c r="F20" s="6">
        <f t="shared" si="0"/>
        <v>36000</v>
      </c>
      <c r="G20" s="6">
        <f>F20/1</f>
        <v>36000</v>
      </c>
      <c r="H20" s="6"/>
      <c r="I20" s="6"/>
      <c r="J20" s="6"/>
      <c r="K20" s="6"/>
      <c r="L20" s="6"/>
    </row>
    <row r="21" spans="1:12" ht="48.75" customHeight="1" x14ac:dyDescent="0.35">
      <c r="A21" s="59" t="s">
        <v>40</v>
      </c>
      <c r="B21" s="5" t="s">
        <v>369</v>
      </c>
      <c r="C21" s="5" t="s">
        <v>201</v>
      </c>
      <c r="D21" s="8">
        <v>15</v>
      </c>
      <c r="E21" s="6">
        <v>400</v>
      </c>
      <c r="F21" s="6">
        <f t="shared" si="0"/>
        <v>6000</v>
      </c>
      <c r="G21" s="6"/>
      <c r="H21" s="6">
        <f>F21/1</f>
        <v>6000</v>
      </c>
      <c r="I21" s="6"/>
      <c r="J21" s="6"/>
      <c r="K21" s="6"/>
      <c r="L21" s="6"/>
    </row>
    <row r="22" spans="1:12" ht="40.5" customHeight="1" x14ac:dyDescent="0.35">
      <c r="A22" s="63" t="s">
        <v>41</v>
      </c>
      <c r="B22" s="5" t="s">
        <v>453</v>
      </c>
      <c r="C22" s="5" t="s">
        <v>207</v>
      </c>
      <c r="D22" s="8">
        <v>8</v>
      </c>
      <c r="E22" s="6">
        <v>3000</v>
      </c>
      <c r="F22" s="6">
        <f>D22*E22</f>
        <v>24000</v>
      </c>
      <c r="G22" s="6"/>
      <c r="H22" s="6">
        <f>F22/2</f>
        <v>12000</v>
      </c>
      <c r="I22" s="6"/>
      <c r="J22" s="6">
        <f>F22/2</f>
        <v>12000</v>
      </c>
      <c r="K22" s="6"/>
      <c r="L22" s="6"/>
    </row>
    <row r="23" spans="1:12" ht="55.5" customHeight="1" x14ac:dyDescent="0.35">
      <c r="A23" s="59" t="s">
        <v>42</v>
      </c>
      <c r="B23" s="5" t="s">
        <v>396</v>
      </c>
      <c r="C23" s="5" t="s">
        <v>201</v>
      </c>
      <c r="D23" s="60">
        <v>12</v>
      </c>
      <c r="E23" s="61">
        <f>(62)+150+200</f>
        <v>412</v>
      </c>
      <c r="F23" s="61">
        <f t="shared" si="0"/>
        <v>4944</v>
      </c>
      <c r="G23" s="6"/>
      <c r="H23" s="6">
        <f>F23/1</f>
        <v>4944</v>
      </c>
      <c r="I23" s="6"/>
      <c r="J23" s="6"/>
      <c r="K23" s="6"/>
      <c r="L23" s="6"/>
    </row>
    <row r="24" spans="1:12" ht="66.650000000000006" customHeight="1" x14ac:dyDescent="0.35">
      <c r="A24" s="59" t="s">
        <v>350</v>
      </c>
      <c r="B24" s="5" t="s">
        <v>397</v>
      </c>
      <c r="C24" s="5" t="s">
        <v>201</v>
      </c>
      <c r="D24" s="60">
        <v>96</v>
      </c>
      <c r="E24" s="61">
        <f>(3*62)+150+200</f>
        <v>536</v>
      </c>
      <c r="F24" s="61">
        <f>D24*E24</f>
        <v>51456</v>
      </c>
      <c r="G24" s="6">
        <f t="shared" ref="G24:G32" si="4">F24/6</f>
        <v>8576</v>
      </c>
      <c r="H24" s="6">
        <f t="shared" ref="H24:H32" si="5">F24/6</f>
        <v>8576</v>
      </c>
      <c r="I24" s="6">
        <f t="shared" ref="I24:I32" si="6">F24/6</f>
        <v>8576</v>
      </c>
      <c r="J24" s="6">
        <f t="shared" ref="J24:J32" si="7">F24/6</f>
        <v>8576</v>
      </c>
      <c r="K24" s="6">
        <f t="shared" ref="K24:K32" si="8">F24/6</f>
        <v>8576</v>
      </c>
      <c r="L24" s="6">
        <f t="shared" ref="L24:L32" si="9">F24/6</f>
        <v>8576</v>
      </c>
    </row>
    <row r="25" spans="1:12" ht="46.4" customHeight="1" x14ac:dyDescent="0.35">
      <c r="A25" s="59" t="s">
        <v>351</v>
      </c>
      <c r="B25" s="5" t="s">
        <v>441</v>
      </c>
      <c r="C25" s="5" t="s">
        <v>201</v>
      </c>
      <c r="D25" s="8">
        <v>48</v>
      </c>
      <c r="E25" s="6">
        <v>1500</v>
      </c>
      <c r="F25" s="6">
        <f t="shared" ref="F25:F27" si="10">D25*E25</f>
        <v>72000</v>
      </c>
      <c r="G25" s="6">
        <f t="shared" si="4"/>
        <v>12000</v>
      </c>
      <c r="H25" s="6">
        <f t="shared" si="5"/>
        <v>12000</v>
      </c>
      <c r="I25" s="6">
        <f t="shared" si="6"/>
        <v>12000</v>
      </c>
      <c r="J25" s="6">
        <f t="shared" si="7"/>
        <v>12000</v>
      </c>
      <c r="K25" s="6">
        <f t="shared" si="8"/>
        <v>12000</v>
      </c>
      <c r="L25" s="6">
        <f t="shared" si="9"/>
        <v>12000</v>
      </c>
    </row>
    <row r="26" spans="1:12" ht="57" customHeight="1" x14ac:dyDescent="0.35">
      <c r="A26" s="59" t="s">
        <v>410</v>
      </c>
      <c r="B26" s="5" t="s">
        <v>442</v>
      </c>
      <c r="C26" s="5" t="s">
        <v>201</v>
      </c>
      <c r="D26" s="8">
        <v>96</v>
      </c>
      <c r="E26" s="6">
        <v>100</v>
      </c>
      <c r="F26" s="6">
        <f t="shared" si="10"/>
        <v>9600</v>
      </c>
      <c r="G26" s="6">
        <f>F26/6</f>
        <v>1600</v>
      </c>
      <c r="H26" s="6">
        <f>F26/6</f>
        <v>1600</v>
      </c>
      <c r="I26" s="6">
        <f>F26/6</f>
        <v>1600</v>
      </c>
      <c r="J26" s="6">
        <f>F26/6</f>
        <v>1600</v>
      </c>
      <c r="K26" s="6">
        <f>F26/6</f>
        <v>1600</v>
      </c>
      <c r="L26" s="6">
        <f>F26/6</f>
        <v>1600</v>
      </c>
    </row>
    <row r="27" spans="1:12" ht="72.650000000000006" customHeight="1" x14ac:dyDescent="0.35">
      <c r="A27" s="59" t="s">
        <v>352</v>
      </c>
      <c r="B27" s="5" t="s">
        <v>370</v>
      </c>
      <c r="C27" s="5" t="s">
        <v>201</v>
      </c>
      <c r="D27" s="8">
        <f>24*6</f>
        <v>144</v>
      </c>
      <c r="E27" s="6">
        <v>400</v>
      </c>
      <c r="F27" s="6">
        <f t="shared" si="10"/>
        <v>57600</v>
      </c>
      <c r="G27" s="6">
        <f t="shared" si="4"/>
        <v>9600</v>
      </c>
      <c r="H27" s="6">
        <f t="shared" si="5"/>
        <v>9600</v>
      </c>
      <c r="I27" s="6">
        <f t="shared" si="6"/>
        <v>9600</v>
      </c>
      <c r="J27" s="6">
        <f t="shared" si="7"/>
        <v>9600</v>
      </c>
      <c r="K27" s="6">
        <f t="shared" si="8"/>
        <v>9600</v>
      </c>
      <c r="L27" s="6">
        <f t="shared" si="9"/>
        <v>9600</v>
      </c>
    </row>
    <row r="28" spans="1:12" ht="56.15" customHeight="1" x14ac:dyDescent="0.35">
      <c r="A28" s="59" t="s">
        <v>353</v>
      </c>
      <c r="B28" s="5" t="s">
        <v>371</v>
      </c>
      <c r="C28" s="5" t="s">
        <v>201</v>
      </c>
      <c r="D28" s="8">
        <f>16*6</f>
        <v>96</v>
      </c>
      <c r="E28" s="6">
        <v>400</v>
      </c>
      <c r="F28" s="6">
        <f t="shared" ref="F28" si="11">D28*E28</f>
        <v>38400</v>
      </c>
      <c r="G28" s="6">
        <f t="shared" si="4"/>
        <v>6400</v>
      </c>
      <c r="H28" s="6">
        <f t="shared" si="5"/>
        <v>6400</v>
      </c>
      <c r="I28" s="6">
        <f t="shared" si="6"/>
        <v>6400</v>
      </c>
      <c r="J28" s="6">
        <f t="shared" si="7"/>
        <v>6400</v>
      </c>
      <c r="K28" s="6">
        <f t="shared" si="8"/>
        <v>6400</v>
      </c>
      <c r="L28" s="6">
        <f t="shared" si="9"/>
        <v>6400</v>
      </c>
    </row>
    <row r="29" spans="1:12" ht="42.65" customHeight="1" x14ac:dyDescent="0.35">
      <c r="A29" s="59" t="s">
        <v>354</v>
      </c>
      <c r="B29" s="5" t="s">
        <v>373</v>
      </c>
      <c r="C29" s="5" t="s">
        <v>201</v>
      </c>
      <c r="D29" s="8">
        <v>30</v>
      </c>
      <c r="E29" s="6">
        <v>400</v>
      </c>
      <c r="F29" s="6">
        <f t="shared" ref="F29" si="12">D29*E29</f>
        <v>12000</v>
      </c>
      <c r="G29" s="6">
        <f t="shared" si="4"/>
        <v>2000</v>
      </c>
      <c r="H29" s="6">
        <f t="shared" si="5"/>
        <v>2000</v>
      </c>
      <c r="I29" s="6">
        <f t="shared" si="6"/>
        <v>2000</v>
      </c>
      <c r="J29" s="6">
        <f t="shared" si="7"/>
        <v>2000</v>
      </c>
      <c r="K29" s="6">
        <f t="shared" si="8"/>
        <v>2000</v>
      </c>
      <c r="L29" s="6">
        <f t="shared" si="9"/>
        <v>2000</v>
      </c>
    </row>
    <row r="30" spans="1:12" ht="33.65" customHeight="1" x14ac:dyDescent="0.35">
      <c r="A30" s="59" t="s">
        <v>355</v>
      </c>
      <c r="B30" s="5" t="s">
        <v>372</v>
      </c>
      <c r="C30" s="5" t="s">
        <v>201</v>
      </c>
      <c r="D30" s="8">
        <v>180</v>
      </c>
      <c r="E30" s="6">
        <v>400</v>
      </c>
      <c r="F30" s="6">
        <f t="shared" ref="F30:F32" si="13">D30*E30</f>
        <v>72000</v>
      </c>
      <c r="G30" s="6">
        <f t="shared" si="4"/>
        <v>12000</v>
      </c>
      <c r="H30" s="6">
        <f t="shared" si="5"/>
        <v>12000</v>
      </c>
      <c r="I30" s="6">
        <f t="shared" si="6"/>
        <v>12000</v>
      </c>
      <c r="J30" s="6">
        <f t="shared" si="7"/>
        <v>12000</v>
      </c>
      <c r="K30" s="6">
        <f t="shared" si="8"/>
        <v>12000</v>
      </c>
      <c r="L30" s="6">
        <f t="shared" si="9"/>
        <v>12000</v>
      </c>
    </row>
    <row r="31" spans="1:12" ht="56.15" customHeight="1" x14ac:dyDescent="0.35">
      <c r="A31" s="59" t="s">
        <v>356</v>
      </c>
      <c r="B31" s="5" t="s">
        <v>440</v>
      </c>
      <c r="C31" s="5" t="s">
        <v>203</v>
      </c>
      <c r="D31" s="8">
        <v>6</v>
      </c>
      <c r="E31" s="6">
        <v>15000</v>
      </c>
      <c r="F31" s="6">
        <f t="shared" si="13"/>
        <v>90000</v>
      </c>
      <c r="G31" s="6">
        <f t="shared" si="4"/>
        <v>15000</v>
      </c>
      <c r="H31" s="6">
        <f t="shared" si="5"/>
        <v>15000</v>
      </c>
      <c r="I31" s="6">
        <f t="shared" si="6"/>
        <v>15000</v>
      </c>
      <c r="J31" s="6">
        <f t="shared" si="7"/>
        <v>15000</v>
      </c>
      <c r="K31" s="6">
        <f t="shared" si="8"/>
        <v>15000</v>
      </c>
      <c r="L31" s="6">
        <f t="shared" si="9"/>
        <v>15000</v>
      </c>
    </row>
    <row r="32" spans="1:12" ht="45.65" customHeight="1" x14ac:dyDescent="0.35">
      <c r="A32" s="74" t="s">
        <v>405</v>
      </c>
      <c r="B32" s="5" t="s">
        <v>409</v>
      </c>
      <c r="C32" s="5" t="s">
        <v>201</v>
      </c>
      <c r="D32" s="8">
        <v>144</v>
      </c>
      <c r="E32" s="6">
        <v>100</v>
      </c>
      <c r="F32" s="6">
        <f t="shared" si="13"/>
        <v>14400</v>
      </c>
      <c r="G32" s="6">
        <f t="shared" si="4"/>
        <v>2400</v>
      </c>
      <c r="H32" s="6">
        <f t="shared" si="5"/>
        <v>2400</v>
      </c>
      <c r="I32" s="6">
        <f t="shared" si="6"/>
        <v>2400</v>
      </c>
      <c r="J32" s="6">
        <f t="shared" si="7"/>
        <v>2400</v>
      </c>
      <c r="K32" s="6">
        <f t="shared" si="8"/>
        <v>2400</v>
      </c>
      <c r="L32" s="6">
        <f t="shared" si="9"/>
        <v>2400</v>
      </c>
    </row>
    <row r="33" spans="1:13" x14ac:dyDescent="0.35">
      <c r="A33" s="146"/>
    </row>
    <row r="34" spans="1:13" ht="155.5" customHeight="1" x14ac:dyDescent="0.35">
      <c r="A34" s="7" t="s">
        <v>46</v>
      </c>
      <c r="B34" s="5" t="s">
        <v>208</v>
      </c>
      <c r="C34" s="5" t="s">
        <v>201</v>
      </c>
      <c r="D34" s="8">
        <v>27</v>
      </c>
      <c r="E34" s="6">
        <v>400</v>
      </c>
      <c r="F34" s="6">
        <f>E34*D34</f>
        <v>10800</v>
      </c>
      <c r="G34" s="6"/>
      <c r="H34" s="6">
        <f>$F$34</f>
        <v>10800</v>
      </c>
      <c r="I34" s="6"/>
      <c r="J34" s="6"/>
      <c r="K34" s="6"/>
      <c r="L34" s="6"/>
    </row>
    <row r="35" spans="1:13" ht="50" x14ac:dyDescent="0.35">
      <c r="A35" s="7" t="s">
        <v>47</v>
      </c>
      <c r="B35" s="5" t="s">
        <v>399</v>
      </c>
      <c r="C35" s="5" t="s">
        <v>201</v>
      </c>
      <c r="D35" s="8">
        <v>24</v>
      </c>
      <c r="E35" s="6">
        <f>62+150+200</f>
        <v>412</v>
      </c>
      <c r="F35" s="6">
        <f>E35*D35</f>
        <v>9888</v>
      </c>
      <c r="G35" s="6"/>
      <c r="H35" s="6">
        <f>$F$35</f>
        <v>9888</v>
      </c>
      <c r="I35" s="67"/>
      <c r="J35" s="6"/>
      <c r="K35" s="6"/>
      <c r="L35" s="6"/>
    </row>
    <row r="36" spans="1:13" ht="122.5" customHeight="1" x14ac:dyDescent="0.35">
      <c r="A36" s="7" t="s">
        <v>48</v>
      </c>
      <c r="B36" s="5" t="s">
        <v>209</v>
      </c>
      <c r="C36" s="5" t="s">
        <v>201</v>
      </c>
      <c r="D36" s="8">
        <v>12</v>
      </c>
      <c r="E36" s="6">
        <v>2000</v>
      </c>
      <c r="F36" s="6">
        <f>D36*E36</f>
        <v>24000</v>
      </c>
      <c r="G36" s="6"/>
      <c r="H36" s="6">
        <f>$F$36</f>
        <v>24000</v>
      </c>
      <c r="I36" s="67"/>
      <c r="J36" s="6"/>
      <c r="K36" s="6"/>
      <c r="L36" s="6"/>
    </row>
    <row r="37" spans="1:13" ht="111.65" customHeight="1" x14ac:dyDescent="0.35">
      <c r="A37" s="7" t="s">
        <v>49</v>
      </c>
      <c r="B37" s="5" t="s">
        <v>210</v>
      </c>
      <c r="C37" s="5" t="s">
        <v>211</v>
      </c>
      <c r="D37" s="8">
        <v>12</v>
      </c>
      <c r="E37" s="6">
        <v>22500</v>
      </c>
      <c r="F37" s="6">
        <f>E37*D37</f>
        <v>270000</v>
      </c>
      <c r="G37" s="6"/>
      <c r="H37" s="6">
        <f>$F$37</f>
        <v>270000</v>
      </c>
      <c r="I37" s="67"/>
      <c r="J37" s="6"/>
      <c r="K37" s="6"/>
      <c r="L37" s="6"/>
    </row>
    <row r="38" spans="1:13" ht="60" customHeight="1" x14ac:dyDescent="0.35">
      <c r="A38" s="7" t="s">
        <v>50</v>
      </c>
      <c r="B38" s="12" t="s">
        <v>374</v>
      </c>
      <c r="C38" s="5" t="s">
        <v>201</v>
      </c>
      <c r="D38" s="8">
        <v>36</v>
      </c>
      <c r="E38" s="6">
        <v>1500</v>
      </c>
      <c r="F38" s="6">
        <f>E38*D38</f>
        <v>54000</v>
      </c>
      <c r="G38" s="6">
        <f>F38/1</f>
        <v>54000</v>
      </c>
      <c r="H38" s="6"/>
      <c r="I38" s="67"/>
      <c r="J38" s="6"/>
      <c r="K38" s="6"/>
      <c r="L38" s="6"/>
    </row>
    <row r="39" spans="1:13" ht="71.5" customHeight="1" x14ac:dyDescent="0.35">
      <c r="A39" s="7" t="s">
        <v>375</v>
      </c>
      <c r="B39" s="12" t="s">
        <v>392</v>
      </c>
      <c r="C39" s="5" t="s">
        <v>201</v>
      </c>
      <c r="D39" s="8">
        <v>72</v>
      </c>
      <c r="E39" s="6">
        <v>100</v>
      </c>
      <c r="F39" s="6">
        <f>D39*E39</f>
        <v>7200</v>
      </c>
      <c r="G39" s="6">
        <f>F39/1</f>
        <v>7200</v>
      </c>
      <c r="H39" s="6"/>
      <c r="I39" s="144"/>
      <c r="J39" s="10"/>
      <c r="K39" s="10"/>
      <c r="L39" s="10"/>
    </row>
    <row r="40" spans="1:13" ht="50.15" customHeight="1" x14ac:dyDescent="0.35">
      <c r="A40" s="7" t="s">
        <v>51</v>
      </c>
      <c r="B40" s="5" t="s">
        <v>400</v>
      </c>
      <c r="C40" s="5" t="s">
        <v>201</v>
      </c>
      <c r="D40" s="8">
        <v>48</v>
      </c>
      <c r="E40" s="6">
        <f>(2*62)+150+200</f>
        <v>474</v>
      </c>
      <c r="F40" s="6">
        <f>E40*D40</f>
        <v>22752</v>
      </c>
      <c r="G40" s="6">
        <f>F40</f>
        <v>22752</v>
      </c>
      <c r="H40" s="6"/>
      <c r="I40" s="144"/>
      <c r="J40" s="10"/>
      <c r="K40" s="10"/>
      <c r="L40" s="10"/>
    </row>
    <row r="41" spans="1:13" ht="184.5" customHeight="1" x14ac:dyDescent="0.35">
      <c r="A41" s="7" t="s">
        <v>53</v>
      </c>
      <c r="B41" s="5" t="s">
        <v>411</v>
      </c>
      <c r="C41" s="5" t="s">
        <v>212</v>
      </c>
      <c r="D41" s="8">
        <v>1218</v>
      </c>
      <c r="E41" s="6">
        <v>1520</v>
      </c>
      <c r="F41" s="6">
        <f>(E41*D41)+(E41*D41*0.15)</f>
        <v>2129064</v>
      </c>
      <c r="G41" s="6"/>
      <c r="H41" s="6">
        <f>$F$41/5</f>
        <v>425812.8</v>
      </c>
      <c r="I41" s="6">
        <f>$F$41/5</f>
        <v>425812.8</v>
      </c>
      <c r="J41" s="6">
        <f>$F$41/5</f>
        <v>425812.8</v>
      </c>
      <c r="K41" s="6">
        <f>$F$41/5</f>
        <v>425812.8</v>
      </c>
      <c r="L41" s="6">
        <f>$F$41/5</f>
        <v>425812.8</v>
      </c>
    </row>
    <row r="42" spans="1:13" ht="121" customHeight="1" x14ac:dyDescent="0.35">
      <c r="A42" s="7" t="s">
        <v>389</v>
      </c>
      <c r="B42" s="5" t="s">
        <v>412</v>
      </c>
      <c r="C42" s="5" t="s">
        <v>212</v>
      </c>
      <c r="D42" s="8">
        <v>905</v>
      </c>
      <c r="E42" s="6">
        <v>1520</v>
      </c>
      <c r="F42" s="6">
        <f>(E42*D42)+(E42*D42*0.15)</f>
        <v>1581940</v>
      </c>
      <c r="G42" s="6"/>
      <c r="H42" s="6">
        <f>F42/5</f>
        <v>316388</v>
      </c>
      <c r="I42" s="67">
        <f>F42/5</f>
        <v>316388</v>
      </c>
      <c r="J42" s="67">
        <f>F42/5</f>
        <v>316388</v>
      </c>
      <c r="K42" s="67">
        <f>F42/5</f>
        <v>316388</v>
      </c>
      <c r="L42" s="67">
        <f>F42/5</f>
        <v>316388</v>
      </c>
    </row>
    <row r="43" spans="1:13" ht="38.25" customHeight="1" x14ac:dyDescent="0.35">
      <c r="A43" s="7" t="s">
        <v>55</v>
      </c>
      <c r="B43" s="3" t="s">
        <v>421</v>
      </c>
      <c r="C43" s="5" t="s">
        <v>213</v>
      </c>
      <c r="D43" s="8">
        <v>12</v>
      </c>
      <c r="E43" s="6">
        <v>60000</v>
      </c>
      <c r="F43" s="6">
        <f>D43*E43</f>
        <v>720000</v>
      </c>
      <c r="G43" s="6"/>
      <c r="H43" s="6"/>
      <c r="I43" s="67">
        <f>F43/4</f>
        <v>180000</v>
      </c>
      <c r="J43" s="67">
        <f>F43/4</f>
        <v>180000</v>
      </c>
      <c r="K43" s="67">
        <f>F43/4</f>
        <v>180000</v>
      </c>
      <c r="L43" s="67">
        <f>F43/4</f>
        <v>180000</v>
      </c>
    </row>
    <row r="44" spans="1:13" ht="107.5" customHeight="1" x14ac:dyDescent="0.35">
      <c r="A44" s="7" t="s">
        <v>56</v>
      </c>
      <c r="B44" s="3" t="s">
        <v>413</v>
      </c>
      <c r="C44" s="5" t="s">
        <v>212</v>
      </c>
      <c r="D44" s="8">
        <v>2123</v>
      </c>
      <c r="E44" s="6">
        <v>890</v>
      </c>
      <c r="F44" s="6">
        <f>(E44*D44)</f>
        <v>1889470</v>
      </c>
      <c r="G44" s="6"/>
      <c r="H44" s="6">
        <f>$F$44/5</f>
        <v>377894</v>
      </c>
      <c r="I44" s="6">
        <f>$F$44/5</f>
        <v>377894</v>
      </c>
      <c r="J44" s="6">
        <f>$F$44/5</f>
        <v>377894</v>
      </c>
      <c r="K44" s="6">
        <f>$F$44/5</f>
        <v>377894</v>
      </c>
      <c r="L44" s="6">
        <f>$F$44/5</f>
        <v>377894</v>
      </c>
    </row>
    <row r="45" spans="1:13" ht="42" customHeight="1" x14ac:dyDescent="0.35">
      <c r="A45" s="7" t="s">
        <v>57</v>
      </c>
      <c r="B45" s="3" t="s">
        <v>424</v>
      </c>
      <c r="C45" s="5" t="s">
        <v>382</v>
      </c>
      <c r="D45" s="8">
        <v>1</v>
      </c>
      <c r="E45" s="6">
        <v>188030</v>
      </c>
      <c r="F45" s="6">
        <f>E45*D45</f>
        <v>188030</v>
      </c>
      <c r="G45" s="6"/>
      <c r="H45" s="6">
        <f>$F$45/5</f>
        <v>37606</v>
      </c>
      <c r="I45" s="6">
        <f>$F$45/5</f>
        <v>37606</v>
      </c>
      <c r="J45" s="6">
        <f>$F$45/5</f>
        <v>37606</v>
      </c>
      <c r="K45" s="6">
        <f>$F$45/5</f>
        <v>37606</v>
      </c>
      <c r="L45" s="6">
        <f>$F$45/5</f>
        <v>37606</v>
      </c>
    </row>
    <row r="46" spans="1:13" ht="167.5" customHeight="1" x14ac:dyDescent="0.35">
      <c r="A46" s="7" t="s">
        <v>58</v>
      </c>
      <c r="B46" s="5" t="s">
        <v>436</v>
      </c>
      <c r="C46" s="5" t="s">
        <v>422</v>
      </c>
      <c r="D46" s="8">
        <v>424.6</v>
      </c>
      <c r="E46" s="6">
        <v>6169</v>
      </c>
      <c r="F46" s="6">
        <f>E46*D46+(E46*D46*0.1)</f>
        <v>2881293.1400000006</v>
      </c>
      <c r="G46" s="6"/>
      <c r="H46" s="6">
        <f>$F$46/5</f>
        <v>576258.62800000014</v>
      </c>
      <c r="I46" s="6">
        <f>$F$46/5</f>
        <v>576258.62800000014</v>
      </c>
      <c r="J46" s="6">
        <f>$F$46/5</f>
        <v>576258.62800000014</v>
      </c>
      <c r="K46" s="6">
        <f>$F$46/5</f>
        <v>576258.62800000014</v>
      </c>
      <c r="L46" s="6">
        <f>$F$46/5</f>
        <v>576258.62800000014</v>
      </c>
      <c r="M46" s="66"/>
    </row>
    <row r="47" spans="1:13" x14ac:dyDescent="0.35">
      <c r="A47" s="7" t="s">
        <v>59</v>
      </c>
      <c r="B47" s="3" t="s">
        <v>423</v>
      </c>
      <c r="C47" s="5" t="s">
        <v>422</v>
      </c>
      <c r="D47" s="8">
        <v>424.6</v>
      </c>
      <c r="E47" s="6">
        <f>E46*0.1</f>
        <v>616.90000000000009</v>
      </c>
      <c r="F47" s="6">
        <f>(E47*D47)</f>
        <v>261935.74000000005</v>
      </c>
      <c r="G47" s="6"/>
      <c r="H47" s="6"/>
      <c r="I47" s="67">
        <f>F47/4</f>
        <v>65483.935000000012</v>
      </c>
      <c r="J47" s="67">
        <f>F47/4</f>
        <v>65483.935000000012</v>
      </c>
      <c r="K47" s="67">
        <f>F47/4</f>
        <v>65483.935000000012</v>
      </c>
      <c r="L47" s="67">
        <f>F47/4</f>
        <v>65483.935000000012</v>
      </c>
    </row>
    <row r="48" spans="1:13" ht="73" customHeight="1" x14ac:dyDescent="0.35">
      <c r="A48" s="7" t="s">
        <v>60</v>
      </c>
      <c r="B48" s="5" t="s">
        <v>376</v>
      </c>
      <c r="C48" s="5" t="s">
        <v>201</v>
      </c>
      <c r="D48" s="8">
        <f>12*5*3</f>
        <v>180</v>
      </c>
      <c r="E48" s="6">
        <v>1500</v>
      </c>
      <c r="F48" s="6">
        <f>E48*D48+72000</f>
        <v>342000</v>
      </c>
      <c r="G48" s="6"/>
      <c r="H48" s="6">
        <f>$F$48/5</f>
        <v>68400</v>
      </c>
      <c r="I48" s="6">
        <f>$F$48/5</f>
        <v>68400</v>
      </c>
      <c r="J48" s="6">
        <f>$F$48/5</f>
        <v>68400</v>
      </c>
      <c r="K48" s="6">
        <f>$F$48/5</f>
        <v>68400</v>
      </c>
      <c r="L48" s="6">
        <f>$F$48/5</f>
        <v>68400</v>
      </c>
    </row>
    <row r="49" spans="1:12" ht="86.15" customHeight="1" x14ac:dyDescent="0.35">
      <c r="A49" s="7" t="s">
        <v>61</v>
      </c>
      <c r="B49" s="5" t="s">
        <v>377</v>
      </c>
      <c r="C49" s="5" t="s">
        <v>201</v>
      </c>
      <c r="D49" s="8">
        <v>720</v>
      </c>
      <c r="E49" s="6">
        <v>100</v>
      </c>
      <c r="F49" s="6">
        <f>E49*D49</f>
        <v>72000</v>
      </c>
      <c r="G49" s="6"/>
      <c r="H49" s="6">
        <f>F49/5</f>
        <v>14400</v>
      </c>
      <c r="I49" s="6">
        <f>F49/5</f>
        <v>14400</v>
      </c>
      <c r="J49" s="6">
        <f>F49/5</f>
        <v>14400</v>
      </c>
      <c r="K49" s="6">
        <f>F49/5</f>
        <v>14400</v>
      </c>
      <c r="L49" s="6">
        <f>F49/5</f>
        <v>14400</v>
      </c>
    </row>
    <row r="50" spans="1:12" ht="62.5" x14ac:dyDescent="0.35">
      <c r="A50" s="7" t="s">
        <v>62</v>
      </c>
      <c r="B50" s="5" t="s">
        <v>215</v>
      </c>
      <c r="C50" s="5" t="s">
        <v>201</v>
      </c>
      <c r="D50" s="8">
        <v>180</v>
      </c>
      <c r="E50" s="6">
        <f>(4*62)+150+200</f>
        <v>598</v>
      </c>
      <c r="F50" s="6">
        <f>E50*D50</f>
        <v>107640</v>
      </c>
      <c r="G50" s="6"/>
      <c r="H50" s="6">
        <f>$F$50/5</f>
        <v>21528</v>
      </c>
      <c r="I50" s="6">
        <f>$F$50/5</f>
        <v>21528</v>
      </c>
      <c r="J50" s="6">
        <f>$F$50/5</f>
        <v>21528</v>
      </c>
      <c r="K50" s="6">
        <f>$F$50/5</f>
        <v>21528</v>
      </c>
      <c r="L50" s="6">
        <f>$F$50/5</f>
        <v>21528</v>
      </c>
    </row>
    <row r="51" spans="1:12" x14ac:dyDescent="0.35">
      <c r="A51" s="146"/>
    </row>
    <row r="52" spans="1:12" ht="221.15" customHeight="1" x14ac:dyDescent="0.35">
      <c r="A52" s="7" t="s">
        <v>66</v>
      </c>
      <c r="B52" s="3" t="s">
        <v>216</v>
      </c>
      <c r="C52" s="5" t="s">
        <v>217</v>
      </c>
      <c r="D52" s="8">
        <v>12</v>
      </c>
      <c r="E52" s="143" t="s">
        <v>218</v>
      </c>
      <c r="F52" s="6">
        <f>SUM(H52:L52)</f>
        <v>186000</v>
      </c>
      <c r="G52" s="6"/>
      <c r="H52" s="6">
        <f>11500*D52</f>
        <v>138000</v>
      </c>
      <c r="I52" s="6">
        <v>12000</v>
      </c>
      <c r="J52" s="6">
        <v>12000</v>
      </c>
      <c r="K52" s="6">
        <v>12000</v>
      </c>
      <c r="L52" s="6">
        <v>12000</v>
      </c>
    </row>
    <row r="53" spans="1:12" ht="75" x14ac:dyDescent="0.35">
      <c r="A53" s="7" t="s">
        <v>67</v>
      </c>
      <c r="B53" s="3" t="s">
        <v>219</v>
      </c>
      <c r="C53" s="9" t="s">
        <v>201</v>
      </c>
      <c r="D53" s="4">
        <v>36</v>
      </c>
      <c r="E53" s="10">
        <v>2000</v>
      </c>
      <c r="F53" s="6">
        <f>E53*D53</f>
        <v>72000</v>
      </c>
      <c r="G53" s="10"/>
      <c r="H53" s="10">
        <f>F53</f>
        <v>72000</v>
      </c>
      <c r="I53" s="10"/>
      <c r="J53" s="10"/>
      <c r="K53" s="10"/>
      <c r="L53" s="10"/>
    </row>
    <row r="54" spans="1:12" ht="50" x14ac:dyDescent="0.35">
      <c r="A54" s="7" t="s">
        <v>68</v>
      </c>
      <c r="B54" s="5" t="s">
        <v>401</v>
      </c>
      <c r="C54" s="9" t="s">
        <v>201</v>
      </c>
      <c r="D54" s="4">
        <v>48</v>
      </c>
      <c r="E54" s="10">
        <f>62+150+200</f>
        <v>412</v>
      </c>
      <c r="F54" s="6">
        <f>E54*D54</f>
        <v>19776</v>
      </c>
      <c r="G54" s="10"/>
      <c r="H54" s="10">
        <f>F54</f>
        <v>19776</v>
      </c>
      <c r="I54" s="10"/>
      <c r="J54" s="10"/>
      <c r="K54" s="10"/>
      <c r="L54" s="10"/>
    </row>
    <row r="55" spans="1:12" ht="40" customHeight="1" x14ac:dyDescent="0.35">
      <c r="A55" s="7" t="s">
        <v>69</v>
      </c>
      <c r="B55" s="3" t="s">
        <v>414</v>
      </c>
      <c r="C55" s="9" t="s">
        <v>201</v>
      </c>
      <c r="D55" s="4">
        <v>43800</v>
      </c>
      <c r="E55" s="10">
        <v>10</v>
      </c>
      <c r="F55" s="6">
        <f t="shared" ref="F55:F101" si="14">E55*D55</f>
        <v>438000</v>
      </c>
      <c r="G55" s="10"/>
      <c r="H55" s="10">
        <f>$F$55/5</f>
        <v>87600</v>
      </c>
      <c r="I55" s="10">
        <f>$F$55/5</f>
        <v>87600</v>
      </c>
      <c r="J55" s="10">
        <f>$F$55/5</f>
        <v>87600</v>
      </c>
      <c r="K55" s="10">
        <f>$F$55/5</f>
        <v>87600</v>
      </c>
      <c r="L55" s="10">
        <f>$F$55/5</f>
        <v>87600</v>
      </c>
    </row>
    <row r="56" spans="1:12" ht="123" customHeight="1" x14ac:dyDescent="0.35">
      <c r="A56" s="7" t="s">
        <v>70</v>
      </c>
      <c r="B56" s="3" t="s">
        <v>220</v>
      </c>
      <c r="C56" s="9" t="s">
        <v>221</v>
      </c>
      <c r="D56" s="4">
        <v>12</v>
      </c>
      <c r="E56" s="10">
        <f>15000+(0.15*4500)</f>
        <v>15675</v>
      </c>
      <c r="F56" s="6">
        <f>E56*D56+(24000*4)</f>
        <v>284100</v>
      </c>
      <c r="G56" s="10"/>
      <c r="H56" s="10">
        <f>E56*D56</f>
        <v>188100</v>
      </c>
      <c r="I56" s="10">
        <v>24000</v>
      </c>
      <c r="J56" s="10">
        <v>24000</v>
      </c>
      <c r="K56" s="10">
        <v>24000</v>
      </c>
      <c r="L56" s="10">
        <v>24000</v>
      </c>
    </row>
    <row r="57" spans="1:12" ht="37.5" x14ac:dyDescent="0.35">
      <c r="A57" s="7" t="s">
        <v>71</v>
      </c>
      <c r="B57" s="3" t="s">
        <v>222</v>
      </c>
      <c r="C57" s="9" t="s">
        <v>201</v>
      </c>
      <c r="D57" s="4">
        <v>36</v>
      </c>
      <c r="E57" s="10">
        <v>2000</v>
      </c>
      <c r="F57" s="6">
        <f t="shared" si="14"/>
        <v>72000</v>
      </c>
      <c r="G57" s="10"/>
      <c r="H57" s="10">
        <f>F57</f>
        <v>72000</v>
      </c>
      <c r="I57" s="10"/>
      <c r="J57" s="10"/>
      <c r="K57" s="10"/>
      <c r="L57" s="10"/>
    </row>
    <row r="58" spans="1:12" ht="50" x14ac:dyDescent="0.35">
      <c r="A58" s="7" t="s">
        <v>72</v>
      </c>
      <c r="B58" s="5" t="s">
        <v>402</v>
      </c>
      <c r="C58" s="5" t="s">
        <v>201</v>
      </c>
      <c r="D58" s="8">
        <v>48</v>
      </c>
      <c r="E58" s="6">
        <f>62+150+200</f>
        <v>412</v>
      </c>
      <c r="F58" s="6">
        <f t="shared" si="14"/>
        <v>19776</v>
      </c>
      <c r="G58" s="6"/>
      <c r="H58" s="6">
        <f>F58</f>
        <v>19776</v>
      </c>
      <c r="I58" s="6"/>
      <c r="J58" s="6"/>
      <c r="K58" s="6"/>
      <c r="L58" s="6"/>
    </row>
    <row r="59" spans="1:12" ht="37.5" x14ac:dyDescent="0.35">
      <c r="A59" s="7" t="s">
        <v>73</v>
      </c>
      <c r="B59" s="3" t="s">
        <v>415</v>
      </c>
      <c r="C59" s="5" t="s">
        <v>201</v>
      </c>
      <c r="D59" s="4">
        <v>43800</v>
      </c>
      <c r="E59" s="6">
        <v>10</v>
      </c>
      <c r="F59" s="6">
        <f t="shared" si="14"/>
        <v>438000</v>
      </c>
      <c r="G59" s="6"/>
      <c r="H59" s="6">
        <f>$F$59/5</f>
        <v>87600</v>
      </c>
      <c r="I59" s="6">
        <f>$F$59/5</f>
        <v>87600</v>
      </c>
      <c r="J59" s="6">
        <f>$F$59/5</f>
        <v>87600</v>
      </c>
      <c r="K59" s="6">
        <f>$F$59/5</f>
        <v>87600</v>
      </c>
      <c r="L59" s="6">
        <f>$F$59/5</f>
        <v>87600</v>
      </c>
    </row>
    <row r="60" spans="1:12" ht="37.5" x14ac:dyDescent="0.35">
      <c r="A60" s="7" t="s">
        <v>74</v>
      </c>
      <c r="B60" s="11" t="s">
        <v>223</v>
      </c>
      <c r="C60" s="5" t="s">
        <v>201</v>
      </c>
      <c r="D60" s="8">
        <v>12</v>
      </c>
      <c r="E60" s="6">
        <v>1500</v>
      </c>
      <c r="F60" s="6">
        <f t="shared" si="14"/>
        <v>18000</v>
      </c>
      <c r="G60" s="6"/>
      <c r="H60" s="6">
        <f>F60</f>
        <v>18000</v>
      </c>
      <c r="I60" s="6"/>
      <c r="J60" s="6"/>
      <c r="K60" s="6"/>
      <c r="L60" s="6"/>
    </row>
    <row r="61" spans="1:12" ht="54" customHeight="1" x14ac:dyDescent="0.35">
      <c r="A61" s="7" t="s">
        <v>75</v>
      </c>
      <c r="B61" s="5" t="s">
        <v>416</v>
      </c>
      <c r="C61" s="5" t="s">
        <v>201</v>
      </c>
      <c r="D61" s="8">
        <v>3600</v>
      </c>
      <c r="E61" s="6">
        <v>10</v>
      </c>
      <c r="F61" s="6">
        <f t="shared" si="14"/>
        <v>36000</v>
      </c>
      <c r="G61" s="6"/>
      <c r="H61" s="6">
        <f>F61</f>
        <v>36000</v>
      </c>
      <c r="I61" s="6"/>
      <c r="J61" s="6"/>
      <c r="K61" s="6"/>
      <c r="L61" s="6"/>
    </row>
    <row r="62" spans="1:12" ht="50" x14ac:dyDescent="0.35">
      <c r="A62" s="7" t="s">
        <v>76</v>
      </c>
      <c r="B62" s="3" t="s">
        <v>224</v>
      </c>
      <c r="C62" s="5" t="s">
        <v>225</v>
      </c>
      <c r="D62" s="8">
        <v>12</v>
      </c>
      <c r="E62" s="6">
        <f>F62/12</f>
        <v>300</v>
      </c>
      <c r="F62" s="6">
        <f>F61*10/100</f>
        <v>3600</v>
      </c>
      <c r="G62" s="6"/>
      <c r="H62" s="6">
        <f>F62</f>
        <v>3600</v>
      </c>
      <c r="I62" s="6"/>
      <c r="J62" s="6"/>
      <c r="K62" s="6"/>
      <c r="L62" s="6"/>
    </row>
    <row r="63" spans="1:12" ht="37.5" x14ac:dyDescent="0.35">
      <c r="A63" s="7" t="s">
        <v>77</v>
      </c>
      <c r="B63" s="5" t="s">
        <v>384</v>
      </c>
      <c r="C63" s="5" t="s">
        <v>201</v>
      </c>
      <c r="D63" s="8">
        <f>3*12*5</f>
        <v>180</v>
      </c>
      <c r="E63" s="6">
        <v>1500</v>
      </c>
      <c r="F63" s="6">
        <f t="shared" si="14"/>
        <v>270000</v>
      </c>
      <c r="G63" s="6"/>
      <c r="H63" s="6">
        <f>$F$63/5</f>
        <v>54000</v>
      </c>
      <c r="I63" s="6">
        <f>$F$63/5</f>
        <v>54000</v>
      </c>
      <c r="J63" s="6">
        <f>$F$63/5</f>
        <v>54000</v>
      </c>
      <c r="K63" s="6">
        <f>$F$63/5</f>
        <v>54000</v>
      </c>
      <c r="L63" s="6">
        <f>$F$63/5</f>
        <v>54000</v>
      </c>
    </row>
    <row r="64" spans="1:12" ht="37.5" x14ac:dyDescent="0.35">
      <c r="A64" s="7" t="s">
        <v>383</v>
      </c>
      <c r="B64" s="5" t="s">
        <v>385</v>
      </c>
      <c r="C64" s="5" t="s">
        <v>201</v>
      </c>
      <c r="D64" s="8">
        <v>180</v>
      </c>
      <c r="E64" s="6">
        <v>400</v>
      </c>
      <c r="F64" s="6">
        <f t="shared" si="14"/>
        <v>72000</v>
      </c>
      <c r="G64" s="6"/>
      <c r="H64" s="6">
        <f>F64/5</f>
        <v>14400</v>
      </c>
      <c r="I64" s="6">
        <f>F64/5</f>
        <v>14400</v>
      </c>
      <c r="J64" s="6">
        <f>F64/5</f>
        <v>14400</v>
      </c>
      <c r="K64" s="6">
        <f>F64/5</f>
        <v>14400</v>
      </c>
      <c r="L64" s="6">
        <f>F64/5</f>
        <v>14400</v>
      </c>
    </row>
    <row r="65" spans="1:12" ht="50" x14ac:dyDescent="0.35">
      <c r="A65" s="7" t="s">
        <v>78</v>
      </c>
      <c r="B65" s="5" t="s">
        <v>226</v>
      </c>
      <c r="C65" s="5" t="s">
        <v>201</v>
      </c>
      <c r="D65" s="8">
        <v>180</v>
      </c>
      <c r="E65" s="6">
        <f>(3*62)+150+200</f>
        <v>536</v>
      </c>
      <c r="F65" s="6">
        <f t="shared" si="14"/>
        <v>96480</v>
      </c>
      <c r="G65" s="6"/>
      <c r="H65" s="6">
        <f>$F$65/5</f>
        <v>19296</v>
      </c>
      <c r="I65" s="6">
        <f>$F$65/5</f>
        <v>19296</v>
      </c>
      <c r="J65" s="6">
        <f>$F$65/5</f>
        <v>19296</v>
      </c>
      <c r="K65" s="6">
        <f>$F$65/5</f>
        <v>19296</v>
      </c>
      <c r="L65" s="6">
        <f>$F$65/5</f>
        <v>19296</v>
      </c>
    </row>
    <row r="66" spans="1:12" ht="150" x14ac:dyDescent="0.35">
      <c r="A66" s="7" t="s">
        <v>79</v>
      </c>
      <c r="B66" s="5" t="s">
        <v>227</v>
      </c>
      <c r="C66" s="140" t="s">
        <v>228</v>
      </c>
      <c r="D66" s="141">
        <v>12</v>
      </c>
      <c r="E66" s="142">
        <f>40000/6</f>
        <v>6666.666666666667</v>
      </c>
      <c r="F66" s="6">
        <f>E66*D66+(0.15*E66*D66)+3600</f>
        <v>95600</v>
      </c>
      <c r="G66" s="142"/>
      <c r="H66" s="142">
        <f>(F66-3600)</f>
        <v>92000</v>
      </c>
      <c r="I66" s="142">
        <v>900</v>
      </c>
      <c r="J66" s="142">
        <v>900</v>
      </c>
      <c r="K66" s="142">
        <v>900</v>
      </c>
      <c r="L66" s="142">
        <v>900</v>
      </c>
    </row>
    <row r="67" spans="1:12" ht="50" x14ac:dyDescent="0.35">
      <c r="A67" s="7" t="s">
        <v>80</v>
      </c>
      <c r="B67" s="5" t="s">
        <v>229</v>
      </c>
      <c r="C67" s="140" t="s">
        <v>201</v>
      </c>
      <c r="D67" s="141">
        <f>12*3*3</f>
        <v>108</v>
      </c>
      <c r="E67" s="142">
        <v>1500</v>
      </c>
      <c r="F67" s="6">
        <f t="shared" si="14"/>
        <v>162000</v>
      </c>
      <c r="G67" s="142"/>
      <c r="H67" s="142">
        <f>F67/3</f>
        <v>54000</v>
      </c>
      <c r="I67" s="142"/>
      <c r="J67" s="142">
        <f>F67/3</f>
        <v>54000</v>
      </c>
      <c r="K67" s="142"/>
      <c r="L67" s="142">
        <f>F67/3</f>
        <v>54000</v>
      </c>
    </row>
    <row r="68" spans="1:12" ht="37.5" x14ac:dyDescent="0.35">
      <c r="A68" s="7" t="s">
        <v>81</v>
      </c>
      <c r="B68" s="5" t="s">
        <v>230</v>
      </c>
      <c r="C68" s="5" t="s">
        <v>201</v>
      </c>
      <c r="D68" s="141">
        <f>12*3*3</f>
        <v>108</v>
      </c>
      <c r="E68" s="6">
        <v>400</v>
      </c>
      <c r="F68" s="6">
        <f t="shared" si="14"/>
        <v>43200</v>
      </c>
      <c r="G68" s="6"/>
      <c r="H68" s="6">
        <f>F68/3</f>
        <v>14400</v>
      </c>
      <c r="I68" s="6"/>
      <c r="J68" s="6">
        <f>F68/3</f>
        <v>14400</v>
      </c>
      <c r="K68" s="6"/>
      <c r="L68" s="6">
        <f>F68/3</f>
        <v>14400</v>
      </c>
    </row>
    <row r="69" spans="1:12" ht="41.5" customHeight="1" x14ac:dyDescent="0.35">
      <c r="A69" s="7" t="s">
        <v>82</v>
      </c>
      <c r="B69" s="5" t="s">
        <v>231</v>
      </c>
      <c r="C69" s="5" t="s">
        <v>201</v>
      </c>
      <c r="D69" s="8">
        <v>108</v>
      </c>
      <c r="E69" s="6">
        <f>62+150+200</f>
        <v>412</v>
      </c>
      <c r="F69" s="6">
        <f t="shared" si="14"/>
        <v>44496</v>
      </c>
      <c r="G69" s="6"/>
      <c r="H69" s="6">
        <f>F69/3</f>
        <v>14832</v>
      </c>
      <c r="I69" s="6"/>
      <c r="J69" s="6">
        <f>F69/3</f>
        <v>14832</v>
      </c>
      <c r="K69" s="6"/>
      <c r="L69" s="6">
        <f>F69/3</f>
        <v>14832</v>
      </c>
    </row>
    <row r="70" spans="1:12" ht="112.5" x14ac:dyDescent="0.35">
      <c r="A70" s="7" t="s">
        <v>83</v>
      </c>
      <c r="B70" s="5" t="s">
        <v>420</v>
      </c>
      <c r="C70" s="5" t="s">
        <v>232</v>
      </c>
      <c r="D70" s="8">
        <f>15*12</f>
        <v>180</v>
      </c>
      <c r="E70" s="6">
        <f>500+(0.1*500)</f>
        <v>550</v>
      </c>
      <c r="F70" s="6">
        <f t="shared" si="14"/>
        <v>99000</v>
      </c>
      <c r="G70" s="6"/>
      <c r="H70" s="6">
        <f t="shared" ref="H70:H75" si="15">F70</f>
        <v>99000</v>
      </c>
      <c r="I70" s="6"/>
      <c r="J70" s="6"/>
      <c r="K70" s="6"/>
      <c r="L70" s="6"/>
    </row>
    <row r="71" spans="1:12" ht="137.5" x14ac:dyDescent="0.35">
      <c r="A71" s="7" t="s">
        <v>84</v>
      </c>
      <c r="B71" s="5" t="s">
        <v>233</v>
      </c>
      <c r="C71" s="5" t="s">
        <v>232</v>
      </c>
      <c r="D71" s="8">
        <f>5*12</f>
        <v>60</v>
      </c>
      <c r="E71" s="6">
        <v>150</v>
      </c>
      <c r="F71" s="6">
        <f>(E71*D71)+(E71*D71*0.15)</f>
        <v>10350</v>
      </c>
      <c r="G71" s="6"/>
      <c r="H71" s="6">
        <f t="shared" si="15"/>
        <v>10350</v>
      </c>
      <c r="I71" s="6"/>
      <c r="J71" s="6"/>
      <c r="K71" s="6"/>
      <c r="L71" s="6"/>
    </row>
    <row r="72" spans="1:12" ht="75" x14ac:dyDescent="0.35">
      <c r="A72" s="7" t="s">
        <v>85</v>
      </c>
      <c r="B72" s="5" t="s">
        <v>234</v>
      </c>
      <c r="C72" s="5" t="s">
        <v>232</v>
      </c>
      <c r="D72" s="8">
        <f>15*12</f>
        <v>180</v>
      </c>
      <c r="E72" s="6">
        <f>500+(0.15*500)</f>
        <v>575</v>
      </c>
      <c r="F72" s="6">
        <f t="shared" si="14"/>
        <v>103500</v>
      </c>
      <c r="G72" s="6"/>
      <c r="H72" s="6">
        <f t="shared" si="15"/>
        <v>103500</v>
      </c>
      <c r="I72" s="6"/>
      <c r="J72" s="6"/>
      <c r="K72" s="6"/>
      <c r="L72" s="6"/>
    </row>
    <row r="73" spans="1:12" ht="62.5" x14ac:dyDescent="0.35">
      <c r="A73" s="7" t="s">
        <v>86</v>
      </c>
      <c r="B73" s="5" t="s">
        <v>386</v>
      </c>
      <c r="C73" s="5" t="s">
        <v>201</v>
      </c>
      <c r="D73" s="8">
        <f>3*12</f>
        <v>36</v>
      </c>
      <c r="E73" s="6">
        <v>3000</v>
      </c>
      <c r="F73" s="6">
        <f t="shared" si="14"/>
        <v>108000</v>
      </c>
      <c r="G73" s="6"/>
      <c r="H73" s="6">
        <f t="shared" si="15"/>
        <v>108000</v>
      </c>
      <c r="I73" s="6"/>
      <c r="J73" s="6"/>
      <c r="K73" s="6"/>
      <c r="L73" s="6"/>
    </row>
    <row r="74" spans="1:12" ht="70" customHeight="1" x14ac:dyDescent="0.35">
      <c r="A74" s="7" t="s">
        <v>87</v>
      </c>
      <c r="B74" s="5" t="s">
        <v>394</v>
      </c>
      <c r="C74" s="5" t="s">
        <v>201</v>
      </c>
      <c r="D74" s="8">
        <v>58</v>
      </c>
      <c r="E74" s="6">
        <v>400</v>
      </c>
      <c r="F74" s="6">
        <f>D74*E74</f>
        <v>23200</v>
      </c>
      <c r="G74" s="6"/>
      <c r="H74" s="6">
        <f t="shared" si="15"/>
        <v>23200</v>
      </c>
      <c r="I74" s="6"/>
      <c r="J74" s="6"/>
      <c r="K74" s="6"/>
      <c r="L74" s="6"/>
    </row>
    <row r="75" spans="1:12" ht="56.5" customHeight="1" x14ac:dyDescent="0.35">
      <c r="A75" s="7" t="s">
        <v>88</v>
      </c>
      <c r="B75" s="5" t="s">
        <v>393</v>
      </c>
      <c r="C75" s="5" t="s">
        <v>201</v>
      </c>
      <c r="D75" s="8">
        <v>48</v>
      </c>
      <c r="E75" s="6">
        <f>62+150+200</f>
        <v>412</v>
      </c>
      <c r="F75" s="6">
        <f t="shared" si="14"/>
        <v>19776</v>
      </c>
      <c r="G75" s="6"/>
      <c r="H75" s="6">
        <f t="shared" si="15"/>
        <v>19776</v>
      </c>
      <c r="I75" s="6"/>
      <c r="J75" s="6"/>
      <c r="K75" s="6"/>
      <c r="L75" s="6"/>
    </row>
    <row r="76" spans="1:12" ht="112.5" x14ac:dyDescent="0.35">
      <c r="A76" s="7" t="s">
        <v>89</v>
      </c>
      <c r="B76" s="5" t="s">
        <v>235</v>
      </c>
      <c r="C76" s="5" t="s">
        <v>201</v>
      </c>
      <c r="D76" s="8">
        <v>40</v>
      </c>
      <c r="E76" s="6">
        <v>400</v>
      </c>
      <c r="F76" s="6">
        <f t="shared" si="14"/>
        <v>16000</v>
      </c>
      <c r="G76" s="6">
        <f>F76/1</f>
        <v>16000</v>
      </c>
      <c r="H76" s="6"/>
      <c r="I76" s="6"/>
      <c r="J76" s="6"/>
      <c r="K76" s="6"/>
      <c r="L76" s="6"/>
    </row>
    <row r="77" spans="1:12" ht="50" x14ac:dyDescent="0.35">
      <c r="A77" s="7" t="s">
        <v>90</v>
      </c>
      <c r="B77" s="5" t="s">
        <v>236</v>
      </c>
      <c r="C77" s="5" t="s">
        <v>237</v>
      </c>
      <c r="D77" s="8">
        <v>12</v>
      </c>
      <c r="E77" s="6">
        <v>1500</v>
      </c>
      <c r="F77" s="6">
        <f>E77*D77</f>
        <v>18000</v>
      </c>
      <c r="G77" s="6">
        <f>F77/1</f>
        <v>18000</v>
      </c>
      <c r="H77" s="6"/>
      <c r="I77" s="6"/>
      <c r="J77" s="6"/>
      <c r="K77" s="6"/>
      <c r="L77" s="6"/>
    </row>
    <row r="78" spans="1:12" ht="41.5" customHeight="1" x14ac:dyDescent="0.35">
      <c r="A78" s="7" t="s">
        <v>91</v>
      </c>
      <c r="B78" s="5" t="s">
        <v>238</v>
      </c>
      <c r="C78" s="5" t="s">
        <v>201</v>
      </c>
      <c r="D78" s="8">
        <v>12</v>
      </c>
      <c r="E78" s="6">
        <f>62+150+200</f>
        <v>412</v>
      </c>
      <c r="F78" s="6">
        <f t="shared" ref="F78:F79" si="16">E78*D78</f>
        <v>4944</v>
      </c>
      <c r="G78" s="6">
        <f t="shared" ref="G78:G79" si="17">F78/1</f>
        <v>4944</v>
      </c>
      <c r="H78" s="6"/>
      <c r="I78" s="6"/>
      <c r="J78" s="6"/>
      <c r="K78" s="6"/>
      <c r="L78" s="6"/>
    </row>
    <row r="79" spans="1:12" ht="35.15" customHeight="1" x14ac:dyDescent="0.35">
      <c r="A79" s="7" t="s">
        <v>92</v>
      </c>
      <c r="B79" s="12" t="s">
        <v>378</v>
      </c>
      <c r="C79" s="5" t="s">
        <v>201</v>
      </c>
      <c r="D79" s="8">
        <v>36</v>
      </c>
      <c r="E79" s="6">
        <v>1500</v>
      </c>
      <c r="F79" s="6">
        <f t="shared" si="16"/>
        <v>54000</v>
      </c>
      <c r="G79" s="6">
        <f t="shared" si="17"/>
        <v>54000</v>
      </c>
      <c r="H79" s="6"/>
      <c r="I79" s="6"/>
      <c r="J79" s="6"/>
      <c r="K79" s="6"/>
      <c r="L79" s="6"/>
    </row>
    <row r="80" spans="1:12" ht="79" customHeight="1" x14ac:dyDescent="0.35">
      <c r="A80" s="7" t="s">
        <v>93</v>
      </c>
      <c r="B80" s="5" t="s">
        <v>379</v>
      </c>
      <c r="C80" s="5" t="s">
        <v>201</v>
      </c>
      <c r="D80" s="8">
        <v>82</v>
      </c>
      <c r="E80" s="6">
        <v>400</v>
      </c>
      <c r="F80" s="6">
        <f t="shared" si="14"/>
        <v>32800</v>
      </c>
      <c r="G80" s="6">
        <f>F80</f>
        <v>32800</v>
      </c>
      <c r="H80" s="6"/>
      <c r="I80" s="6"/>
      <c r="J80" s="6"/>
      <c r="K80" s="6"/>
      <c r="L80" s="6"/>
    </row>
    <row r="81" spans="1:12" ht="25" x14ac:dyDescent="0.35">
      <c r="A81" s="7" t="s">
        <v>94</v>
      </c>
      <c r="B81" s="5" t="s">
        <v>239</v>
      </c>
      <c r="C81" s="5" t="s">
        <v>201</v>
      </c>
      <c r="D81" s="8">
        <v>36</v>
      </c>
      <c r="E81" s="6">
        <v>400</v>
      </c>
      <c r="F81" s="6">
        <f t="shared" si="14"/>
        <v>14400</v>
      </c>
      <c r="G81" s="6">
        <f>F81/1</f>
        <v>14400</v>
      </c>
      <c r="H81" s="6"/>
      <c r="I81" s="6"/>
      <c r="J81" s="6"/>
      <c r="K81" s="6"/>
      <c r="L81" s="6"/>
    </row>
    <row r="82" spans="1:12" ht="37.5" x14ac:dyDescent="0.35">
      <c r="A82" s="7" t="s">
        <v>95</v>
      </c>
      <c r="B82" s="5" t="s">
        <v>240</v>
      </c>
      <c r="C82" s="5" t="s">
        <v>201</v>
      </c>
      <c r="D82" s="8">
        <v>36</v>
      </c>
      <c r="E82" s="6">
        <f>(3*62)+150+200</f>
        <v>536</v>
      </c>
      <c r="F82" s="6">
        <f t="shared" si="14"/>
        <v>19296</v>
      </c>
      <c r="G82" s="6">
        <f>F82</f>
        <v>19296</v>
      </c>
      <c r="H82" s="6"/>
      <c r="I82" s="6"/>
      <c r="J82" s="6"/>
      <c r="K82" s="6"/>
      <c r="L82" s="6"/>
    </row>
    <row r="83" spans="1:12" ht="62.5" x14ac:dyDescent="0.35">
      <c r="A83" s="7" t="s">
        <v>96</v>
      </c>
      <c r="B83" s="3" t="s">
        <v>241</v>
      </c>
      <c r="C83" s="5" t="s">
        <v>242</v>
      </c>
      <c r="D83" s="8">
        <v>12</v>
      </c>
      <c r="E83" s="6">
        <v>35000</v>
      </c>
      <c r="F83" s="6">
        <f t="shared" si="14"/>
        <v>420000</v>
      </c>
      <c r="G83" s="6"/>
      <c r="H83" s="6">
        <f>F83/1</f>
        <v>420000</v>
      </c>
      <c r="I83" s="6"/>
      <c r="J83" s="6"/>
      <c r="K83" s="6"/>
      <c r="L83" s="6"/>
    </row>
    <row r="84" spans="1:12" ht="87.5" x14ac:dyDescent="0.35">
      <c r="A84" s="7" t="s">
        <v>97</v>
      </c>
      <c r="B84" s="5" t="s">
        <v>380</v>
      </c>
      <c r="C84" s="5" t="s">
        <v>243</v>
      </c>
      <c r="D84" s="8">
        <v>36</v>
      </c>
      <c r="E84" s="6">
        <v>7500</v>
      </c>
      <c r="F84" s="6">
        <f t="shared" si="14"/>
        <v>270000</v>
      </c>
      <c r="G84" s="6"/>
      <c r="H84" s="6"/>
      <c r="I84" s="6">
        <f>F84/3</f>
        <v>90000</v>
      </c>
      <c r="J84" s="6">
        <f>F84/3</f>
        <v>90000</v>
      </c>
      <c r="K84" s="6">
        <f>F84/3</f>
        <v>90000</v>
      </c>
      <c r="L84" s="6"/>
    </row>
    <row r="85" spans="1:12" ht="75" x14ac:dyDescent="0.35">
      <c r="A85" s="7" t="s">
        <v>98</v>
      </c>
      <c r="B85" s="5" t="s">
        <v>381</v>
      </c>
      <c r="C85" s="5" t="s">
        <v>203</v>
      </c>
      <c r="D85" s="8">
        <v>4</v>
      </c>
      <c r="E85" s="6">
        <v>25000</v>
      </c>
      <c r="F85" s="6">
        <f t="shared" ref="F85" si="18">E85*D85</f>
        <v>100000</v>
      </c>
      <c r="G85" s="6"/>
      <c r="H85" s="6"/>
      <c r="I85" s="6">
        <f>F85/4</f>
        <v>25000</v>
      </c>
      <c r="J85" s="6">
        <f>F85/4</f>
        <v>25000</v>
      </c>
      <c r="K85" s="6">
        <f>F85/4</f>
        <v>25000</v>
      </c>
      <c r="L85" s="6">
        <f>F85/4</f>
        <v>25000</v>
      </c>
    </row>
    <row r="86" spans="1:12" ht="75" x14ac:dyDescent="0.35">
      <c r="A86" s="7" t="s">
        <v>99</v>
      </c>
      <c r="B86" s="5" t="s">
        <v>244</v>
      </c>
      <c r="C86" s="5" t="s">
        <v>201</v>
      </c>
      <c r="D86" s="8">
        <v>140</v>
      </c>
      <c r="E86" s="6">
        <v>950</v>
      </c>
      <c r="F86" s="6">
        <f t="shared" si="14"/>
        <v>133000</v>
      </c>
      <c r="G86" s="6">
        <f>F86/4</f>
        <v>33250</v>
      </c>
      <c r="H86" s="6">
        <f>F86/4*3</f>
        <v>99750</v>
      </c>
      <c r="I86" s="6"/>
      <c r="J86" s="6"/>
      <c r="K86" s="6"/>
      <c r="L86" s="6"/>
    </row>
    <row r="87" spans="1:12" ht="62.5" x14ac:dyDescent="0.35">
      <c r="A87" s="7" t="s">
        <v>100</v>
      </c>
      <c r="B87" s="5" t="s">
        <v>245</v>
      </c>
      <c r="C87" s="5" t="s">
        <v>205</v>
      </c>
      <c r="D87" s="8">
        <v>12</v>
      </c>
      <c r="E87" s="6">
        <v>1500</v>
      </c>
      <c r="F87" s="6">
        <f t="shared" si="14"/>
        <v>18000</v>
      </c>
      <c r="G87" s="6"/>
      <c r="H87" s="6">
        <f>F87/1</f>
        <v>18000</v>
      </c>
      <c r="I87" s="6"/>
      <c r="J87" s="6"/>
      <c r="K87" s="6"/>
      <c r="L87" s="6"/>
    </row>
    <row r="88" spans="1:12" ht="50" x14ac:dyDescent="0.35">
      <c r="A88" s="7" t="s">
        <v>101</v>
      </c>
      <c r="B88" s="5" t="s">
        <v>246</v>
      </c>
      <c r="C88" s="5" t="s">
        <v>201</v>
      </c>
      <c r="D88" s="8">
        <v>72</v>
      </c>
      <c r="E88" s="6">
        <f>62+150+200</f>
        <v>412</v>
      </c>
      <c r="F88" s="6">
        <f t="shared" si="14"/>
        <v>29664</v>
      </c>
      <c r="G88" s="6">
        <f>F88/4</f>
        <v>7416</v>
      </c>
      <c r="H88" s="6">
        <f>F88/4*3</f>
        <v>22248</v>
      </c>
      <c r="I88" s="6"/>
      <c r="J88" s="6"/>
      <c r="K88" s="6"/>
      <c r="L88" s="6"/>
    </row>
    <row r="89" spans="1:12" ht="113.15" customHeight="1" x14ac:dyDescent="0.35">
      <c r="A89" s="7" t="s">
        <v>102</v>
      </c>
      <c r="B89" s="3" t="s">
        <v>363</v>
      </c>
      <c r="C89" s="5" t="s">
        <v>247</v>
      </c>
      <c r="D89" s="8">
        <v>16</v>
      </c>
      <c r="E89" s="6">
        <v>80500</v>
      </c>
      <c r="F89" s="6">
        <f>E89*D89+(E89*D89*0.15)</f>
        <v>1481200</v>
      </c>
      <c r="G89" s="6"/>
      <c r="H89" s="6"/>
      <c r="I89" s="6">
        <f>F89/2</f>
        <v>740600</v>
      </c>
      <c r="J89" s="6">
        <f>F89/2</f>
        <v>740600</v>
      </c>
      <c r="K89" s="6"/>
      <c r="L89" s="6"/>
    </row>
    <row r="90" spans="1:12" ht="34.5" customHeight="1" x14ac:dyDescent="0.35">
      <c r="A90" s="7" t="s">
        <v>103</v>
      </c>
      <c r="B90" s="3" t="s">
        <v>248</v>
      </c>
      <c r="C90" s="5" t="s">
        <v>203</v>
      </c>
      <c r="D90" s="8">
        <v>2</v>
      </c>
      <c r="E90" s="6">
        <v>10000</v>
      </c>
      <c r="F90" s="6">
        <f t="shared" si="14"/>
        <v>20000</v>
      </c>
      <c r="G90" s="6"/>
      <c r="H90" s="6"/>
      <c r="I90" s="6"/>
      <c r="J90" s="6"/>
      <c r="K90" s="6">
        <f>F90/2</f>
        <v>10000</v>
      </c>
      <c r="L90" s="6">
        <f>F90/2</f>
        <v>10000</v>
      </c>
    </row>
    <row r="91" spans="1:12" ht="63.65" customHeight="1" x14ac:dyDescent="0.35">
      <c r="A91" s="7" t="s">
        <v>104</v>
      </c>
      <c r="B91" s="3" t="s">
        <v>249</v>
      </c>
      <c r="C91" s="5" t="s">
        <v>214</v>
      </c>
      <c r="D91" s="8">
        <v>8</v>
      </c>
      <c r="E91" s="6">
        <v>20000</v>
      </c>
      <c r="F91" s="6">
        <f t="shared" si="14"/>
        <v>160000</v>
      </c>
      <c r="G91" s="6"/>
      <c r="H91" s="6"/>
      <c r="I91" s="6">
        <f>F91/2</f>
        <v>80000</v>
      </c>
      <c r="J91" s="6">
        <f>F91/2</f>
        <v>80000</v>
      </c>
      <c r="K91" s="6"/>
      <c r="L91" s="6"/>
    </row>
    <row r="92" spans="1:12" ht="66" customHeight="1" x14ac:dyDescent="0.35">
      <c r="A92" s="7" t="s">
        <v>105</v>
      </c>
      <c r="B92" s="3" t="s">
        <v>419</v>
      </c>
      <c r="C92" s="5" t="s">
        <v>418</v>
      </c>
      <c r="D92" s="8">
        <v>16000</v>
      </c>
      <c r="E92" s="6">
        <v>105</v>
      </c>
      <c r="F92" s="6">
        <f>E92*D92+384000</f>
        <v>2064000</v>
      </c>
      <c r="G92" s="6"/>
      <c r="H92" s="6"/>
      <c r="I92" s="6">
        <f>F92/2</f>
        <v>1032000</v>
      </c>
      <c r="J92" s="6">
        <f>F92/2</f>
        <v>1032000</v>
      </c>
      <c r="K92" s="6"/>
      <c r="L92" s="6"/>
    </row>
    <row r="93" spans="1:12" ht="64.75" customHeight="1" x14ac:dyDescent="0.35">
      <c r="A93" s="7" t="s">
        <v>106</v>
      </c>
      <c r="B93" s="3" t="s">
        <v>250</v>
      </c>
      <c r="C93" s="5" t="s">
        <v>212</v>
      </c>
      <c r="D93" s="8">
        <v>320</v>
      </c>
      <c r="E93" s="6">
        <v>600</v>
      </c>
      <c r="F93" s="6">
        <f>E93*D93+96000</f>
        <v>288000</v>
      </c>
      <c r="G93" s="6"/>
      <c r="H93" s="6"/>
      <c r="I93" s="6">
        <f>F93/2</f>
        <v>144000</v>
      </c>
      <c r="J93" s="6">
        <f>F93/2</f>
        <v>144000</v>
      </c>
      <c r="K93" s="6"/>
      <c r="L93" s="6"/>
    </row>
    <row r="94" spans="1:12" ht="25" x14ac:dyDescent="0.35">
      <c r="A94" s="7" t="s">
        <v>107</v>
      </c>
      <c r="B94" s="3" t="s">
        <v>417</v>
      </c>
      <c r="C94" s="5" t="s">
        <v>203</v>
      </c>
      <c r="D94" s="8">
        <v>2</v>
      </c>
      <c r="E94" s="6">
        <v>20000</v>
      </c>
      <c r="F94" s="6">
        <f t="shared" si="14"/>
        <v>40000</v>
      </c>
      <c r="G94" s="6"/>
      <c r="H94" s="6"/>
      <c r="I94" s="6"/>
      <c r="J94" s="6"/>
      <c r="K94" s="6">
        <f>F94/2</f>
        <v>20000</v>
      </c>
      <c r="L94" s="6">
        <f>F94/2</f>
        <v>20000</v>
      </c>
    </row>
    <row r="95" spans="1:12" ht="50" x14ac:dyDescent="0.35">
      <c r="A95" s="7" t="s">
        <v>108</v>
      </c>
      <c r="B95" s="5" t="s">
        <v>251</v>
      </c>
      <c r="C95" s="5" t="s">
        <v>252</v>
      </c>
      <c r="D95" s="8">
        <v>12</v>
      </c>
      <c r="E95" s="6">
        <v>3000</v>
      </c>
      <c r="F95" s="6">
        <f t="shared" si="14"/>
        <v>36000</v>
      </c>
      <c r="G95" s="6"/>
      <c r="H95" s="6"/>
      <c r="I95" s="6">
        <f>F95/1</f>
        <v>36000</v>
      </c>
      <c r="J95" s="6"/>
      <c r="K95" s="6"/>
      <c r="L95" s="6"/>
    </row>
    <row r="96" spans="1:12" ht="137.5" x14ac:dyDescent="0.35">
      <c r="A96" s="7" t="s">
        <v>109</v>
      </c>
      <c r="B96" s="5" t="s">
        <v>253</v>
      </c>
      <c r="C96" s="5" t="s">
        <v>254</v>
      </c>
      <c r="D96" s="8">
        <v>144</v>
      </c>
      <c r="E96" s="6">
        <f>2900+(0.15*2900)</f>
        <v>3335</v>
      </c>
      <c r="F96" s="6">
        <f t="shared" si="14"/>
        <v>480240</v>
      </c>
      <c r="G96" s="6"/>
      <c r="H96" s="6"/>
      <c r="I96" s="6">
        <f>F96/1</f>
        <v>480240</v>
      </c>
      <c r="J96" s="6"/>
      <c r="K96" s="6"/>
      <c r="L96" s="6"/>
    </row>
    <row r="97" spans="1:12" ht="25" x14ac:dyDescent="0.35">
      <c r="A97" s="7" t="s">
        <v>110</v>
      </c>
      <c r="B97" s="3" t="s">
        <v>255</v>
      </c>
      <c r="C97" s="5" t="s">
        <v>256</v>
      </c>
      <c r="D97" s="8">
        <v>144</v>
      </c>
      <c r="E97" s="6">
        <v>500</v>
      </c>
      <c r="F97" s="6">
        <f>E97*D97*3</f>
        <v>216000</v>
      </c>
      <c r="G97" s="6"/>
      <c r="H97" s="6"/>
      <c r="I97" s="6"/>
      <c r="J97" s="6">
        <f>F97/3</f>
        <v>72000</v>
      </c>
      <c r="K97" s="6">
        <f>F97/3</f>
        <v>72000</v>
      </c>
      <c r="L97" s="6">
        <f>F97/3</f>
        <v>72000</v>
      </c>
    </row>
    <row r="98" spans="1:12" ht="113" x14ac:dyDescent="0.35">
      <c r="A98" s="7" t="s">
        <v>112</v>
      </c>
      <c r="B98" s="5" t="s">
        <v>257</v>
      </c>
      <c r="C98" s="5" t="s">
        <v>258</v>
      </c>
      <c r="D98" s="8">
        <v>48</v>
      </c>
      <c r="E98" s="6">
        <v>8000</v>
      </c>
      <c r="F98" s="6">
        <f>E98*D98 + (384000)</f>
        <v>768000</v>
      </c>
      <c r="G98" s="6"/>
      <c r="H98" s="6"/>
      <c r="I98" s="6">
        <f>F98/2</f>
        <v>384000</v>
      </c>
      <c r="J98" s="6">
        <f>F98/2</f>
        <v>384000</v>
      </c>
      <c r="K98" s="6"/>
      <c r="L98" s="6"/>
    </row>
    <row r="99" spans="1:12" ht="57" customHeight="1" x14ac:dyDescent="0.35">
      <c r="A99" s="7" t="s">
        <v>113</v>
      </c>
      <c r="B99" s="5" t="s">
        <v>259</v>
      </c>
      <c r="C99" s="5" t="s">
        <v>260</v>
      </c>
      <c r="D99" s="8">
        <v>48</v>
      </c>
      <c r="E99" s="6">
        <f>2000+(0.15*2000)</f>
        <v>2300</v>
      </c>
      <c r="F99" s="6">
        <f t="shared" si="14"/>
        <v>110400</v>
      </c>
      <c r="G99" s="6"/>
      <c r="H99" s="6"/>
      <c r="I99" s="6">
        <f>F99/2</f>
        <v>55200</v>
      </c>
      <c r="J99" s="6">
        <f>F99/2</f>
        <v>55200</v>
      </c>
      <c r="K99" s="6"/>
      <c r="L99" s="6"/>
    </row>
    <row r="100" spans="1:12" ht="29.15" customHeight="1" x14ac:dyDescent="0.35">
      <c r="A100" s="7" t="s">
        <v>114</v>
      </c>
      <c r="B100" s="3" t="s">
        <v>261</v>
      </c>
      <c r="C100" s="5" t="s">
        <v>203</v>
      </c>
      <c r="D100" s="8">
        <v>2</v>
      </c>
      <c r="E100" s="6">
        <v>12000</v>
      </c>
      <c r="F100" s="6">
        <f t="shared" si="14"/>
        <v>24000</v>
      </c>
      <c r="G100" s="6"/>
      <c r="H100" s="6"/>
      <c r="I100" s="6"/>
      <c r="J100" s="6"/>
      <c r="K100" s="6">
        <f>F100/2</f>
        <v>12000</v>
      </c>
      <c r="L100" s="6">
        <f>F100/2</f>
        <v>12000</v>
      </c>
    </row>
    <row r="101" spans="1:12" ht="34.5" customHeight="1" x14ac:dyDescent="0.35">
      <c r="A101" s="7" t="s">
        <v>115</v>
      </c>
      <c r="B101" s="3" t="s">
        <v>388</v>
      </c>
      <c r="C101" s="5" t="s">
        <v>387</v>
      </c>
      <c r="D101" s="8">
        <v>4</v>
      </c>
      <c r="E101" s="6">
        <v>5000</v>
      </c>
      <c r="F101" s="6">
        <f t="shared" si="14"/>
        <v>20000</v>
      </c>
      <c r="G101" s="6"/>
      <c r="H101" s="6"/>
      <c r="I101" s="6">
        <f>F101/2</f>
        <v>10000</v>
      </c>
      <c r="J101" s="6">
        <f>F101/2</f>
        <v>10000</v>
      </c>
      <c r="K101" s="6"/>
      <c r="L101" s="6"/>
    </row>
    <row r="102" spans="1:12" ht="43" customHeight="1" x14ac:dyDescent="0.35">
      <c r="A102" s="7" t="s">
        <v>116</v>
      </c>
      <c r="B102" s="3" t="s">
        <v>443</v>
      </c>
      <c r="C102" s="5" t="s">
        <v>201</v>
      </c>
      <c r="D102" s="8">
        <v>150</v>
      </c>
      <c r="E102" s="6">
        <v>400</v>
      </c>
      <c r="F102" s="6">
        <f t="shared" ref="F102:F113" si="19">D102*E102</f>
        <v>60000</v>
      </c>
      <c r="G102" s="6"/>
      <c r="H102" s="6">
        <f>F102/1</f>
        <v>60000</v>
      </c>
      <c r="I102" s="6"/>
      <c r="J102" s="6"/>
      <c r="K102" s="6"/>
      <c r="L102" s="6"/>
    </row>
    <row r="103" spans="1:12" ht="43" customHeight="1" x14ac:dyDescent="0.35">
      <c r="A103" s="7" t="s">
        <v>444</v>
      </c>
      <c r="B103" s="3" t="s">
        <v>445</v>
      </c>
      <c r="C103" s="5" t="s">
        <v>201</v>
      </c>
      <c r="D103" s="8">
        <v>250</v>
      </c>
      <c r="E103" s="6">
        <v>400</v>
      </c>
      <c r="F103" s="6">
        <f t="shared" si="19"/>
        <v>100000</v>
      </c>
      <c r="G103" s="6">
        <f>F103*0.2</f>
        <v>20000</v>
      </c>
      <c r="H103" s="6">
        <f>F103*0.4</f>
        <v>40000</v>
      </c>
      <c r="I103" s="6">
        <f>F103*0.1</f>
        <v>10000</v>
      </c>
      <c r="J103" s="6">
        <f>F103*0.1</f>
        <v>10000</v>
      </c>
      <c r="K103" s="6">
        <f>F103*0.1</f>
        <v>10000</v>
      </c>
      <c r="L103" s="6">
        <f>F103*0.1</f>
        <v>10000</v>
      </c>
    </row>
    <row r="104" spans="1:12" ht="74.150000000000006" customHeight="1" x14ac:dyDescent="0.35">
      <c r="A104" s="7" t="s">
        <v>120</v>
      </c>
      <c r="B104" s="3" t="s">
        <v>447</v>
      </c>
      <c r="C104" s="5" t="s">
        <v>364</v>
      </c>
      <c r="D104" s="8">
        <v>6</v>
      </c>
      <c r="E104" s="6">
        <v>3000</v>
      </c>
      <c r="F104" s="6">
        <f t="shared" si="19"/>
        <v>18000</v>
      </c>
      <c r="G104" s="6"/>
      <c r="H104" s="6">
        <f>F104</f>
        <v>18000</v>
      </c>
      <c r="I104" s="6"/>
      <c r="J104" s="6"/>
      <c r="K104" s="6"/>
      <c r="L104" s="6"/>
    </row>
    <row r="105" spans="1:12" ht="100" x14ac:dyDescent="0.35">
      <c r="A105" s="7" t="s">
        <v>123</v>
      </c>
      <c r="B105" s="3" t="s">
        <v>262</v>
      </c>
      <c r="C105" s="5" t="s">
        <v>203</v>
      </c>
      <c r="D105" s="8">
        <v>4</v>
      </c>
      <c r="E105" s="6">
        <v>240000</v>
      </c>
      <c r="F105" s="6">
        <f t="shared" si="19"/>
        <v>960000</v>
      </c>
      <c r="G105" s="6"/>
      <c r="H105" s="6"/>
      <c r="I105" s="6">
        <f>F105/4</f>
        <v>240000</v>
      </c>
      <c r="J105" s="6">
        <f>F105/4</f>
        <v>240000</v>
      </c>
      <c r="K105" s="6">
        <f>F105/4</f>
        <v>240000</v>
      </c>
      <c r="L105" s="6">
        <f>F105/4</f>
        <v>240000</v>
      </c>
    </row>
    <row r="106" spans="1:12" ht="111" customHeight="1" x14ac:dyDescent="0.35">
      <c r="A106" s="7" t="s">
        <v>126</v>
      </c>
      <c r="B106" s="3" t="s">
        <v>428</v>
      </c>
      <c r="C106" s="5" t="s">
        <v>263</v>
      </c>
      <c r="D106" s="8">
        <v>240</v>
      </c>
      <c r="E106" s="6">
        <v>25000</v>
      </c>
      <c r="F106" s="6">
        <f t="shared" si="19"/>
        <v>6000000</v>
      </c>
      <c r="G106" s="6"/>
      <c r="H106" s="6"/>
      <c r="I106" s="6">
        <f>F106/4</f>
        <v>1500000</v>
      </c>
      <c r="J106" s="6">
        <f>F106/4</f>
        <v>1500000</v>
      </c>
      <c r="K106" s="6">
        <f>F106/4</f>
        <v>1500000</v>
      </c>
      <c r="L106" s="6">
        <f>F106/4</f>
        <v>1500000</v>
      </c>
    </row>
    <row r="107" spans="1:12" ht="25" x14ac:dyDescent="0.35">
      <c r="A107" s="7" t="s">
        <v>127</v>
      </c>
      <c r="B107" s="3" t="s">
        <v>264</v>
      </c>
      <c r="C107" s="5" t="s">
        <v>265</v>
      </c>
      <c r="D107" s="8">
        <v>1</v>
      </c>
      <c r="E107" s="6">
        <v>19000</v>
      </c>
      <c r="F107" s="6">
        <f t="shared" si="19"/>
        <v>19000</v>
      </c>
      <c r="G107" s="6"/>
      <c r="H107" s="6"/>
      <c r="I107" s="6">
        <v>19000</v>
      </c>
      <c r="J107" s="6"/>
      <c r="K107" s="6"/>
      <c r="L107" s="6"/>
    </row>
    <row r="108" spans="1:12" ht="75" x14ac:dyDescent="0.35">
      <c r="A108" s="7" t="s">
        <v>425</v>
      </c>
      <c r="B108" s="3" t="s">
        <v>427</v>
      </c>
      <c r="C108" s="5" t="s">
        <v>426</v>
      </c>
      <c r="D108" s="8">
        <v>1</v>
      </c>
      <c r="E108" s="6">
        <v>600000</v>
      </c>
      <c r="F108" s="6">
        <f t="shared" si="19"/>
        <v>600000</v>
      </c>
      <c r="G108" s="6">
        <f>F108/4</f>
        <v>150000</v>
      </c>
      <c r="H108" s="6">
        <f>F108/4</f>
        <v>150000</v>
      </c>
      <c r="I108" s="6">
        <f>F108/4</f>
        <v>150000</v>
      </c>
      <c r="J108" s="6">
        <f>F108/4</f>
        <v>150000</v>
      </c>
      <c r="K108" s="6"/>
      <c r="L108" s="6"/>
    </row>
    <row r="109" spans="1:12" ht="62.5" x14ac:dyDescent="0.35">
      <c r="A109" s="7" t="s">
        <v>128</v>
      </c>
      <c r="B109" s="3" t="s">
        <v>365</v>
      </c>
      <c r="C109" s="5" t="s">
        <v>266</v>
      </c>
      <c r="D109" s="8">
        <v>12</v>
      </c>
      <c r="E109" s="6">
        <v>1500</v>
      </c>
      <c r="F109" s="6">
        <f t="shared" si="19"/>
        <v>18000</v>
      </c>
      <c r="G109" s="6"/>
      <c r="H109" s="6"/>
      <c r="I109" s="6">
        <f>F109/1</f>
        <v>18000</v>
      </c>
      <c r="J109" s="6"/>
      <c r="K109" s="6"/>
      <c r="L109" s="6"/>
    </row>
    <row r="110" spans="1:12" ht="62.5" x14ac:dyDescent="0.35">
      <c r="A110" s="7" t="s">
        <v>130</v>
      </c>
      <c r="B110" s="5" t="s">
        <v>457</v>
      </c>
      <c r="C110" s="5" t="s">
        <v>201</v>
      </c>
      <c r="D110" s="8">
        <v>65</v>
      </c>
      <c r="E110" s="6">
        <v>400</v>
      </c>
      <c r="F110" s="6">
        <f t="shared" si="19"/>
        <v>26000</v>
      </c>
      <c r="G110" s="6"/>
      <c r="H110" s="6">
        <f>F110</f>
        <v>26000</v>
      </c>
      <c r="I110" s="6"/>
      <c r="J110" s="6"/>
      <c r="K110" s="6"/>
      <c r="L110" s="6"/>
    </row>
    <row r="111" spans="1:12" ht="50" x14ac:dyDescent="0.35">
      <c r="A111" s="7" t="s">
        <v>131</v>
      </c>
      <c r="B111" s="5" t="s">
        <v>404</v>
      </c>
      <c r="C111" s="5" t="s">
        <v>201</v>
      </c>
      <c r="D111" s="8">
        <v>5</v>
      </c>
      <c r="E111" s="6">
        <f>62+150+200</f>
        <v>412</v>
      </c>
      <c r="F111" s="6">
        <f t="shared" si="19"/>
        <v>2060</v>
      </c>
      <c r="G111" s="6"/>
      <c r="H111" s="6">
        <f>F111</f>
        <v>2060</v>
      </c>
      <c r="I111" s="6"/>
      <c r="J111" s="6"/>
      <c r="K111" s="6"/>
      <c r="L111" s="6"/>
    </row>
    <row r="112" spans="1:12" ht="61" customHeight="1" x14ac:dyDescent="0.35">
      <c r="A112" s="7" t="s">
        <v>132</v>
      </c>
      <c r="B112" s="5" t="s">
        <v>267</v>
      </c>
      <c r="C112" s="5" t="s">
        <v>268</v>
      </c>
      <c r="D112" s="8">
        <v>4</v>
      </c>
      <c r="E112" s="6">
        <v>1500</v>
      </c>
      <c r="F112" s="6">
        <f t="shared" si="19"/>
        <v>6000</v>
      </c>
      <c r="G112" s="6"/>
      <c r="H112" s="6">
        <f>F112</f>
        <v>6000</v>
      </c>
      <c r="I112" s="6"/>
      <c r="J112" s="6"/>
      <c r="K112" s="6"/>
      <c r="L112" s="6"/>
    </row>
    <row r="113" spans="1:12" ht="224.5" customHeight="1" x14ac:dyDescent="0.35">
      <c r="A113" s="7" t="s">
        <v>133</v>
      </c>
      <c r="B113" s="3" t="s">
        <v>456</v>
      </c>
      <c r="C113" s="5" t="s">
        <v>201</v>
      </c>
      <c r="D113" s="8">
        <v>150</v>
      </c>
      <c r="E113" s="6">
        <v>400</v>
      </c>
      <c r="F113" s="6">
        <f t="shared" si="19"/>
        <v>60000</v>
      </c>
      <c r="G113" s="6"/>
      <c r="H113" s="6">
        <f>F113/1</f>
        <v>60000</v>
      </c>
      <c r="I113" s="6"/>
      <c r="J113" s="6"/>
      <c r="K113" s="6"/>
      <c r="L113" s="6"/>
    </row>
    <row r="114" spans="1:12" ht="87.5" x14ac:dyDescent="0.35">
      <c r="A114" s="7" t="s">
        <v>134</v>
      </c>
      <c r="B114" s="3" t="s">
        <v>454</v>
      </c>
      <c r="C114" s="5" t="s">
        <v>201</v>
      </c>
      <c r="D114" s="8">
        <v>150</v>
      </c>
      <c r="E114" s="6">
        <v>400</v>
      </c>
      <c r="F114" s="6">
        <f t="shared" ref="F114" si="20">D114*E114</f>
        <v>60000</v>
      </c>
      <c r="G114" s="6">
        <v>30000</v>
      </c>
      <c r="H114" s="6">
        <v>30000</v>
      </c>
      <c r="I114" s="6"/>
      <c r="J114" s="6"/>
      <c r="K114" s="6"/>
      <c r="L114" s="6"/>
    </row>
    <row r="115" spans="1:12" x14ac:dyDescent="0.35">
      <c r="A115" s="146"/>
    </row>
    <row r="116" spans="1:12" ht="62.5" x14ac:dyDescent="0.35">
      <c r="A116" s="7" t="s">
        <v>140</v>
      </c>
      <c r="B116" s="5" t="s">
        <v>455</v>
      </c>
      <c r="C116" s="5" t="s">
        <v>446</v>
      </c>
      <c r="D116" s="8">
        <v>1</v>
      </c>
      <c r="E116" s="68">
        <v>279500</v>
      </c>
      <c r="F116" s="68">
        <v>279500</v>
      </c>
      <c r="G116" s="68">
        <v>74000</v>
      </c>
      <c r="H116" s="68">
        <v>43800</v>
      </c>
      <c r="I116" s="68">
        <v>45800</v>
      </c>
      <c r="J116" s="68">
        <v>41800</v>
      </c>
      <c r="K116" s="68">
        <v>41800</v>
      </c>
      <c r="L116" s="68">
        <v>32300</v>
      </c>
    </row>
    <row r="117" spans="1:12" x14ac:dyDescent="0.35">
      <c r="A117" s="7" t="s">
        <v>142</v>
      </c>
      <c r="B117" s="5" t="s">
        <v>269</v>
      </c>
      <c r="C117" s="5" t="s">
        <v>203</v>
      </c>
      <c r="D117" s="8">
        <v>6</v>
      </c>
      <c r="E117" s="69">
        <v>55000</v>
      </c>
      <c r="F117" s="68">
        <f t="shared" ref="F117" si="21">D117*E117</f>
        <v>330000</v>
      </c>
      <c r="G117" s="68">
        <f t="shared" ref="G117:L117" si="22">$F$120/6</f>
        <v>55000</v>
      </c>
      <c r="H117" s="68">
        <f t="shared" si="22"/>
        <v>55000</v>
      </c>
      <c r="I117" s="68">
        <f t="shared" si="22"/>
        <v>55000</v>
      </c>
      <c r="J117" s="68">
        <f t="shared" si="22"/>
        <v>55000</v>
      </c>
      <c r="K117" s="68">
        <f t="shared" si="22"/>
        <v>55000</v>
      </c>
      <c r="L117" s="68">
        <f t="shared" si="22"/>
        <v>55000</v>
      </c>
    </row>
    <row r="118" spans="1:12" ht="50" x14ac:dyDescent="0.35">
      <c r="A118" s="7" t="s">
        <v>144</v>
      </c>
      <c r="B118" s="5" t="s">
        <v>270</v>
      </c>
      <c r="C118" s="5" t="s">
        <v>203</v>
      </c>
      <c r="D118" s="8">
        <v>6</v>
      </c>
      <c r="E118" s="68">
        <f>F118/6</f>
        <v>4166.666666666667</v>
      </c>
      <c r="F118" s="68">
        <v>25000</v>
      </c>
      <c r="G118" s="68">
        <f>$F118/6</f>
        <v>4166.666666666667</v>
      </c>
      <c r="H118" s="68">
        <f t="shared" ref="H118:L118" si="23">$F118/6</f>
        <v>4166.666666666667</v>
      </c>
      <c r="I118" s="68">
        <f t="shared" si="23"/>
        <v>4166.666666666667</v>
      </c>
      <c r="J118" s="68">
        <f t="shared" si="23"/>
        <v>4166.666666666667</v>
      </c>
      <c r="K118" s="68">
        <f t="shared" si="23"/>
        <v>4166.666666666667</v>
      </c>
      <c r="L118" s="68">
        <f t="shared" si="23"/>
        <v>4166.666666666667</v>
      </c>
    </row>
    <row r="119" spans="1:12" ht="60" customHeight="1" x14ac:dyDescent="0.35">
      <c r="A119" s="7" t="s">
        <v>145</v>
      </c>
      <c r="B119" s="5" t="s">
        <v>466</v>
      </c>
      <c r="C119" s="5" t="s">
        <v>203</v>
      </c>
      <c r="D119" s="8">
        <v>6</v>
      </c>
      <c r="E119" s="69">
        <v>27500</v>
      </c>
      <c r="F119" s="68">
        <f t="shared" ref="F119" si="24">D119*E119</f>
        <v>165000</v>
      </c>
      <c r="G119" s="68">
        <f t="shared" ref="G119:L119" si="25">$F$119/6</f>
        <v>27500</v>
      </c>
      <c r="H119" s="68">
        <f t="shared" si="25"/>
        <v>27500</v>
      </c>
      <c r="I119" s="68">
        <f t="shared" si="25"/>
        <v>27500</v>
      </c>
      <c r="J119" s="68">
        <f t="shared" si="25"/>
        <v>27500</v>
      </c>
      <c r="K119" s="68">
        <f t="shared" si="25"/>
        <v>27500</v>
      </c>
      <c r="L119" s="68">
        <f t="shared" si="25"/>
        <v>27500</v>
      </c>
    </row>
    <row r="120" spans="1:12" ht="14.15" customHeight="1" x14ac:dyDescent="0.35">
      <c r="A120" s="7" t="s">
        <v>147</v>
      </c>
      <c r="B120" s="5" t="s">
        <v>459</v>
      </c>
      <c r="C120" s="5" t="s">
        <v>203</v>
      </c>
      <c r="D120" s="8">
        <v>6</v>
      </c>
      <c r="E120" s="69">
        <v>55000</v>
      </c>
      <c r="F120" s="68">
        <f t="shared" ref="F120" si="26">D120*E120</f>
        <v>330000</v>
      </c>
      <c r="G120" s="68">
        <f t="shared" ref="G120:L120" si="27">$F$120/6</f>
        <v>55000</v>
      </c>
      <c r="H120" s="68">
        <f t="shared" si="27"/>
        <v>55000</v>
      </c>
      <c r="I120" s="68">
        <f t="shared" si="27"/>
        <v>55000</v>
      </c>
      <c r="J120" s="68">
        <f t="shared" si="27"/>
        <v>55000</v>
      </c>
      <c r="K120" s="68">
        <f t="shared" si="27"/>
        <v>55000</v>
      </c>
      <c r="L120" s="68">
        <f t="shared" si="27"/>
        <v>55000</v>
      </c>
    </row>
    <row r="121" spans="1:12" ht="53.15" customHeight="1" x14ac:dyDescent="0.35">
      <c r="A121" s="7" t="s">
        <v>149</v>
      </c>
      <c r="B121" s="5" t="s">
        <v>451</v>
      </c>
      <c r="C121" s="5" t="s">
        <v>271</v>
      </c>
      <c r="D121" s="8">
        <v>1</v>
      </c>
      <c r="E121" s="68">
        <v>315000</v>
      </c>
      <c r="F121" s="68">
        <v>315000</v>
      </c>
      <c r="G121" s="68">
        <v>105000</v>
      </c>
      <c r="H121" s="68"/>
      <c r="I121" s="68">
        <v>105000</v>
      </c>
      <c r="J121" s="68"/>
      <c r="K121" s="68"/>
      <c r="L121" s="68">
        <v>105000</v>
      </c>
    </row>
    <row r="122" spans="1:12" x14ac:dyDescent="0.35">
      <c r="A122" s="146"/>
    </row>
    <row r="123" spans="1:12" x14ac:dyDescent="0.35">
      <c r="A123" s="7" t="s">
        <v>272</v>
      </c>
      <c r="B123" s="5" t="s">
        <v>273</v>
      </c>
      <c r="C123" s="5" t="s">
        <v>203</v>
      </c>
      <c r="D123" s="8">
        <v>6</v>
      </c>
      <c r="E123" s="69">
        <v>75000</v>
      </c>
      <c r="F123" s="70">
        <f>D123*E123</f>
        <v>450000</v>
      </c>
      <c r="G123" s="69">
        <f>$F123/$D123</f>
        <v>75000</v>
      </c>
      <c r="H123" s="69">
        <f t="shared" ref="H123:K124" si="28">$F123/$D123</f>
        <v>75000</v>
      </c>
      <c r="I123" s="69">
        <f t="shared" si="28"/>
        <v>75000</v>
      </c>
      <c r="J123" s="69">
        <f t="shared" si="28"/>
        <v>75000</v>
      </c>
      <c r="K123" s="69">
        <f t="shared" si="28"/>
        <v>75000</v>
      </c>
      <c r="L123" s="69">
        <f>$E$123</f>
        <v>75000</v>
      </c>
    </row>
    <row r="124" spans="1:12" x14ac:dyDescent="0.35">
      <c r="A124" s="7" t="s">
        <v>274</v>
      </c>
      <c r="B124" s="5" t="s">
        <v>275</v>
      </c>
      <c r="C124" s="5" t="s">
        <v>203</v>
      </c>
      <c r="D124" s="8">
        <v>2</v>
      </c>
      <c r="E124" s="69">
        <v>55000</v>
      </c>
      <c r="F124" s="70">
        <f t="shared" ref="F124:F126" si="29">D124*E124</f>
        <v>110000</v>
      </c>
      <c r="G124" s="69">
        <f>$F124/$D124</f>
        <v>55000</v>
      </c>
      <c r="H124" s="69">
        <f t="shared" si="28"/>
        <v>55000</v>
      </c>
      <c r="I124" s="69"/>
      <c r="J124" s="69"/>
      <c r="K124" s="69"/>
      <c r="L124" s="69"/>
    </row>
    <row r="125" spans="1:12" x14ac:dyDescent="0.35">
      <c r="A125" s="7" t="s">
        <v>159</v>
      </c>
      <c r="B125" s="5" t="s">
        <v>276</v>
      </c>
      <c r="C125" s="5" t="s">
        <v>203</v>
      </c>
      <c r="D125" s="8">
        <v>6</v>
      </c>
      <c r="E125" s="69">
        <v>55000</v>
      </c>
      <c r="F125" s="70">
        <f t="shared" si="29"/>
        <v>330000</v>
      </c>
      <c r="G125" s="69">
        <f t="shared" ref="G125:L126" si="30">$F125/$D125</f>
        <v>55000</v>
      </c>
      <c r="H125" s="69">
        <f t="shared" si="30"/>
        <v>55000</v>
      </c>
      <c r="I125" s="69">
        <f t="shared" si="30"/>
        <v>55000</v>
      </c>
      <c r="J125" s="69">
        <f t="shared" si="30"/>
        <v>55000</v>
      </c>
      <c r="K125" s="69">
        <f t="shared" si="30"/>
        <v>55000</v>
      </c>
      <c r="L125" s="69">
        <f t="shared" si="30"/>
        <v>55000</v>
      </c>
    </row>
    <row r="126" spans="1:12" ht="25" x14ac:dyDescent="0.35">
      <c r="A126" s="7" t="s">
        <v>277</v>
      </c>
      <c r="B126" s="5" t="s">
        <v>467</v>
      </c>
      <c r="C126" s="5" t="s">
        <v>203</v>
      </c>
      <c r="D126" s="8">
        <v>6</v>
      </c>
      <c r="E126" s="69">
        <v>32500</v>
      </c>
      <c r="F126" s="70">
        <f t="shared" si="29"/>
        <v>195000</v>
      </c>
      <c r="G126" s="69">
        <f t="shared" si="30"/>
        <v>32500</v>
      </c>
      <c r="H126" s="69">
        <f t="shared" si="30"/>
        <v>32500</v>
      </c>
      <c r="I126" s="69">
        <f t="shared" si="30"/>
        <v>32500</v>
      </c>
      <c r="J126" s="69">
        <f t="shared" si="30"/>
        <v>32500</v>
      </c>
      <c r="K126" s="69">
        <f t="shared" si="30"/>
        <v>32500</v>
      </c>
      <c r="L126" s="69">
        <f t="shared" ref="L126" si="31">I126</f>
        <v>32500</v>
      </c>
    </row>
    <row r="127" spans="1:12" ht="25" x14ac:dyDescent="0.35">
      <c r="A127" s="7" t="s">
        <v>278</v>
      </c>
      <c r="B127" s="5" t="s">
        <v>279</v>
      </c>
      <c r="C127" s="5" t="s">
        <v>203</v>
      </c>
      <c r="D127" s="8">
        <v>6</v>
      </c>
      <c r="E127" s="70">
        <v>30000</v>
      </c>
      <c r="F127" s="70">
        <f t="shared" ref="F127:F132" si="32">D127*E127</f>
        <v>180000</v>
      </c>
      <c r="G127" s="69">
        <f>$E$127</f>
        <v>30000</v>
      </c>
      <c r="H127" s="69">
        <f t="shared" ref="H127:L127" si="33">$E$127</f>
        <v>30000</v>
      </c>
      <c r="I127" s="69">
        <f t="shared" si="33"/>
        <v>30000</v>
      </c>
      <c r="J127" s="69">
        <f t="shared" si="33"/>
        <v>30000</v>
      </c>
      <c r="K127" s="69">
        <f t="shared" si="33"/>
        <v>30000</v>
      </c>
      <c r="L127" s="69">
        <f t="shared" si="33"/>
        <v>30000</v>
      </c>
    </row>
    <row r="128" spans="1:12" x14ac:dyDescent="0.35">
      <c r="A128" s="7" t="s">
        <v>162</v>
      </c>
      <c r="B128" s="5" t="s">
        <v>280</v>
      </c>
      <c r="C128" s="5" t="s">
        <v>203</v>
      </c>
      <c r="D128" s="8">
        <v>6</v>
      </c>
      <c r="E128" s="69">
        <v>5000</v>
      </c>
      <c r="F128" s="70">
        <f t="shared" si="32"/>
        <v>30000</v>
      </c>
      <c r="G128" s="69">
        <v>5000</v>
      </c>
      <c r="H128" s="69">
        <v>5000</v>
      </c>
      <c r="I128" s="69">
        <v>5000</v>
      </c>
      <c r="J128" s="69">
        <v>5000</v>
      </c>
      <c r="K128" s="69">
        <v>5000</v>
      </c>
      <c r="L128" s="69">
        <v>5000</v>
      </c>
    </row>
    <row r="129" spans="1:12" x14ac:dyDescent="0.35">
      <c r="A129" s="7" t="s">
        <v>281</v>
      </c>
      <c r="B129" s="5" t="s">
        <v>282</v>
      </c>
      <c r="C129" s="5" t="s">
        <v>203</v>
      </c>
      <c r="D129" s="8">
        <v>6</v>
      </c>
      <c r="E129" s="72">
        <v>6500</v>
      </c>
      <c r="F129" s="71">
        <f t="shared" si="32"/>
        <v>39000</v>
      </c>
      <c r="G129" s="72">
        <f>$E$129</f>
        <v>6500</v>
      </c>
      <c r="H129" s="72">
        <f t="shared" ref="H129:L129" si="34">$E$129</f>
        <v>6500</v>
      </c>
      <c r="I129" s="72">
        <f t="shared" si="34"/>
        <v>6500</v>
      </c>
      <c r="J129" s="72">
        <f t="shared" si="34"/>
        <v>6500</v>
      </c>
      <c r="K129" s="72">
        <f t="shared" si="34"/>
        <v>6500</v>
      </c>
      <c r="L129" s="72">
        <f t="shared" si="34"/>
        <v>6500</v>
      </c>
    </row>
    <row r="130" spans="1:12" x14ac:dyDescent="0.35">
      <c r="A130" s="7" t="s">
        <v>283</v>
      </c>
      <c r="B130" s="5" t="s">
        <v>284</v>
      </c>
      <c r="C130" s="5" t="s">
        <v>203</v>
      </c>
      <c r="D130" s="8">
        <v>6</v>
      </c>
      <c r="E130" s="72">
        <v>5000</v>
      </c>
      <c r="F130" s="71">
        <f t="shared" si="32"/>
        <v>30000</v>
      </c>
      <c r="G130" s="72">
        <f>$E$130</f>
        <v>5000</v>
      </c>
      <c r="H130" s="72">
        <f t="shared" ref="H130:L130" si="35">$E$130</f>
        <v>5000</v>
      </c>
      <c r="I130" s="72">
        <f t="shared" si="35"/>
        <v>5000</v>
      </c>
      <c r="J130" s="72">
        <f t="shared" si="35"/>
        <v>5000</v>
      </c>
      <c r="K130" s="72">
        <f t="shared" si="35"/>
        <v>5000</v>
      </c>
      <c r="L130" s="72">
        <f t="shared" si="35"/>
        <v>5000</v>
      </c>
    </row>
    <row r="131" spans="1:12" x14ac:dyDescent="0.35">
      <c r="A131" s="7" t="s">
        <v>166</v>
      </c>
      <c r="B131" s="5" t="s">
        <v>285</v>
      </c>
      <c r="C131" s="5" t="s">
        <v>203</v>
      </c>
      <c r="D131" s="8">
        <v>6</v>
      </c>
      <c r="E131" s="72">
        <v>10000</v>
      </c>
      <c r="F131" s="71">
        <f t="shared" si="32"/>
        <v>60000</v>
      </c>
      <c r="G131" s="72">
        <f>$F$131/6</f>
        <v>10000</v>
      </c>
      <c r="H131" s="72">
        <f t="shared" ref="H131:L131" si="36">$F$131/6</f>
        <v>10000</v>
      </c>
      <c r="I131" s="72">
        <f t="shared" si="36"/>
        <v>10000</v>
      </c>
      <c r="J131" s="72">
        <f t="shared" si="36"/>
        <v>10000</v>
      </c>
      <c r="K131" s="72">
        <f t="shared" si="36"/>
        <v>10000</v>
      </c>
      <c r="L131" s="72">
        <f t="shared" si="36"/>
        <v>10000</v>
      </c>
    </row>
    <row r="132" spans="1:12" ht="25" x14ac:dyDescent="0.35">
      <c r="A132" s="7" t="s">
        <v>286</v>
      </c>
      <c r="B132" s="5" t="s">
        <v>287</v>
      </c>
      <c r="C132" s="5" t="s">
        <v>203</v>
      </c>
      <c r="D132" s="8">
        <v>6</v>
      </c>
      <c r="E132" s="72">
        <v>7000</v>
      </c>
      <c r="F132" s="71">
        <f t="shared" si="32"/>
        <v>42000</v>
      </c>
      <c r="G132" s="72">
        <f>$E$132</f>
        <v>7000</v>
      </c>
      <c r="H132" s="72">
        <f t="shared" ref="H132:L132" si="37">$E$132</f>
        <v>7000</v>
      </c>
      <c r="I132" s="72">
        <f t="shared" si="37"/>
        <v>7000</v>
      </c>
      <c r="J132" s="72">
        <f t="shared" si="37"/>
        <v>7000</v>
      </c>
      <c r="K132" s="72">
        <f t="shared" si="37"/>
        <v>7000</v>
      </c>
      <c r="L132" s="72">
        <f t="shared" si="37"/>
        <v>7000</v>
      </c>
    </row>
    <row r="134" spans="1:12" ht="13" x14ac:dyDescent="0.35">
      <c r="A134" s="225" t="s">
        <v>288</v>
      </c>
      <c r="B134" s="225"/>
      <c r="C134" s="225"/>
    </row>
    <row r="135" spans="1:12" ht="13" x14ac:dyDescent="0.35">
      <c r="A135" s="56" t="s">
        <v>289</v>
      </c>
      <c r="B135" s="56" t="s">
        <v>290</v>
      </c>
      <c r="C135" s="73" t="s">
        <v>291</v>
      </c>
    </row>
    <row r="136" spans="1:12" x14ac:dyDescent="0.35">
      <c r="A136" s="74">
        <v>1</v>
      </c>
      <c r="B136" s="5" t="s">
        <v>292</v>
      </c>
      <c r="C136" s="75">
        <f>E123</f>
        <v>75000</v>
      </c>
    </row>
    <row r="137" spans="1:12" x14ac:dyDescent="0.35">
      <c r="A137" s="74">
        <v>2</v>
      </c>
      <c r="B137" s="5" t="s">
        <v>293</v>
      </c>
      <c r="C137" s="75">
        <v>55000</v>
      </c>
    </row>
    <row r="138" spans="1:12" x14ac:dyDescent="0.35">
      <c r="A138" s="74">
        <v>3</v>
      </c>
      <c r="B138" s="5" t="s">
        <v>294</v>
      </c>
      <c r="C138" s="75">
        <v>55000</v>
      </c>
    </row>
    <row r="139" spans="1:12" x14ac:dyDescent="0.35">
      <c r="A139" s="74">
        <v>4</v>
      </c>
      <c r="B139" s="5" t="s">
        <v>449</v>
      </c>
      <c r="C139" s="75">
        <v>20000</v>
      </c>
    </row>
    <row r="140" spans="1:12" x14ac:dyDescent="0.35">
      <c r="A140" s="74">
        <v>5</v>
      </c>
      <c r="B140" s="5" t="s">
        <v>450</v>
      </c>
      <c r="C140" s="75">
        <v>40000</v>
      </c>
    </row>
    <row r="141" spans="1:12" x14ac:dyDescent="0.35">
      <c r="A141" s="74">
        <v>6</v>
      </c>
      <c r="B141" s="5" t="s">
        <v>295</v>
      </c>
      <c r="C141" s="75">
        <f>E126</f>
        <v>32500</v>
      </c>
    </row>
    <row r="142" spans="1:12" x14ac:dyDescent="0.35">
      <c r="A142" s="74">
        <v>7</v>
      </c>
      <c r="B142" s="5" t="s">
        <v>296</v>
      </c>
      <c r="C142" s="75">
        <f>E117</f>
        <v>55000</v>
      </c>
    </row>
    <row r="143" spans="1:12" x14ac:dyDescent="0.35">
      <c r="A143" s="74">
        <v>8</v>
      </c>
      <c r="B143" s="5" t="s">
        <v>297</v>
      </c>
      <c r="C143" s="75">
        <f>E124</f>
        <v>55000</v>
      </c>
    </row>
    <row r="144" spans="1:12" x14ac:dyDescent="0.35">
      <c r="A144" s="74">
        <v>9</v>
      </c>
      <c r="B144" s="5" t="s">
        <v>298</v>
      </c>
      <c r="C144" s="75">
        <f>E125</f>
        <v>55000</v>
      </c>
    </row>
    <row r="145" spans="1:3" ht="13" x14ac:dyDescent="0.35">
      <c r="A145" s="226" t="s">
        <v>299</v>
      </c>
      <c r="B145" s="226"/>
      <c r="C145" s="76">
        <f>SUM(C136:C144)</f>
        <v>442500</v>
      </c>
    </row>
    <row r="146" spans="1:3" x14ac:dyDescent="0.35">
      <c r="C146" s="77"/>
    </row>
  </sheetData>
  <mergeCells count="3">
    <mergeCell ref="A1:B1"/>
    <mergeCell ref="A134:C134"/>
    <mergeCell ref="A145:B145"/>
  </mergeCells>
  <phoneticPr fontId="1" type="noConversion"/>
  <pageMargins left="0.7" right="0.7" top="0.75" bottom="0.75" header="0.3" footer="0.3"/>
  <pageSetup paperSize="9" orientation="portrait" r:id="rId1"/>
  <headerFooter>
    <oddHeader>&amp;CDetailed budget notes</oddHeader>
  </headerFooter>
  <ignoredErrors>
    <ignoredError sqref="H22" formula="1"/>
  </ignoredError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B18320-2ED6-4803-A619-1582BFCC98A0}">
  <dimension ref="B2:C20"/>
  <sheetViews>
    <sheetView workbookViewId="0">
      <selection activeCell="B20" sqref="B20"/>
    </sheetView>
  </sheetViews>
  <sheetFormatPr defaultColWidth="8.54296875" defaultRowHeight="14.5" x14ac:dyDescent="0.35"/>
  <cols>
    <col min="2" max="2" width="34.453125" bestFit="1" customWidth="1"/>
    <col min="3" max="3" width="125.453125" bestFit="1" customWidth="1"/>
  </cols>
  <sheetData>
    <row r="2" spans="2:3" x14ac:dyDescent="0.35">
      <c r="B2" s="2" t="s">
        <v>300</v>
      </c>
      <c r="C2" s="2" t="s">
        <v>301</v>
      </c>
    </row>
    <row r="3" spans="2:3" x14ac:dyDescent="0.35">
      <c r="B3" s="1" t="s">
        <v>26</v>
      </c>
      <c r="C3" t="s">
        <v>302</v>
      </c>
    </row>
    <row r="4" spans="2:3" x14ac:dyDescent="0.35">
      <c r="B4" s="1" t="s">
        <v>129</v>
      </c>
      <c r="C4" t="s">
        <v>303</v>
      </c>
    </row>
    <row r="5" spans="2:3" x14ac:dyDescent="0.35">
      <c r="B5" s="1" t="s">
        <v>304</v>
      </c>
      <c r="C5" t="s">
        <v>305</v>
      </c>
    </row>
    <row r="6" spans="2:3" x14ac:dyDescent="0.35">
      <c r="B6" s="1" t="s">
        <v>52</v>
      </c>
      <c r="C6" t="s">
        <v>306</v>
      </c>
    </row>
    <row r="7" spans="2:3" x14ac:dyDescent="0.35">
      <c r="B7" s="1" t="s">
        <v>307</v>
      </c>
      <c r="C7" t="s">
        <v>308</v>
      </c>
    </row>
    <row r="8" spans="2:3" x14ac:dyDescent="0.35">
      <c r="B8" s="1" t="s">
        <v>18</v>
      </c>
      <c r="C8" t="s">
        <v>309</v>
      </c>
    </row>
    <row r="9" spans="2:3" x14ac:dyDescent="0.35">
      <c r="B9" s="1" t="s">
        <v>22</v>
      </c>
      <c r="C9" t="s">
        <v>310</v>
      </c>
    </row>
    <row r="10" spans="2:3" x14ac:dyDescent="0.35">
      <c r="B10" s="1" t="s">
        <v>119</v>
      </c>
    </row>
    <row r="11" spans="2:3" x14ac:dyDescent="0.35">
      <c r="B11" s="1" t="s">
        <v>311</v>
      </c>
    </row>
    <row r="12" spans="2:3" x14ac:dyDescent="0.35">
      <c r="B12" s="1" t="s">
        <v>54</v>
      </c>
      <c r="C12" t="s">
        <v>312</v>
      </c>
    </row>
    <row r="13" spans="2:3" x14ac:dyDescent="0.35">
      <c r="B13" s="1" t="s">
        <v>20</v>
      </c>
    </row>
    <row r="15" spans="2:3" x14ac:dyDescent="0.35">
      <c r="B15" s="2" t="s">
        <v>313</v>
      </c>
    </row>
    <row r="16" spans="2:3" x14ac:dyDescent="0.35">
      <c r="B16" s="1" t="s">
        <v>17</v>
      </c>
    </row>
    <row r="17" spans="2:2" x14ac:dyDescent="0.35">
      <c r="B17" s="1" t="s">
        <v>35</v>
      </c>
    </row>
    <row r="18" spans="2:2" x14ac:dyDescent="0.35">
      <c r="B18" s="1" t="s">
        <v>24</v>
      </c>
    </row>
    <row r="19" spans="2:2" x14ac:dyDescent="0.35">
      <c r="B19" s="1" t="s">
        <v>314</v>
      </c>
    </row>
    <row r="20" spans="2:2" x14ac:dyDescent="0.35">
      <c r="B20" s="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05ccb20-7403-45a6-b481-ca1dd862337d">
      <Terms xmlns="http://schemas.microsoft.com/office/infopath/2007/PartnerControls"/>
    </lcf76f155ced4ddcb4097134ff3c332f>
    <TaxCatchAll xmlns="e5565b3b-de73-408f-92ec-2a950ff896c8" xsi:nil="true"/>
    <Dateandtime xmlns="505ccb20-7403-45a6-b481-ca1dd862337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7C036A91C4175499EBEF36E3B0FEA2A" ma:contentTypeVersion="14" ma:contentTypeDescription="Create a new document." ma:contentTypeScope="" ma:versionID="dcd3af65d8a10df1b33f9aaa4e0a7927">
  <xsd:schema xmlns:xsd="http://www.w3.org/2001/XMLSchema" xmlns:xs="http://www.w3.org/2001/XMLSchema" xmlns:p="http://schemas.microsoft.com/office/2006/metadata/properties" xmlns:ns2="505ccb20-7403-45a6-b481-ca1dd862337d" xmlns:ns3="e5565b3b-de73-408f-92ec-2a950ff896c8" targetNamespace="http://schemas.microsoft.com/office/2006/metadata/properties" ma:root="true" ma:fieldsID="3c82aef621d8e4eb77d4e0fd2c947e6a" ns2:_="" ns3:_="">
    <xsd:import namespace="505ccb20-7403-45a6-b481-ca1dd862337d"/>
    <xsd:import namespace="e5565b3b-de73-408f-92ec-2a950ff896c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Dateand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5ccb20-7403-45a6-b481-ca1dd86233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element name="Dateandtime" ma:index="21" nillable="true" ma:displayName="Date and time" ma:format="DateOnly" ma:internalName="Dateand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e5565b3b-de73-408f-92ec-2a950ff896c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a2e2747-e17c-42bb-aa81-38a2638568af}" ma:internalName="TaxCatchAll" ma:showField="CatchAllData" ma:web="e5565b3b-de73-408f-92ec-2a950ff896c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662415B-B4A7-4975-A112-3C79887D0EBB}">
  <ds:schemaRefs>
    <ds:schemaRef ds:uri="http://schemas.microsoft.com/sharepoint/v3/contenttype/forms"/>
  </ds:schemaRefs>
</ds:datastoreItem>
</file>

<file path=customXml/itemProps2.xml><?xml version="1.0" encoding="utf-8"?>
<ds:datastoreItem xmlns:ds="http://schemas.openxmlformats.org/officeDocument/2006/customXml" ds:itemID="{980E6A1E-A749-4833-8C06-20920E1364D7}">
  <ds:schemaRefs>
    <ds:schemaRef ds:uri="http://www.w3.org/XML/1998/namespace"/>
    <ds:schemaRef ds:uri="http://schemas.microsoft.com/office/2006/metadata/properties"/>
    <ds:schemaRef ds:uri="82e58e66-ae72-49df-bc81-d6ad72c1c923"/>
    <ds:schemaRef ds:uri="http://purl.org/dc/dcmitype/"/>
    <ds:schemaRef ds:uri="http://schemas.microsoft.com/office/infopath/2007/PartnerControls"/>
    <ds:schemaRef ds:uri="http://schemas.microsoft.com/office/2006/documentManagement/types"/>
    <ds:schemaRef ds:uri="http://schemas.openxmlformats.org/package/2006/metadata/core-properties"/>
    <ds:schemaRef ds:uri="http://purl.org/dc/elements/1.1/"/>
    <ds:schemaRef ds:uri="b1f7ac91-6513-45f0-8f09-b23f7746c920"/>
    <ds:schemaRef ds:uri="http://purl.org/dc/terms/"/>
  </ds:schemaRefs>
</ds:datastoreItem>
</file>

<file path=customXml/itemProps3.xml><?xml version="1.0" encoding="utf-8"?>
<ds:datastoreItem xmlns:ds="http://schemas.openxmlformats.org/officeDocument/2006/customXml" ds:itemID="{5445FDAD-C669-4E88-B265-313D54A11BC6}"/>
</file>

<file path=docMetadata/LabelInfo.xml><?xml version="1.0" encoding="utf-8"?>
<clbl:labelList xmlns:clbl="http://schemas.microsoft.com/office/2020/mipLabelMetadata">
  <clbl:label id="{0f9e35db-544f-4f60-bdcc-5ea416e6dc70}" enabled="0" method="" siteId="{0f9e35db-544f-4f60-bdcc-5ea416e6dc7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Detailed Budget</vt:lpstr>
      <vt:lpstr>Notes and Assumptions</vt:lpstr>
      <vt:lpstr>Cost categories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C4 Ecosolutions (Pty) Ltd</dc:creator>
  <cp:keywords>Budget;Mauritania;GCF</cp:keywords>
  <dc:description/>
  <cp:lastModifiedBy>Jessica Troni</cp:lastModifiedBy>
  <cp:revision/>
  <dcterms:created xsi:type="dcterms:W3CDTF">2016-04-04T05:39:24Z</dcterms:created>
  <dcterms:modified xsi:type="dcterms:W3CDTF">2025-05-16T12:03:52Z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0x01010067C036A91C4175499EBEF36E3B0FEA2A</vt:lpwstr>
  </property>
  <property fmtid="{D5CDD505-2E9C-101B-9397-08002B2CF9AE}" pid="3" name="MediaServiceImageTags">
    <vt:lpwstr/>
  </property>
</Properties>
</file>