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unitednations-my.sharepoint.com/personal/alex_forbes_un_org/Documents/Ghana GCF Climate Resilient landscapes/UNEPFP Ghana FP Package 4 June/"/>
    </mc:Choice>
  </mc:AlternateContent>
  <xr:revisionPtr revIDLastSave="0" documentId="14_{F0CD2C98-6969-44CB-9A34-E16CD5E11166}" xr6:coauthVersionLast="47" xr6:coauthVersionMax="47" xr10:uidLastSave="{00000000-0000-0000-0000-000000000000}"/>
  <bookViews>
    <workbookView xWindow="-110" yWindow="-110" windowWidth="19420" windowHeight="10300" activeTab="1" xr2:uid="{5EA085AC-F681-4D96-8BCE-43FDF9B506AC}"/>
  </bookViews>
  <sheets>
    <sheet name="Detailed budget" sheetId="1" r:id="rId1"/>
    <sheet name="Notes and Assumptions" sheetId="24" r:id="rId2"/>
    <sheet name="Co-financing Summary" sheetId="19" r:id="rId3"/>
    <sheet name="Co-financing EPA 4.3" sheetId="30" r:id="rId4"/>
    <sheet name="Co-financing EPA In-kind" sheetId="21" r:id="rId5"/>
    <sheet name="Co-financing MoFA in-kind" sheetId="20" r:id="rId6"/>
    <sheet name="Co-financing EPA cash" sheetId="22" r:id="rId7"/>
    <sheet name="SubAct 4.3" sheetId="28" r:id="rId8"/>
    <sheet name="A3 Regional office equip" sheetId="9" r:id="rId9"/>
    <sheet name="PMC3 National office equip" sheetId="17" r:id="rId10"/>
    <sheet name="A4 District office equip" sheetId="10" r:id="rId11"/>
    <sheet name="B17 CCA interventions" sheetId="11" r:id="rId12"/>
    <sheet name="Sheet1 (2)" sheetId="26" r:id="rId13"/>
    <sheet name="Sheet2 (2)" sheetId="27" r:id="rId14"/>
    <sheet name="B22 VSLAs" sheetId="15" r:id="rId15"/>
    <sheet name="D3 Intervention monitors" sheetId="16" r:id="rId16"/>
  </sheets>
  <definedNames>
    <definedName name="_xlnm._FilterDatabase" localSheetId="0" hidden="1">'Detailed budget'!$A$1:$T$87</definedName>
    <definedName name="_xlnm._FilterDatabase" localSheetId="1" hidden="1">'Notes and Assumptions'!$A$1:$M$1</definedName>
    <definedName name="_ftn1" localSheetId="0">'Detailed budget'!#REF!</definedName>
    <definedName name="_ftnref1" localSheetId="0">'Detailed budget'!#REF!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51" i="1" l="1"/>
  <c r="AC150" i="1"/>
  <c r="AC149" i="1"/>
  <c r="AC148" i="1"/>
  <c r="AC147" i="1"/>
  <c r="AC146" i="1"/>
  <c r="J252" i="1"/>
  <c r="P242" i="1"/>
  <c r="P240" i="1"/>
  <c r="O242" i="1"/>
  <c r="N242" i="1"/>
  <c r="M242" i="1"/>
  <c r="L242" i="1"/>
  <c r="K242" i="1"/>
  <c r="J242" i="1"/>
  <c r="I242" i="1"/>
  <c r="P241" i="1"/>
  <c r="P237" i="1"/>
  <c r="P233" i="1"/>
  <c r="I241" i="1"/>
  <c r="J241" i="1"/>
  <c r="K241" i="1"/>
  <c r="L241" i="1"/>
  <c r="M241" i="1"/>
  <c r="N241" i="1"/>
  <c r="O241" i="1"/>
  <c r="O237" i="1"/>
  <c r="P236" i="1"/>
  <c r="P238" i="1"/>
  <c r="H251" i="1"/>
  <c r="J251" i="1" s="1"/>
  <c r="H249" i="1"/>
  <c r="J249" i="1"/>
  <c r="J250" i="1"/>
  <c r="H250" i="1"/>
  <c r="H248" i="1"/>
  <c r="J248" i="1" s="1"/>
  <c r="I248" i="1"/>
  <c r="D17" i="19" l="1"/>
  <c r="O24" i="1" s="1"/>
  <c r="I90" i="1"/>
  <c r="P90" i="1" s="1"/>
  <c r="I24" i="1" l="1"/>
  <c r="J24" i="1"/>
  <c r="K24" i="1"/>
  <c r="L24" i="1"/>
  <c r="M24" i="1"/>
  <c r="N24" i="1"/>
  <c r="F43" i="19"/>
  <c r="I158" i="1"/>
  <c r="J158" i="1"/>
  <c r="K158" i="1"/>
  <c r="L193" i="1"/>
  <c r="M193" i="1"/>
  <c r="N193" i="1"/>
  <c r="M168" i="24"/>
  <c r="O193" i="1" s="1"/>
  <c r="L168" i="24"/>
  <c r="K168" i="24"/>
  <c r="J168" i="24"/>
  <c r="I168" i="24"/>
  <c r="K193" i="1" s="1"/>
  <c r="H168" i="24"/>
  <c r="J193" i="1" s="1"/>
  <c r="G168" i="24"/>
  <c r="I193" i="1" s="1"/>
  <c r="F168" i="24"/>
  <c r="K133" i="1"/>
  <c r="L133" i="1"/>
  <c r="M133" i="1"/>
  <c r="N133" i="1"/>
  <c r="O133" i="1"/>
  <c r="K131" i="1"/>
  <c r="L131" i="1"/>
  <c r="M131" i="1"/>
  <c r="N131" i="1"/>
  <c r="O131" i="1"/>
  <c r="F120" i="24"/>
  <c r="M120" i="24" s="1"/>
  <c r="O134" i="1" s="1"/>
  <c r="F124" i="24"/>
  <c r="G124" i="24"/>
  <c r="H124" i="24"/>
  <c r="I124" i="24"/>
  <c r="J124" i="24"/>
  <c r="K124" i="24"/>
  <c r="F125" i="24"/>
  <c r="H125" i="24" s="1"/>
  <c r="F126" i="24"/>
  <c r="H126" i="24" s="1"/>
  <c r="F127" i="24"/>
  <c r="G127" i="24"/>
  <c r="H127" i="24"/>
  <c r="I127" i="24"/>
  <c r="J127" i="24"/>
  <c r="K127" i="24"/>
  <c r="F128" i="24"/>
  <c r="H128" i="24"/>
  <c r="I128" i="24"/>
  <c r="J128" i="24"/>
  <c r="K128" i="24"/>
  <c r="L128" i="24"/>
  <c r="G119" i="24"/>
  <c r="J133" i="1" s="1"/>
  <c r="F119" i="24"/>
  <c r="I133" i="1" s="1"/>
  <c r="G117" i="24"/>
  <c r="N117" i="24" s="1"/>
  <c r="F117" i="24"/>
  <c r="I131" i="1" s="1"/>
  <c r="AI132" i="1"/>
  <c r="P24" i="1" l="1"/>
  <c r="P193" i="1"/>
  <c r="R195" i="1" s="1"/>
  <c r="C39" i="19" s="1"/>
  <c r="J120" i="24"/>
  <c r="L134" i="1" s="1"/>
  <c r="P133" i="1"/>
  <c r="J131" i="1"/>
  <c r="K120" i="24"/>
  <c r="M134" i="1" s="1"/>
  <c r="G120" i="24"/>
  <c r="I134" i="1" s="1"/>
  <c r="I120" i="24"/>
  <c r="K134" i="1" s="1"/>
  <c r="H120" i="24"/>
  <c r="J134" i="1" s="1"/>
  <c r="L120" i="24"/>
  <c r="N134" i="1" s="1"/>
  <c r="N217" i="1"/>
  <c r="O217" i="1"/>
  <c r="M217" i="1"/>
  <c r="L217" i="1"/>
  <c r="K217" i="1"/>
  <c r="J217" i="1"/>
  <c r="I217" i="1"/>
  <c r="P131" i="1" l="1"/>
  <c r="P134" i="1"/>
  <c r="P217" i="1"/>
  <c r="D105" i="24"/>
  <c r="M118" i="24" l="1"/>
  <c r="O132" i="1" s="1"/>
  <c r="O136" i="1" s="1"/>
  <c r="L118" i="24"/>
  <c r="K118" i="24"/>
  <c r="J118" i="24"/>
  <c r="I118" i="24"/>
  <c r="H118" i="24"/>
  <c r="G118" i="24"/>
  <c r="F118" i="24"/>
  <c r="M82" i="24"/>
  <c r="L82" i="24"/>
  <c r="O91" i="1" s="1"/>
  <c r="K82" i="24"/>
  <c r="N91" i="1" s="1"/>
  <c r="J82" i="24"/>
  <c r="M91" i="1" s="1"/>
  <c r="I82" i="24"/>
  <c r="L91" i="1" s="1"/>
  <c r="H82" i="24"/>
  <c r="K91" i="1" s="1"/>
  <c r="G82" i="24"/>
  <c r="J91" i="1" s="1"/>
  <c r="F82" i="24"/>
  <c r="I91" i="1" s="1"/>
  <c r="K3" i="24"/>
  <c r="J3" i="24"/>
  <c r="I3" i="24"/>
  <c r="H3" i="24"/>
  <c r="G3" i="24"/>
  <c r="F3" i="24"/>
  <c r="I82" i="1"/>
  <c r="K82" i="1"/>
  <c r="L82" i="1"/>
  <c r="M82" i="1"/>
  <c r="N82" i="1"/>
  <c r="O82" i="1"/>
  <c r="I83" i="1"/>
  <c r="K83" i="1"/>
  <c r="L83" i="1"/>
  <c r="M83" i="1"/>
  <c r="N83" i="1"/>
  <c r="O83" i="1"/>
  <c r="B77" i="24"/>
  <c r="I79" i="1"/>
  <c r="K79" i="1"/>
  <c r="L79" i="1"/>
  <c r="M79" i="1"/>
  <c r="N79" i="1"/>
  <c r="O79" i="1"/>
  <c r="I80" i="1"/>
  <c r="K80" i="1"/>
  <c r="L80" i="1"/>
  <c r="M80" i="1"/>
  <c r="N80" i="1"/>
  <c r="O80" i="1"/>
  <c r="I81" i="1"/>
  <c r="K81" i="1"/>
  <c r="L81" i="1"/>
  <c r="M81" i="1"/>
  <c r="N81" i="1"/>
  <c r="O81" i="1"/>
  <c r="I74" i="1"/>
  <c r="K74" i="1"/>
  <c r="L74" i="1"/>
  <c r="M74" i="1"/>
  <c r="N74" i="1"/>
  <c r="O74" i="1"/>
  <c r="I75" i="1"/>
  <c r="K75" i="1"/>
  <c r="L75" i="1"/>
  <c r="M75" i="1"/>
  <c r="N75" i="1"/>
  <c r="O75" i="1"/>
  <c r="I76" i="1"/>
  <c r="K76" i="1"/>
  <c r="L76" i="1"/>
  <c r="M76" i="1"/>
  <c r="N76" i="1"/>
  <c r="O76" i="1"/>
  <c r="I77" i="1"/>
  <c r="K77" i="1"/>
  <c r="L77" i="1"/>
  <c r="M77" i="1"/>
  <c r="N77" i="1"/>
  <c r="O77" i="1"/>
  <c r="I78" i="1"/>
  <c r="K78" i="1"/>
  <c r="L78" i="1"/>
  <c r="M78" i="1"/>
  <c r="N78" i="1"/>
  <c r="O78" i="1"/>
  <c r="J68" i="1"/>
  <c r="K68" i="1"/>
  <c r="L68" i="1"/>
  <c r="M68" i="1"/>
  <c r="N68" i="1"/>
  <c r="O68" i="1"/>
  <c r="J69" i="1"/>
  <c r="K69" i="1"/>
  <c r="L69" i="1"/>
  <c r="M69" i="1"/>
  <c r="N69" i="1"/>
  <c r="O69" i="1"/>
  <c r="J70" i="1"/>
  <c r="K70" i="1"/>
  <c r="L70" i="1"/>
  <c r="M70" i="1"/>
  <c r="N70" i="1"/>
  <c r="O70" i="1"/>
  <c r="J71" i="1"/>
  <c r="K71" i="1"/>
  <c r="L71" i="1"/>
  <c r="M71" i="1"/>
  <c r="N71" i="1"/>
  <c r="O71" i="1"/>
  <c r="J73" i="1"/>
  <c r="K73" i="1"/>
  <c r="L73" i="1"/>
  <c r="M73" i="1"/>
  <c r="N73" i="1"/>
  <c r="O73" i="1"/>
  <c r="I62" i="1"/>
  <c r="J62" i="1"/>
  <c r="K62" i="1"/>
  <c r="M62" i="1"/>
  <c r="N62" i="1"/>
  <c r="O62" i="1"/>
  <c r="I63" i="1"/>
  <c r="J63" i="1"/>
  <c r="K63" i="1"/>
  <c r="M63" i="1"/>
  <c r="N63" i="1"/>
  <c r="O63" i="1"/>
  <c r="I64" i="1"/>
  <c r="J64" i="1"/>
  <c r="K64" i="1"/>
  <c r="M64" i="1"/>
  <c r="N64" i="1"/>
  <c r="O64" i="1"/>
  <c r="I65" i="1"/>
  <c r="J65" i="1"/>
  <c r="K65" i="1"/>
  <c r="M65" i="1"/>
  <c r="N65" i="1"/>
  <c r="O65" i="1"/>
  <c r="I66" i="1"/>
  <c r="J66" i="1"/>
  <c r="K66" i="1"/>
  <c r="M66" i="1"/>
  <c r="N66" i="1"/>
  <c r="O66" i="1"/>
  <c r="I56" i="1"/>
  <c r="J56" i="1"/>
  <c r="L56" i="1"/>
  <c r="M56" i="1"/>
  <c r="N56" i="1"/>
  <c r="O56" i="1"/>
  <c r="I57" i="1"/>
  <c r="J57" i="1"/>
  <c r="L57" i="1"/>
  <c r="M57" i="1"/>
  <c r="N57" i="1"/>
  <c r="O57" i="1"/>
  <c r="I58" i="1"/>
  <c r="J58" i="1"/>
  <c r="L58" i="1"/>
  <c r="M58" i="1"/>
  <c r="N58" i="1"/>
  <c r="O58" i="1"/>
  <c r="I59" i="1"/>
  <c r="J59" i="1"/>
  <c r="L59" i="1"/>
  <c r="M59" i="1"/>
  <c r="N59" i="1"/>
  <c r="O59" i="1"/>
  <c r="I60" i="1"/>
  <c r="J60" i="1"/>
  <c r="L60" i="1"/>
  <c r="M60" i="1"/>
  <c r="N60" i="1"/>
  <c r="O60" i="1"/>
  <c r="I61" i="1"/>
  <c r="J61" i="1"/>
  <c r="L61" i="1"/>
  <c r="M61" i="1"/>
  <c r="N61" i="1"/>
  <c r="O61" i="1"/>
  <c r="I53" i="1"/>
  <c r="J53" i="1"/>
  <c r="L53" i="1"/>
  <c r="M53" i="1"/>
  <c r="N53" i="1"/>
  <c r="O53" i="1"/>
  <c r="I49" i="1"/>
  <c r="J49" i="1"/>
  <c r="L49" i="1"/>
  <c r="M49" i="1"/>
  <c r="N49" i="1"/>
  <c r="O49" i="1"/>
  <c r="I50" i="1"/>
  <c r="J50" i="1"/>
  <c r="L50" i="1"/>
  <c r="M50" i="1"/>
  <c r="N50" i="1"/>
  <c r="O50" i="1"/>
  <c r="I51" i="1"/>
  <c r="J51" i="1"/>
  <c r="L51" i="1"/>
  <c r="M51" i="1"/>
  <c r="N51" i="1"/>
  <c r="O51" i="1"/>
  <c r="I52" i="1"/>
  <c r="J52" i="1"/>
  <c r="L52" i="1"/>
  <c r="M52" i="1"/>
  <c r="N52" i="1"/>
  <c r="O52" i="1"/>
  <c r="I54" i="1"/>
  <c r="J54" i="1"/>
  <c r="L54" i="1"/>
  <c r="M54" i="1"/>
  <c r="N54" i="1"/>
  <c r="O54" i="1"/>
  <c r="I55" i="1"/>
  <c r="J55" i="1"/>
  <c r="L55" i="1"/>
  <c r="M55" i="1"/>
  <c r="N55" i="1"/>
  <c r="O55" i="1"/>
  <c r="I43" i="1"/>
  <c r="J43" i="1"/>
  <c r="L43" i="1"/>
  <c r="M43" i="1"/>
  <c r="N43" i="1"/>
  <c r="O43" i="1"/>
  <c r="I44" i="1"/>
  <c r="J44" i="1"/>
  <c r="L44" i="1"/>
  <c r="M44" i="1"/>
  <c r="N44" i="1"/>
  <c r="O44" i="1"/>
  <c r="I45" i="1"/>
  <c r="J45" i="1"/>
  <c r="L45" i="1"/>
  <c r="M45" i="1"/>
  <c r="N45" i="1"/>
  <c r="O45" i="1"/>
  <c r="I46" i="1"/>
  <c r="J46" i="1"/>
  <c r="L46" i="1"/>
  <c r="M46" i="1"/>
  <c r="N46" i="1"/>
  <c r="O46" i="1"/>
  <c r="I47" i="1"/>
  <c r="J47" i="1"/>
  <c r="L47" i="1"/>
  <c r="M47" i="1"/>
  <c r="N47" i="1"/>
  <c r="O47" i="1"/>
  <c r="I38" i="1"/>
  <c r="J38" i="1"/>
  <c r="L38" i="1"/>
  <c r="M38" i="1"/>
  <c r="N38" i="1"/>
  <c r="O38" i="1"/>
  <c r="I39" i="1"/>
  <c r="J39" i="1"/>
  <c r="L39" i="1"/>
  <c r="M39" i="1"/>
  <c r="N39" i="1"/>
  <c r="O39" i="1"/>
  <c r="I40" i="1"/>
  <c r="J40" i="1"/>
  <c r="L40" i="1"/>
  <c r="M40" i="1"/>
  <c r="N40" i="1"/>
  <c r="O40" i="1"/>
  <c r="I41" i="1"/>
  <c r="J41" i="1"/>
  <c r="L41" i="1"/>
  <c r="M41" i="1"/>
  <c r="N41" i="1"/>
  <c r="O41" i="1"/>
  <c r="I42" i="1"/>
  <c r="J42" i="1"/>
  <c r="L42" i="1"/>
  <c r="M42" i="1"/>
  <c r="N42" i="1"/>
  <c r="O42" i="1"/>
  <c r="F36" i="24"/>
  <c r="I36" i="24" s="1"/>
  <c r="K40" i="1" s="1"/>
  <c r="F35" i="24"/>
  <c r="I35" i="24" s="1"/>
  <c r="K39" i="1" s="1"/>
  <c r="F34" i="24"/>
  <c r="I34" i="24" s="1"/>
  <c r="K38" i="1" s="1"/>
  <c r="P91" i="1" l="1"/>
  <c r="I30" i="1"/>
  <c r="N30" i="1"/>
  <c r="O30" i="1"/>
  <c r="K28" i="24"/>
  <c r="J28" i="24"/>
  <c r="I28" i="24"/>
  <c r="H28" i="24"/>
  <c r="K27" i="24"/>
  <c r="M30" i="1" s="1"/>
  <c r="J27" i="24"/>
  <c r="L30" i="1" s="1"/>
  <c r="I27" i="24"/>
  <c r="K30" i="1" s="1"/>
  <c r="H27" i="24"/>
  <c r="J30" i="1" s="1"/>
  <c r="I29" i="1"/>
  <c r="K29" i="1"/>
  <c r="L29" i="1"/>
  <c r="M29" i="1"/>
  <c r="N29" i="1"/>
  <c r="O29" i="1"/>
  <c r="I28" i="1"/>
  <c r="J28" i="1"/>
  <c r="N28" i="1"/>
  <c r="O28" i="1"/>
  <c r="K24" i="24"/>
  <c r="J24" i="24"/>
  <c r="H24" i="24"/>
  <c r="G24" i="24"/>
  <c r="I24" i="24" s="1"/>
  <c r="N22" i="1"/>
  <c r="O22" i="1"/>
  <c r="N21" i="1"/>
  <c r="O21" i="1"/>
  <c r="F16" i="24"/>
  <c r="F14" i="24"/>
  <c r="F13" i="24"/>
  <c r="F12" i="24"/>
  <c r="F11" i="24"/>
  <c r="F9" i="24"/>
  <c r="G9" i="24" s="1"/>
  <c r="I11" i="1" s="1"/>
  <c r="F142" i="24" l="1"/>
  <c r="F97" i="24" l="1"/>
  <c r="J94" i="1"/>
  <c r="K94" i="1"/>
  <c r="L94" i="1"/>
  <c r="M94" i="1"/>
  <c r="N94" i="1"/>
  <c r="O94" i="1"/>
  <c r="J92" i="1"/>
  <c r="K92" i="1"/>
  <c r="L92" i="1"/>
  <c r="M92" i="1"/>
  <c r="N92" i="1"/>
  <c r="O92" i="1"/>
  <c r="M87" i="24"/>
  <c r="O96" i="1" s="1"/>
  <c r="L87" i="24"/>
  <c r="N96" i="1" s="1"/>
  <c r="K87" i="24"/>
  <c r="M96" i="1" s="1"/>
  <c r="J87" i="24"/>
  <c r="L96" i="1" s="1"/>
  <c r="I87" i="24"/>
  <c r="K96" i="1" s="1"/>
  <c r="H87" i="24"/>
  <c r="J96" i="1" s="1"/>
  <c r="G87" i="24"/>
  <c r="I96" i="1" s="1"/>
  <c r="M86" i="24"/>
  <c r="O95" i="1" s="1"/>
  <c r="L86" i="24"/>
  <c r="N95" i="1" s="1"/>
  <c r="K86" i="24"/>
  <c r="M95" i="1" s="1"/>
  <c r="J86" i="24"/>
  <c r="L95" i="1" s="1"/>
  <c r="I86" i="24"/>
  <c r="K95" i="1" s="1"/>
  <c r="H86" i="24"/>
  <c r="J95" i="1" s="1"/>
  <c r="G86" i="24"/>
  <c r="I95" i="1" s="1"/>
  <c r="M84" i="24"/>
  <c r="O93" i="1" s="1"/>
  <c r="L84" i="24"/>
  <c r="N93" i="1" s="1"/>
  <c r="K84" i="24"/>
  <c r="M93" i="1" s="1"/>
  <c r="J84" i="24"/>
  <c r="L93" i="1" s="1"/>
  <c r="I84" i="24"/>
  <c r="K93" i="1" s="1"/>
  <c r="H84" i="24"/>
  <c r="J93" i="1" s="1"/>
  <c r="G84" i="24"/>
  <c r="I93" i="1" s="1"/>
  <c r="M154" i="24"/>
  <c r="L154" i="24"/>
  <c r="K154" i="24"/>
  <c r="J154" i="24"/>
  <c r="I154" i="24"/>
  <c r="H154" i="24"/>
  <c r="G154" i="24"/>
  <c r="P93" i="1" l="1"/>
  <c r="F87" i="24" l="1"/>
  <c r="F86" i="24"/>
  <c r="F85" i="24"/>
  <c r="G85" i="24" s="1"/>
  <c r="I94" i="1" s="1"/>
  <c r="F84" i="24"/>
  <c r="F83" i="24"/>
  <c r="G83" i="24" s="1"/>
  <c r="I92" i="1" s="1"/>
  <c r="N100" i="1"/>
  <c r="O100" i="1"/>
  <c r="J101" i="1"/>
  <c r="K101" i="1"/>
  <c r="L101" i="1"/>
  <c r="M101" i="1"/>
  <c r="N101" i="1"/>
  <c r="O101" i="1"/>
  <c r="J102" i="1"/>
  <c r="K102" i="1"/>
  <c r="L102" i="1"/>
  <c r="M102" i="1"/>
  <c r="N102" i="1"/>
  <c r="O102" i="1"/>
  <c r="O181" i="1"/>
  <c r="O180" i="1"/>
  <c r="N181" i="1"/>
  <c r="N180" i="1"/>
  <c r="M181" i="1"/>
  <c r="M180" i="1"/>
  <c r="L181" i="1"/>
  <c r="K181" i="1"/>
  <c r="F158" i="24"/>
  <c r="G158" i="24" s="1"/>
  <c r="F157" i="24"/>
  <c r="J157" i="24" s="1"/>
  <c r="L180" i="1" s="1"/>
  <c r="P92" i="1" l="1"/>
  <c r="I181" i="1"/>
  <c r="P94" i="1"/>
  <c r="H158" i="24"/>
  <c r="G157" i="24"/>
  <c r="H157" i="24"/>
  <c r="I157" i="24"/>
  <c r="K180" i="1" l="1"/>
  <c r="J180" i="1"/>
  <c r="I180" i="1"/>
  <c r="J181" i="1"/>
  <c r="P181" i="1" s="1"/>
  <c r="B9" i="19"/>
  <c r="F59" i="20"/>
  <c r="F58" i="20"/>
  <c r="F57" i="20"/>
  <c r="F56" i="20"/>
  <c r="F55" i="20"/>
  <c r="F54" i="20"/>
  <c r="F53" i="20"/>
  <c r="F52" i="20"/>
  <c r="F51" i="20"/>
  <c r="F50" i="20"/>
  <c r="F49" i="20"/>
  <c r="F48" i="20"/>
  <c r="F47" i="20"/>
  <c r="F46" i="20"/>
  <c r="F45" i="20"/>
  <c r="F44" i="20"/>
  <c r="F43" i="20"/>
  <c r="F42" i="20"/>
  <c r="F41" i="20"/>
  <c r="F40" i="20"/>
  <c r="F39" i="20"/>
  <c r="F38" i="20"/>
  <c r="F37" i="20"/>
  <c r="F36" i="20"/>
  <c r="F35" i="20"/>
  <c r="F34" i="20"/>
  <c r="F33" i="20"/>
  <c r="F32" i="20"/>
  <c r="F31" i="20"/>
  <c r="F30" i="20"/>
  <c r="F29" i="20"/>
  <c r="F28" i="20"/>
  <c r="F27" i="20"/>
  <c r="F26" i="20"/>
  <c r="F25" i="20"/>
  <c r="F24" i="20"/>
  <c r="F23" i="20"/>
  <c r="F22" i="20"/>
  <c r="F21" i="20"/>
  <c r="F20" i="20"/>
  <c r="F19" i="20"/>
  <c r="F18" i="20"/>
  <c r="F17" i="20"/>
  <c r="F16" i="20"/>
  <c r="F15" i="20"/>
  <c r="F14" i="20"/>
  <c r="F13" i="20"/>
  <c r="F12" i="20"/>
  <c r="F11" i="20"/>
  <c r="F10" i="20"/>
  <c r="F9" i="20"/>
  <c r="F8" i="20"/>
  <c r="F7" i="20"/>
  <c r="F6" i="20"/>
  <c r="F5" i="20"/>
  <c r="F4" i="20"/>
  <c r="F44" i="21"/>
  <c r="F43" i="21"/>
  <c r="F42" i="21"/>
  <c r="F41" i="21"/>
  <c r="F40" i="21"/>
  <c r="F39" i="21"/>
  <c r="F38" i="21"/>
  <c r="F37" i="21"/>
  <c r="F36" i="21"/>
  <c r="F35" i="21"/>
  <c r="F34" i="21"/>
  <c r="F33" i="21"/>
  <c r="F32" i="21"/>
  <c r="F31" i="21"/>
  <c r="F30" i="21"/>
  <c r="F29" i="21"/>
  <c r="F28" i="21"/>
  <c r="F27" i="21"/>
  <c r="F26" i="21"/>
  <c r="F25" i="21"/>
  <c r="F24" i="21"/>
  <c r="F23" i="21"/>
  <c r="F22" i="21"/>
  <c r="F21" i="21"/>
  <c r="F20" i="21"/>
  <c r="F19" i="21"/>
  <c r="F18" i="21"/>
  <c r="F17" i="21"/>
  <c r="F16" i="21"/>
  <c r="F15" i="21"/>
  <c r="F14" i="21"/>
  <c r="F13" i="21"/>
  <c r="F12" i="21"/>
  <c r="F11" i="21"/>
  <c r="F10" i="21"/>
  <c r="F9" i="21"/>
  <c r="F8" i="21"/>
  <c r="F7" i="21"/>
  <c r="F6" i="21"/>
  <c r="F5" i="21"/>
  <c r="F4" i="21"/>
  <c r="E43" i="19" l="1"/>
  <c r="P180" i="1"/>
  <c r="I205" i="1"/>
  <c r="J205" i="1"/>
  <c r="K205" i="1"/>
  <c r="M205" i="1"/>
  <c r="N205" i="1"/>
  <c r="I206" i="1"/>
  <c r="J206" i="1"/>
  <c r="K206" i="1"/>
  <c r="L206" i="1"/>
  <c r="M206" i="1"/>
  <c r="N206" i="1"/>
  <c r="O206" i="1"/>
  <c r="F174" i="24"/>
  <c r="M102" i="24"/>
  <c r="L102" i="24"/>
  <c r="K102" i="24"/>
  <c r="J102" i="24"/>
  <c r="I102" i="24"/>
  <c r="H102" i="24"/>
  <c r="G102" i="24"/>
  <c r="M172" i="24"/>
  <c r="L172" i="24"/>
  <c r="K172" i="24"/>
  <c r="J172" i="24"/>
  <c r="I172" i="24"/>
  <c r="H172" i="24"/>
  <c r="G172" i="24"/>
  <c r="J220" i="1"/>
  <c r="K220" i="1"/>
  <c r="L220" i="1"/>
  <c r="M220" i="1"/>
  <c r="N220" i="1"/>
  <c r="O220" i="1"/>
  <c r="J221" i="1"/>
  <c r="K221" i="1"/>
  <c r="L221" i="1"/>
  <c r="M221" i="1"/>
  <c r="N221" i="1"/>
  <c r="O221" i="1"/>
  <c r="M181" i="24"/>
  <c r="L181" i="24"/>
  <c r="K181" i="24"/>
  <c r="J181" i="24"/>
  <c r="I181" i="24"/>
  <c r="H181" i="24"/>
  <c r="G181" i="24"/>
  <c r="F181" i="24"/>
  <c r="F149" i="24"/>
  <c r="H149" i="24" s="1"/>
  <c r="M173" i="24"/>
  <c r="J173" i="24"/>
  <c r="F173" i="24"/>
  <c r="J202" i="1"/>
  <c r="K202" i="1"/>
  <c r="L202" i="1"/>
  <c r="M202" i="1"/>
  <c r="N202" i="1"/>
  <c r="O202" i="1"/>
  <c r="G170" i="24"/>
  <c r="F170" i="24"/>
  <c r="F172" i="24"/>
  <c r="J204" i="1" l="1"/>
  <c r="K204" i="1"/>
  <c r="I216" i="1"/>
  <c r="L204" i="1"/>
  <c r="N204" i="1"/>
  <c r="I204" i="1"/>
  <c r="I218" i="1"/>
  <c r="I202" i="1"/>
  <c r="M204" i="1"/>
  <c r="J218" i="1"/>
  <c r="J216" i="1"/>
  <c r="O204" i="1"/>
  <c r="K216" i="1"/>
  <c r="K218" i="1"/>
  <c r="L216" i="1"/>
  <c r="L218" i="1"/>
  <c r="L205" i="1"/>
  <c r="M216" i="1"/>
  <c r="M218" i="1"/>
  <c r="O205" i="1"/>
  <c r="N216" i="1"/>
  <c r="N218" i="1"/>
  <c r="O216" i="1"/>
  <c r="O218" i="1"/>
  <c r="P206" i="1"/>
  <c r="P202" i="1" l="1"/>
  <c r="P216" i="1"/>
  <c r="P218" i="1"/>
  <c r="P204" i="1"/>
  <c r="G171" i="24"/>
  <c r="I203" i="1" s="1"/>
  <c r="I208" i="1" s="1"/>
  <c r="H46" i="21"/>
  <c r="F171" i="24"/>
  <c r="H171" i="24" l="1"/>
  <c r="M171" i="24"/>
  <c r="J171" i="24"/>
  <c r="L171" i="24"/>
  <c r="K171" i="24"/>
  <c r="I171" i="24"/>
  <c r="K203" i="1" l="1"/>
  <c r="K208" i="1" s="1"/>
  <c r="M203" i="1"/>
  <c r="M208" i="1" s="1"/>
  <c r="N203" i="1"/>
  <c r="N208" i="1" s="1"/>
  <c r="L203" i="1"/>
  <c r="L208" i="1" s="1"/>
  <c r="O203" i="1"/>
  <c r="O208" i="1" s="1"/>
  <c r="J203" i="1"/>
  <c r="J208" i="1" s="1"/>
  <c r="P208" i="1" l="1"/>
  <c r="P203" i="1"/>
  <c r="E185" i="24"/>
  <c r="G180" i="24"/>
  <c r="F179" i="24"/>
  <c r="H179" i="24"/>
  <c r="H184" i="24"/>
  <c r="M180" i="24"/>
  <c r="L180" i="24"/>
  <c r="K180" i="24"/>
  <c r="J180" i="24"/>
  <c r="I180" i="24"/>
  <c r="H180" i="24"/>
  <c r="G179" i="24"/>
  <c r="F180" i="24"/>
  <c r="M179" i="24"/>
  <c r="L179" i="24"/>
  <c r="K179" i="24"/>
  <c r="J179" i="24"/>
  <c r="I179" i="24"/>
  <c r="M178" i="24"/>
  <c r="L178" i="24"/>
  <c r="K178" i="24"/>
  <c r="J178" i="24"/>
  <c r="I178" i="24"/>
  <c r="H178" i="24"/>
  <c r="G178" i="24"/>
  <c r="L46" i="21"/>
  <c r="F178" i="24"/>
  <c r="M213" i="1" l="1"/>
  <c r="J219" i="1"/>
  <c r="O213" i="1"/>
  <c r="I213" i="1"/>
  <c r="N213" i="1"/>
  <c r="J213" i="1"/>
  <c r="K213" i="1"/>
  <c r="L213" i="1"/>
  <c r="N214" i="1"/>
  <c r="N215" i="1"/>
  <c r="O214" i="1"/>
  <c r="O215" i="1"/>
  <c r="J214" i="1"/>
  <c r="J215" i="1"/>
  <c r="K214" i="1"/>
  <c r="K215" i="1"/>
  <c r="I215" i="1"/>
  <c r="I214" i="1"/>
  <c r="L214" i="1"/>
  <c r="L215" i="1"/>
  <c r="M214" i="1"/>
  <c r="M215" i="1"/>
  <c r="P213" i="1" l="1"/>
  <c r="P214" i="1"/>
  <c r="P215" i="1"/>
  <c r="F28" i="24" l="1"/>
  <c r="I31" i="1"/>
  <c r="J31" i="1"/>
  <c r="K31" i="1"/>
  <c r="O31" i="1"/>
  <c r="G195" i="24"/>
  <c r="I230" i="1" l="1"/>
  <c r="L31" i="1"/>
  <c r="J143" i="1"/>
  <c r="P143" i="1" s="1"/>
  <c r="J142" i="1"/>
  <c r="P142" i="1" s="1"/>
  <c r="L158" i="1"/>
  <c r="K151" i="1"/>
  <c r="L151" i="1"/>
  <c r="M151" i="1"/>
  <c r="N151" i="1"/>
  <c r="O151" i="1"/>
  <c r="K166" i="1"/>
  <c r="L166" i="1"/>
  <c r="M166" i="1"/>
  <c r="N166" i="1"/>
  <c r="O166" i="1"/>
  <c r="I166" i="1"/>
  <c r="F147" i="24"/>
  <c r="H147" i="24" s="1"/>
  <c r="F132" i="24"/>
  <c r="G132" i="24" s="1"/>
  <c r="I151" i="1" l="1"/>
  <c r="M31" i="1"/>
  <c r="J166" i="1"/>
  <c r="P166" i="1" s="1"/>
  <c r="N31" i="1"/>
  <c r="H132" i="24"/>
  <c r="M79" i="28"/>
  <c r="E4" i="30"/>
  <c r="M157" i="1"/>
  <c r="L157" i="1"/>
  <c r="K157" i="1"/>
  <c r="J157" i="1"/>
  <c r="O10" i="1"/>
  <c r="N10" i="1"/>
  <c r="M10" i="1"/>
  <c r="L10" i="1"/>
  <c r="K10" i="1"/>
  <c r="P31" i="1" l="1"/>
  <c r="J151" i="1"/>
  <c r="P151" i="1" s="1"/>
  <c r="G186" i="28"/>
  <c r="J184" i="28"/>
  <c r="I184" i="28"/>
  <c r="H184" i="28"/>
  <c r="G184" i="28"/>
  <c r="F184" i="28"/>
  <c r="E184" i="28"/>
  <c r="J179" i="28"/>
  <c r="J186" i="28" s="1"/>
  <c r="I179" i="28"/>
  <c r="H179" i="28"/>
  <c r="G179" i="28"/>
  <c r="E179" i="28" s="1"/>
  <c r="F179" i="28"/>
  <c r="F186" i="28" s="1"/>
  <c r="J174" i="28"/>
  <c r="I174" i="28"/>
  <c r="H174" i="28"/>
  <c r="H186" i="28" s="1"/>
  <c r="G174" i="28"/>
  <c r="F174" i="28"/>
  <c r="E174" i="28"/>
  <c r="J160" i="28"/>
  <c r="I160" i="28"/>
  <c r="H160" i="28"/>
  <c r="E160" i="28" s="1"/>
  <c r="G160" i="28"/>
  <c r="F160" i="28"/>
  <c r="K159" i="28"/>
  <c r="G155" i="28"/>
  <c r="K154" i="28"/>
  <c r="G151" i="28"/>
  <c r="G162" i="28" s="1"/>
  <c r="J150" i="28"/>
  <c r="I150" i="28"/>
  <c r="I151" i="28" s="1"/>
  <c r="H150" i="28"/>
  <c r="G150" i="28"/>
  <c r="F150" i="28"/>
  <c r="E150" i="28"/>
  <c r="J149" i="28"/>
  <c r="J151" i="28" s="1"/>
  <c r="I149" i="28"/>
  <c r="H149" i="28"/>
  <c r="H151" i="28" s="1"/>
  <c r="G149" i="28"/>
  <c r="F149" i="28"/>
  <c r="F151" i="28" s="1"/>
  <c r="J131" i="28"/>
  <c r="I131" i="28"/>
  <c r="H131" i="28"/>
  <c r="G131" i="28"/>
  <c r="F131" i="28"/>
  <c r="E131" i="28"/>
  <c r="E130" i="28"/>
  <c r="E129" i="28"/>
  <c r="E125" i="28"/>
  <c r="F125" i="28" s="1"/>
  <c r="G125" i="28" s="1"/>
  <c r="H125" i="28" s="1"/>
  <c r="I125" i="28" s="1"/>
  <c r="J125" i="28" s="1"/>
  <c r="J124" i="28"/>
  <c r="F124" i="28"/>
  <c r="G124" i="28" s="1"/>
  <c r="H124" i="28" s="1"/>
  <c r="I124" i="28" s="1"/>
  <c r="E120" i="28"/>
  <c r="F120" i="28" s="1"/>
  <c r="F116" i="28"/>
  <c r="G116" i="28" s="1"/>
  <c r="H116" i="28" s="1"/>
  <c r="I116" i="28" s="1"/>
  <c r="J116" i="28" s="1"/>
  <c r="E116" i="28"/>
  <c r="H112" i="28"/>
  <c r="I112" i="28" s="1"/>
  <c r="J112" i="28" s="1"/>
  <c r="E112" i="28"/>
  <c r="F112" i="28" s="1"/>
  <c r="G112" i="28" s="1"/>
  <c r="F111" i="28"/>
  <c r="G111" i="28" s="1"/>
  <c r="G113" i="28" s="1"/>
  <c r="E111" i="28"/>
  <c r="F108" i="28"/>
  <c r="E108" i="28"/>
  <c r="F107" i="28"/>
  <c r="G107" i="28" s="1"/>
  <c r="H107" i="28" s="1"/>
  <c r="I107" i="28" s="1"/>
  <c r="J107" i="28" s="1"/>
  <c r="E107" i="28"/>
  <c r="F103" i="28"/>
  <c r="G103" i="28" s="1"/>
  <c r="H103" i="28" s="1"/>
  <c r="I103" i="28" s="1"/>
  <c r="J103" i="28" s="1"/>
  <c r="E103" i="28"/>
  <c r="F100" i="28"/>
  <c r="G99" i="28"/>
  <c r="H99" i="28" s="1"/>
  <c r="I99" i="28" s="1"/>
  <c r="J99" i="28" s="1"/>
  <c r="E99" i="28"/>
  <c r="F99" i="28" s="1"/>
  <c r="I98" i="28"/>
  <c r="J98" i="28" s="1"/>
  <c r="G98" i="28"/>
  <c r="H98" i="28" s="1"/>
  <c r="F98" i="28"/>
  <c r="G97" i="28"/>
  <c r="H97" i="28" s="1"/>
  <c r="I97" i="28" s="1"/>
  <c r="J97" i="28" s="1"/>
  <c r="F97" i="28"/>
  <c r="G96" i="28"/>
  <c r="H96" i="28" s="1"/>
  <c r="I96" i="28" s="1"/>
  <c r="J96" i="28" s="1"/>
  <c r="F96" i="28"/>
  <c r="H95" i="28"/>
  <c r="F95" i="28"/>
  <c r="G95" i="28" s="1"/>
  <c r="E94" i="28"/>
  <c r="F86" i="28"/>
  <c r="G86" i="28" s="1"/>
  <c r="H86" i="28" s="1"/>
  <c r="I86" i="28" s="1"/>
  <c r="J86" i="28" s="1"/>
  <c r="F84" i="28"/>
  <c r="F80" i="28"/>
  <c r="G80" i="28" s="1"/>
  <c r="H80" i="28" s="1"/>
  <c r="I80" i="28" s="1"/>
  <c r="J80" i="28" s="1"/>
  <c r="J79" i="28"/>
  <c r="F79" i="28"/>
  <c r="G79" i="28" s="1"/>
  <c r="H79" i="28" s="1"/>
  <c r="I79" i="28" s="1"/>
  <c r="F78" i="28"/>
  <c r="G78" i="28" s="1"/>
  <c r="E77" i="28"/>
  <c r="E81" i="28" s="1"/>
  <c r="F74" i="28"/>
  <c r="G73" i="28"/>
  <c r="G74" i="28" s="1"/>
  <c r="F73" i="28"/>
  <c r="H70" i="28"/>
  <c r="G70" i="28"/>
  <c r="I69" i="28"/>
  <c r="G69" i="28"/>
  <c r="H69" i="28" s="1"/>
  <c r="F69" i="28"/>
  <c r="F70" i="28" s="1"/>
  <c r="G68" i="28"/>
  <c r="E68" i="28" s="1"/>
  <c r="E70" i="28" s="1"/>
  <c r="G58" i="28"/>
  <c r="H58" i="28" s="1"/>
  <c r="I58" i="28" s="1"/>
  <c r="J58" i="28" s="1"/>
  <c r="F58" i="28"/>
  <c r="E58" i="28"/>
  <c r="F55" i="28"/>
  <c r="G55" i="28" s="1"/>
  <c r="H55" i="28" s="1"/>
  <c r="I55" i="28" s="1"/>
  <c r="J55" i="28" s="1"/>
  <c r="E55" i="28"/>
  <c r="E54" i="28"/>
  <c r="F54" i="28" s="1"/>
  <c r="G54" i="28" s="1"/>
  <c r="H54" i="28" s="1"/>
  <c r="I54" i="28" s="1"/>
  <c r="J54" i="28" s="1"/>
  <c r="F51" i="28"/>
  <c r="G51" i="28" s="1"/>
  <c r="H51" i="28" s="1"/>
  <c r="I51" i="28" s="1"/>
  <c r="J51" i="28" s="1"/>
  <c r="E51" i="28"/>
  <c r="H48" i="28"/>
  <c r="I48" i="28" s="1"/>
  <c r="J48" i="28" s="1"/>
  <c r="E48" i="28"/>
  <c r="F48" i="28" s="1"/>
  <c r="G48" i="28" s="1"/>
  <c r="E45" i="28"/>
  <c r="F45" i="28" s="1"/>
  <c r="G45" i="28" s="1"/>
  <c r="H45" i="28" s="1"/>
  <c r="I45" i="28" s="1"/>
  <c r="J45" i="28" s="1"/>
  <c r="F44" i="28"/>
  <c r="G44" i="28" s="1"/>
  <c r="H44" i="28" s="1"/>
  <c r="I44" i="28" s="1"/>
  <c r="J44" i="28" s="1"/>
  <c r="G43" i="28"/>
  <c r="H43" i="28" s="1"/>
  <c r="I43" i="28" s="1"/>
  <c r="J43" i="28" s="1"/>
  <c r="F43" i="28"/>
  <c r="J42" i="28"/>
  <c r="F42" i="28"/>
  <c r="G42" i="28" s="1"/>
  <c r="H42" i="28" s="1"/>
  <c r="I42" i="28" s="1"/>
  <c r="F41" i="28"/>
  <c r="F59" i="28" s="1"/>
  <c r="E40" i="28"/>
  <c r="E59" i="28" s="1"/>
  <c r="E35" i="28"/>
  <c r="I34" i="28"/>
  <c r="J34" i="28" s="1"/>
  <c r="H34" i="28"/>
  <c r="G34" i="28"/>
  <c r="F34" i="28"/>
  <c r="F33" i="28"/>
  <c r="G33" i="28" s="1"/>
  <c r="H33" i="28" s="1"/>
  <c r="I33" i="28" s="1"/>
  <c r="J33" i="28" s="1"/>
  <c r="L32" i="28"/>
  <c r="F30" i="28"/>
  <c r="G30" i="28" s="1"/>
  <c r="H30" i="28" s="1"/>
  <c r="I30" i="28" s="1"/>
  <c r="J30" i="28" s="1"/>
  <c r="F29" i="28"/>
  <c r="G29" i="28" s="1"/>
  <c r="F27" i="28"/>
  <c r="E27" i="28"/>
  <c r="L26" i="28"/>
  <c r="H26" i="28"/>
  <c r="H27" i="28" s="1"/>
  <c r="G26" i="28"/>
  <c r="G27" i="28" s="1"/>
  <c r="F26" i="28"/>
  <c r="E24" i="28"/>
  <c r="H23" i="28"/>
  <c r="I23" i="28" s="1"/>
  <c r="J23" i="28" s="1"/>
  <c r="G23" i="28"/>
  <c r="F23" i="28"/>
  <c r="E21" i="28"/>
  <c r="F20" i="28"/>
  <c r="G20" i="28" s="1"/>
  <c r="H20" i="28" s="1"/>
  <c r="I20" i="28" s="1"/>
  <c r="J20" i="28" s="1"/>
  <c r="G19" i="28"/>
  <c r="H19" i="28" s="1"/>
  <c r="I19" i="28" s="1"/>
  <c r="J19" i="28" s="1"/>
  <c r="F19" i="28"/>
  <c r="E17" i="28"/>
  <c r="F16" i="28"/>
  <c r="G16" i="28" s="1"/>
  <c r="E14" i="28"/>
  <c r="F13" i="28"/>
  <c r="F11" i="28"/>
  <c r="H10" i="28"/>
  <c r="I10" i="28" s="1"/>
  <c r="J10" i="28" s="1"/>
  <c r="G10" i="28"/>
  <c r="F10" i="28"/>
  <c r="F9" i="28"/>
  <c r="G9" i="28" s="1"/>
  <c r="H9" i="28" s="1"/>
  <c r="I9" i="28" s="1"/>
  <c r="J9" i="28" s="1"/>
  <c r="F8" i="28"/>
  <c r="G8" i="28" s="1"/>
  <c r="H8" i="28" s="1"/>
  <c r="I8" i="28" s="1"/>
  <c r="J8" i="28" s="1"/>
  <c r="E7" i="28"/>
  <c r="E31" i="28" s="1"/>
  <c r="I1" i="28"/>
  <c r="J1" i="28" s="1"/>
  <c r="H1" i="28"/>
  <c r="G1" i="28"/>
  <c r="O170" i="1"/>
  <c r="N170" i="1"/>
  <c r="L170" i="1"/>
  <c r="K170" i="1"/>
  <c r="J170" i="1"/>
  <c r="I170" i="1"/>
  <c r="O169" i="1"/>
  <c r="N169" i="1"/>
  <c r="L169" i="1"/>
  <c r="K169" i="1"/>
  <c r="J169" i="1"/>
  <c r="I169" i="1"/>
  <c r="O168" i="1"/>
  <c r="N168" i="1"/>
  <c r="M168" i="1"/>
  <c r="L168" i="1"/>
  <c r="K168" i="1"/>
  <c r="J168" i="1"/>
  <c r="I168" i="1"/>
  <c r="F151" i="24"/>
  <c r="K151" i="24" s="1"/>
  <c r="F150" i="24"/>
  <c r="K150" i="24" s="1"/>
  <c r="F144" i="24"/>
  <c r="K144" i="24" s="1"/>
  <c r="N163" i="1"/>
  <c r="O163" i="1"/>
  <c r="N162" i="1"/>
  <c r="O162" i="1"/>
  <c r="N161" i="1"/>
  <c r="O161" i="1"/>
  <c r="I162" i="1"/>
  <c r="I163" i="1"/>
  <c r="I161" i="1"/>
  <c r="N160" i="1"/>
  <c r="O160" i="1"/>
  <c r="I160" i="1"/>
  <c r="F143" i="24"/>
  <c r="K143" i="24" s="1"/>
  <c r="H142" i="24"/>
  <c r="F141" i="24"/>
  <c r="J141" i="24" s="1"/>
  <c r="O157" i="1"/>
  <c r="N157" i="1"/>
  <c r="I157" i="1"/>
  <c r="O158" i="1"/>
  <c r="N158" i="1"/>
  <c r="F136" i="24"/>
  <c r="H136" i="24" s="1"/>
  <c r="O155" i="1"/>
  <c r="N155" i="1"/>
  <c r="M155" i="1"/>
  <c r="L155" i="1"/>
  <c r="K155" i="1"/>
  <c r="I155" i="1"/>
  <c r="L160" i="1" l="1"/>
  <c r="J161" i="1"/>
  <c r="M162" i="1"/>
  <c r="M163" i="1"/>
  <c r="M169" i="1"/>
  <c r="P169" i="1" s="1"/>
  <c r="M170" i="1"/>
  <c r="P170" i="1" s="1"/>
  <c r="P157" i="1"/>
  <c r="P168" i="1"/>
  <c r="G17" i="28"/>
  <c r="H16" i="28"/>
  <c r="I70" i="28"/>
  <c r="J69" i="28"/>
  <c r="J70" i="28" s="1"/>
  <c r="F14" i="28"/>
  <c r="F36" i="28" s="1"/>
  <c r="F62" i="28" s="1"/>
  <c r="G13" i="28"/>
  <c r="H13" i="28" s="1"/>
  <c r="I13" i="28" s="1"/>
  <c r="J13" i="28" s="1"/>
  <c r="H73" i="28"/>
  <c r="I73" i="28" s="1"/>
  <c r="J73" i="28" s="1"/>
  <c r="F85" i="28"/>
  <c r="G84" i="28"/>
  <c r="G100" i="28"/>
  <c r="H111" i="28"/>
  <c r="I111" i="28" s="1"/>
  <c r="J111" i="28" s="1"/>
  <c r="F24" i="28"/>
  <c r="I26" i="28"/>
  <c r="H126" i="28"/>
  <c r="H100" i="28"/>
  <c r="H121" i="28"/>
  <c r="H117" i="28"/>
  <c r="H108" i="28"/>
  <c r="F117" i="28"/>
  <c r="E52" i="28"/>
  <c r="E49" i="28"/>
  <c r="E46" i="28"/>
  <c r="E56" i="28"/>
  <c r="G120" i="28"/>
  <c r="H120" i="28" s="1"/>
  <c r="I120" i="28" s="1"/>
  <c r="J120" i="28" s="1"/>
  <c r="F121" i="28"/>
  <c r="F17" i="28"/>
  <c r="F56" i="28"/>
  <c r="F49" i="28"/>
  <c r="F46" i="28"/>
  <c r="F60" i="28" s="1"/>
  <c r="G41" i="28"/>
  <c r="H78" i="28"/>
  <c r="G81" i="28"/>
  <c r="G121" i="28"/>
  <c r="F21" i="28"/>
  <c r="H29" i="28"/>
  <c r="G31" i="28"/>
  <c r="F31" i="28"/>
  <c r="F52" i="28"/>
  <c r="H74" i="28"/>
  <c r="F81" i="28"/>
  <c r="I95" i="28"/>
  <c r="H104" i="28"/>
  <c r="G117" i="28"/>
  <c r="E186" i="28"/>
  <c r="I186" i="28"/>
  <c r="E126" i="28"/>
  <c r="E121" i="28"/>
  <c r="E117" i="28"/>
  <c r="E113" i="28"/>
  <c r="E104" i="28"/>
  <c r="K102" i="28" s="1"/>
  <c r="F126" i="28"/>
  <c r="E149" i="28"/>
  <c r="E151" i="28" s="1"/>
  <c r="E11" i="28"/>
  <c r="E36" i="28" s="1"/>
  <c r="F35" i="28"/>
  <c r="G108" i="28"/>
  <c r="G104" i="28"/>
  <c r="E100" i="28"/>
  <c r="F104" i="28"/>
  <c r="F133" i="28" s="1"/>
  <c r="F155" i="28" s="1"/>
  <c r="F113" i="28"/>
  <c r="G126" i="28"/>
  <c r="H143" i="24"/>
  <c r="I143" i="24"/>
  <c r="H144" i="24"/>
  <c r="I144" i="24"/>
  <c r="I142" i="24"/>
  <c r="J144" i="24"/>
  <c r="I141" i="24"/>
  <c r="K142" i="24"/>
  <c r="J143" i="24"/>
  <c r="K141" i="24"/>
  <c r="H141" i="24"/>
  <c r="J142" i="24"/>
  <c r="M158" i="1"/>
  <c r="M161" i="1" l="1"/>
  <c r="K163" i="1"/>
  <c r="K160" i="1"/>
  <c r="L163" i="1"/>
  <c r="J163" i="1"/>
  <c r="K161" i="1"/>
  <c r="K162" i="1"/>
  <c r="J162" i="1"/>
  <c r="L161" i="1"/>
  <c r="J160" i="1"/>
  <c r="M160" i="1"/>
  <c r="L162" i="1"/>
  <c r="F162" i="28"/>
  <c r="F190" i="28" s="1"/>
  <c r="H113" i="28"/>
  <c r="H133" i="28" s="1"/>
  <c r="H155" i="28" s="1"/>
  <c r="H31" i="28"/>
  <c r="I29" i="28"/>
  <c r="G59" i="28"/>
  <c r="G56" i="28"/>
  <c r="H41" i="28"/>
  <c r="G46" i="28"/>
  <c r="G49" i="28"/>
  <c r="G52" i="28"/>
  <c r="E133" i="28"/>
  <c r="I74" i="28"/>
  <c r="E60" i="28"/>
  <c r="E62" i="28" s="1"/>
  <c r="G133" i="28"/>
  <c r="I78" i="28"/>
  <c r="H81" i="28"/>
  <c r="I27" i="28"/>
  <c r="J26" i="28"/>
  <c r="J27" i="28" s="1"/>
  <c r="H84" i="28"/>
  <c r="G85" i="28"/>
  <c r="G87" i="28" s="1"/>
  <c r="G191" i="28" s="1"/>
  <c r="I16" i="28"/>
  <c r="H17" i="28"/>
  <c r="H36" i="28" s="1"/>
  <c r="I121" i="28"/>
  <c r="I117" i="28"/>
  <c r="I113" i="28"/>
  <c r="I108" i="28"/>
  <c r="I100" i="28"/>
  <c r="J95" i="28"/>
  <c r="I126" i="28"/>
  <c r="I104" i="28"/>
  <c r="G89" i="28"/>
  <c r="F87" i="28"/>
  <c r="F89" i="28" s="1"/>
  <c r="G36" i="28"/>
  <c r="P158" i="1"/>
  <c r="P162" i="1" l="1"/>
  <c r="P161" i="1"/>
  <c r="P160" i="1"/>
  <c r="P163" i="1"/>
  <c r="H162" i="28"/>
  <c r="F192" i="28"/>
  <c r="J117" i="28"/>
  <c r="J100" i="28"/>
  <c r="J126" i="28"/>
  <c r="J113" i="28"/>
  <c r="J104" i="28"/>
  <c r="J121" i="28"/>
  <c r="J108" i="28"/>
  <c r="I81" i="28"/>
  <c r="J78" i="28"/>
  <c r="J81" i="28" s="1"/>
  <c r="I133" i="28"/>
  <c r="I155" i="28" s="1"/>
  <c r="I162" i="28" s="1"/>
  <c r="J74" i="28"/>
  <c r="G60" i="28"/>
  <c r="G62" i="28" s="1"/>
  <c r="G190" i="28" s="1"/>
  <c r="I31" i="28"/>
  <c r="J29" i="28"/>
  <c r="J31" i="28" s="1"/>
  <c r="F191" i="28"/>
  <c r="J16" i="28"/>
  <c r="J17" i="28" s="1"/>
  <c r="J36" i="28" s="1"/>
  <c r="I17" i="28"/>
  <c r="I36" i="28" s="1"/>
  <c r="H85" i="28"/>
  <c r="I84" i="28"/>
  <c r="I41" i="28"/>
  <c r="H59" i="28"/>
  <c r="H52" i="28"/>
  <c r="H49" i="28"/>
  <c r="H46" i="28"/>
  <c r="H60" i="28" s="1"/>
  <c r="H62" i="28" s="1"/>
  <c r="H190" i="28" s="1"/>
  <c r="H56" i="28"/>
  <c r="G192" i="28" l="1"/>
  <c r="H87" i="28"/>
  <c r="J133" i="28"/>
  <c r="J155" i="28" s="1"/>
  <c r="J162" i="28" s="1"/>
  <c r="E155" i="28"/>
  <c r="E162" i="28" s="1"/>
  <c r="I52" i="28"/>
  <c r="I49" i="28"/>
  <c r="I46" i="28"/>
  <c r="I59" i="28"/>
  <c r="I56" i="28"/>
  <c r="J41" i="28"/>
  <c r="J84" i="28"/>
  <c r="J85" i="28" s="1"/>
  <c r="J87" i="28" s="1"/>
  <c r="J191" i="28" s="1"/>
  <c r="I85" i="28"/>
  <c r="I87" i="28" s="1"/>
  <c r="I89" i="28" s="1"/>
  <c r="E74" i="28"/>
  <c r="E85" i="28" l="1"/>
  <c r="E87" i="28" s="1"/>
  <c r="I191" i="28"/>
  <c r="I60" i="28"/>
  <c r="I62" i="28" s="1"/>
  <c r="I190" i="28" s="1"/>
  <c r="E89" i="28"/>
  <c r="H191" i="28"/>
  <c r="H89" i="28"/>
  <c r="J89" i="28"/>
  <c r="J52" i="28"/>
  <c r="J56" i="28"/>
  <c r="J49" i="28"/>
  <c r="J59" i="28"/>
  <c r="J46" i="28"/>
  <c r="J60" i="28" s="1"/>
  <c r="J62" i="28" s="1"/>
  <c r="J190" i="28" s="1"/>
  <c r="J192" i="28" s="1"/>
  <c r="I192" i="28" l="1"/>
  <c r="E190" i="28"/>
  <c r="H192" i="28"/>
  <c r="E191" i="28"/>
  <c r="E192" i="28" l="1"/>
  <c r="J154" i="1" l="1"/>
  <c r="K154" i="1"/>
  <c r="L154" i="1"/>
  <c r="M154" i="1"/>
  <c r="N154" i="1"/>
  <c r="O154" i="1"/>
  <c r="K153" i="1"/>
  <c r="L153" i="1"/>
  <c r="M153" i="1"/>
  <c r="N153" i="1"/>
  <c r="O153" i="1"/>
  <c r="J153" i="1"/>
  <c r="F135" i="24"/>
  <c r="G135" i="24" s="1"/>
  <c r="F134" i="24"/>
  <c r="G134" i="24" s="1"/>
  <c r="F133" i="24"/>
  <c r="G133" i="24" s="1"/>
  <c r="J152" i="1"/>
  <c r="K152" i="1"/>
  <c r="L152" i="1"/>
  <c r="M152" i="1"/>
  <c r="N152" i="1"/>
  <c r="O152" i="1"/>
  <c r="K165" i="1"/>
  <c r="L165" i="1"/>
  <c r="M165" i="1"/>
  <c r="N165" i="1"/>
  <c r="O165" i="1"/>
  <c r="I165" i="1"/>
  <c r="F146" i="24"/>
  <c r="H146" i="24" s="1"/>
  <c r="K167" i="1"/>
  <c r="L167" i="1"/>
  <c r="M167" i="1"/>
  <c r="N167" i="1"/>
  <c r="O167" i="1"/>
  <c r="I167" i="1"/>
  <c r="F148" i="24"/>
  <c r="H148" i="24" s="1"/>
  <c r="J167" i="1" l="1"/>
  <c r="P167" i="1" s="1"/>
  <c r="J165" i="1"/>
  <c r="P165" i="1" s="1"/>
  <c r="I152" i="1"/>
  <c r="P152" i="1" s="1"/>
  <c r="I153" i="1"/>
  <c r="I154" i="1"/>
  <c r="P154" i="1" s="1"/>
  <c r="F106" i="24" l="1"/>
  <c r="F105" i="24"/>
  <c r="F104" i="24"/>
  <c r="G104" i="24" s="1"/>
  <c r="F27" i="24" l="1"/>
  <c r="F26" i="24"/>
  <c r="H26" i="24" s="1"/>
  <c r="J29" i="1" s="1"/>
  <c r="F25" i="24"/>
  <c r="J25" i="24" s="1"/>
  <c r="L28" i="1" s="1"/>
  <c r="P30" i="1" l="1"/>
  <c r="K25" i="24"/>
  <c r="M28" i="1" s="1"/>
  <c r="I25" i="24"/>
  <c r="K28" i="1" s="1"/>
  <c r="O126" i="1"/>
  <c r="N126" i="1"/>
  <c r="M126" i="1"/>
  <c r="L126" i="1"/>
  <c r="J126" i="1"/>
  <c r="I126" i="1"/>
  <c r="I125" i="1"/>
  <c r="O124" i="1"/>
  <c r="N124" i="1"/>
  <c r="M124" i="1"/>
  <c r="L124" i="1"/>
  <c r="K124" i="1"/>
  <c r="I124" i="1"/>
  <c r="J123" i="1"/>
  <c r="K123" i="1"/>
  <c r="L123" i="1"/>
  <c r="M123" i="1"/>
  <c r="N123" i="1"/>
  <c r="O123" i="1"/>
  <c r="P95" i="1" l="1"/>
  <c r="O144" i="1"/>
  <c r="N144" i="1"/>
  <c r="F73" i="24"/>
  <c r="H73" i="24" s="1"/>
  <c r="J79" i="1" s="1"/>
  <c r="F74" i="24"/>
  <c r="H74" i="24" s="1"/>
  <c r="J80" i="1" s="1"/>
  <c r="F75" i="24"/>
  <c r="H75" i="24" s="1"/>
  <c r="J81" i="1" s="1"/>
  <c r="F76" i="24"/>
  <c r="H76" i="24" s="1"/>
  <c r="J82" i="1" s="1"/>
  <c r="F77" i="24"/>
  <c r="H77" i="24" s="1"/>
  <c r="J83" i="1" s="1"/>
  <c r="F68" i="24"/>
  <c r="H68" i="24" s="1"/>
  <c r="J74" i="1" s="1"/>
  <c r="F69" i="24"/>
  <c r="H69" i="24" s="1"/>
  <c r="J75" i="1" s="1"/>
  <c r="F70" i="24"/>
  <c r="H70" i="24" s="1"/>
  <c r="J76" i="1" s="1"/>
  <c r="F71" i="24"/>
  <c r="H71" i="24" s="1"/>
  <c r="J77" i="1" s="1"/>
  <c r="F72" i="24"/>
  <c r="H72" i="24" s="1"/>
  <c r="J78" i="1" s="1"/>
  <c r="F67" i="24"/>
  <c r="G67" i="24" s="1"/>
  <c r="I73" i="1" s="1"/>
  <c r="F63" i="24"/>
  <c r="G63" i="24" s="1"/>
  <c r="I69" i="1" s="1"/>
  <c r="F64" i="24"/>
  <c r="G64" i="24" s="1"/>
  <c r="I70" i="1" s="1"/>
  <c r="F65" i="24"/>
  <c r="G65" i="24" s="1"/>
  <c r="I71" i="1" s="1"/>
  <c r="F62" i="24"/>
  <c r="G62" i="24" s="1"/>
  <c r="I68" i="1" s="1"/>
  <c r="F57" i="24"/>
  <c r="J57" i="24" s="1"/>
  <c r="L62" i="1" s="1"/>
  <c r="F58" i="24"/>
  <c r="J58" i="24" s="1"/>
  <c r="L63" i="1" s="1"/>
  <c r="F59" i="24"/>
  <c r="J59" i="24" s="1"/>
  <c r="L64" i="1" s="1"/>
  <c r="F60" i="24"/>
  <c r="J60" i="24" s="1"/>
  <c r="L65" i="1" s="1"/>
  <c r="F61" i="24"/>
  <c r="J61" i="24" s="1"/>
  <c r="L66" i="1" s="1"/>
  <c r="F56" i="24"/>
  <c r="I56" i="24" s="1"/>
  <c r="K61" i="1" s="1"/>
  <c r="F55" i="24"/>
  <c r="I55" i="24" s="1"/>
  <c r="K60" i="1" s="1"/>
  <c r="F54" i="24"/>
  <c r="I54" i="24" s="1"/>
  <c r="K59" i="1" s="1"/>
  <c r="F53" i="24"/>
  <c r="I53" i="24" s="1"/>
  <c r="K58" i="1" s="1"/>
  <c r="F52" i="24"/>
  <c r="I52" i="24" s="1"/>
  <c r="K57" i="1" s="1"/>
  <c r="F51" i="24"/>
  <c r="I51" i="24" s="1"/>
  <c r="K56" i="1" s="1"/>
  <c r="F49" i="24"/>
  <c r="I49" i="24" s="1"/>
  <c r="F50" i="24"/>
  <c r="I50" i="24" s="1"/>
  <c r="F44" i="24"/>
  <c r="I44" i="24" s="1"/>
  <c r="K49" i="1" s="1"/>
  <c r="F45" i="24"/>
  <c r="I45" i="24" s="1"/>
  <c r="K50" i="1" s="1"/>
  <c r="F46" i="24"/>
  <c r="I46" i="24" s="1"/>
  <c r="K51" i="1" s="1"/>
  <c r="F47" i="24"/>
  <c r="I47" i="24" s="1"/>
  <c r="F39" i="24"/>
  <c r="I39" i="24" s="1"/>
  <c r="K43" i="1" s="1"/>
  <c r="F40" i="24"/>
  <c r="I40" i="24" s="1"/>
  <c r="K44" i="1" s="1"/>
  <c r="F41" i="24"/>
  <c r="I41" i="24" s="1"/>
  <c r="K45" i="1" s="1"/>
  <c r="F42" i="24"/>
  <c r="I42" i="24" s="1"/>
  <c r="K46" i="1" s="1"/>
  <c r="F43" i="24"/>
  <c r="I43" i="24" s="1"/>
  <c r="K47" i="1" s="1"/>
  <c r="O36" i="1"/>
  <c r="N36" i="1"/>
  <c r="M36" i="1"/>
  <c r="L36" i="1"/>
  <c r="J36" i="1"/>
  <c r="I36" i="1"/>
  <c r="O35" i="1"/>
  <c r="N35" i="1"/>
  <c r="M35" i="1"/>
  <c r="L35" i="1"/>
  <c r="J35" i="1"/>
  <c r="I35" i="1"/>
  <c r="O34" i="1"/>
  <c r="N34" i="1"/>
  <c r="M34" i="1"/>
  <c r="L34" i="1"/>
  <c r="J34" i="1"/>
  <c r="I34" i="1"/>
  <c r="J33" i="1"/>
  <c r="L33" i="1"/>
  <c r="M33" i="1"/>
  <c r="N33" i="1"/>
  <c r="O33" i="1"/>
  <c r="I33" i="1"/>
  <c r="O27" i="1"/>
  <c r="N27" i="1"/>
  <c r="M27" i="1"/>
  <c r="I27" i="1"/>
  <c r="O26" i="1"/>
  <c r="N26" i="1"/>
  <c r="O25" i="1"/>
  <c r="N25" i="1"/>
  <c r="L20" i="1"/>
  <c r="M20" i="1"/>
  <c r="N20" i="1"/>
  <c r="O20" i="1"/>
  <c r="F17" i="24"/>
  <c r="F18" i="24"/>
  <c r="F19" i="24"/>
  <c r="F22" i="24"/>
  <c r="F23" i="24"/>
  <c r="F24" i="24"/>
  <c r="F29" i="24"/>
  <c r="I29" i="24" s="1"/>
  <c r="F30" i="24"/>
  <c r="F31" i="24"/>
  <c r="I31" i="24" s="1"/>
  <c r="F32" i="24"/>
  <c r="I32" i="24" s="1"/>
  <c r="F37" i="24"/>
  <c r="I37" i="24" s="1"/>
  <c r="K41" i="1" s="1"/>
  <c r="F38" i="24"/>
  <c r="I38" i="24" s="1"/>
  <c r="K42" i="1" s="1"/>
  <c r="O18" i="1"/>
  <c r="N18" i="1"/>
  <c r="M18" i="1"/>
  <c r="L18" i="1"/>
  <c r="K18" i="1"/>
  <c r="I18" i="1"/>
  <c r="O17" i="1"/>
  <c r="N17" i="1"/>
  <c r="M17" i="1"/>
  <c r="L17" i="1"/>
  <c r="K17" i="1"/>
  <c r="I17" i="1"/>
  <c r="H15" i="24"/>
  <c r="H11" i="24"/>
  <c r="H12" i="24"/>
  <c r="H13" i="24"/>
  <c r="H14" i="24"/>
  <c r="H16" i="24"/>
  <c r="H10" i="24"/>
  <c r="O16" i="1"/>
  <c r="N16" i="1"/>
  <c r="M16" i="1"/>
  <c r="L16" i="1"/>
  <c r="K16" i="1"/>
  <c r="I16" i="1"/>
  <c r="O15" i="1"/>
  <c r="N15" i="1"/>
  <c r="M15" i="1"/>
  <c r="L15" i="1"/>
  <c r="K15" i="1"/>
  <c r="I15" i="1"/>
  <c r="O14" i="1"/>
  <c r="N14" i="1"/>
  <c r="M14" i="1"/>
  <c r="L14" i="1"/>
  <c r="K14" i="1"/>
  <c r="I14" i="1"/>
  <c r="O13" i="1"/>
  <c r="N13" i="1"/>
  <c r="M13" i="1"/>
  <c r="L13" i="1"/>
  <c r="K13" i="1"/>
  <c r="I13" i="1"/>
  <c r="O12" i="1"/>
  <c r="N12" i="1"/>
  <c r="M12" i="1"/>
  <c r="L12" i="1"/>
  <c r="K12" i="1"/>
  <c r="I12" i="1"/>
  <c r="O11" i="1"/>
  <c r="N11" i="1"/>
  <c r="M11" i="1"/>
  <c r="L11" i="1"/>
  <c r="K11" i="1"/>
  <c r="J11" i="1"/>
  <c r="K52" i="1" l="1"/>
  <c r="P52" i="1" s="1"/>
  <c r="K54" i="1"/>
  <c r="P54" i="1" s="1"/>
  <c r="K55" i="1"/>
  <c r="P55" i="1" s="1"/>
  <c r="J18" i="24"/>
  <c r="L21" i="1" s="1"/>
  <c r="I18" i="24"/>
  <c r="K21" i="1" s="1"/>
  <c r="H18" i="24"/>
  <c r="J21" i="1" s="1"/>
  <c r="G18" i="24"/>
  <c r="I21" i="1" s="1"/>
  <c r="K18" i="24"/>
  <c r="M21" i="1" s="1"/>
  <c r="I17" i="24"/>
  <c r="K20" i="1" s="1"/>
  <c r="H17" i="24"/>
  <c r="J20" i="1" s="1"/>
  <c r="G17" i="24"/>
  <c r="I20" i="1" s="1"/>
  <c r="J23" i="24"/>
  <c r="L26" i="1" s="1"/>
  <c r="H23" i="24"/>
  <c r="J26" i="1" s="1"/>
  <c r="G23" i="24"/>
  <c r="I26" i="1" s="1"/>
  <c r="K23" i="24"/>
  <c r="M26" i="1" s="1"/>
  <c r="I23" i="24"/>
  <c r="K26" i="1" s="1"/>
  <c r="G22" i="24"/>
  <c r="I25" i="1" s="1"/>
  <c r="K22" i="24"/>
  <c r="M25" i="1" s="1"/>
  <c r="J22" i="24"/>
  <c r="L25" i="1" s="1"/>
  <c r="I22" i="24"/>
  <c r="K25" i="1" s="1"/>
  <c r="H22" i="24"/>
  <c r="J25" i="1" s="1"/>
  <c r="P40" i="1"/>
  <c r="P29" i="1"/>
  <c r="P28" i="1"/>
  <c r="P73" i="1"/>
  <c r="P63" i="1"/>
  <c r="P71" i="1"/>
  <c r="P43" i="1"/>
  <c r="P62" i="1"/>
  <c r="P68" i="1"/>
  <c r="P39" i="1"/>
  <c r="P70" i="1"/>
  <c r="P65" i="1"/>
  <c r="P79" i="1"/>
  <c r="P80" i="1"/>
  <c r="P81" i="1"/>
  <c r="P38" i="1"/>
  <c r="P69" i="1"/>
  <c r="P44" i="1"/>
  <c r="P42" i="1"/>
  <c r="P51" i="1"/>
  <c r="P56" i="1"/>
  <c r="P78" i="1"/>
  <c r="P64" i="1"/>
  <c r="P41" i="1"/>
  <c r="J16" i="1"/>
  <c r="P16" i="1" s="1"/>
  <c r="P83" i="1"/>
  <c r="P50" i="1"/>
  <c r="P57" i="1"/>
  <c r="P77" i="1"/>
  <c r="K36" i="1"/>
  <c r="P36" i="1" s="1"/>
  <c r="P11" i="1"/>
  <c r="J15" i="1"/>
  <c r="P15" i="1" s="1"/>
  <c r="P47" i="1"/>
  <c r="P49" i="1"/>
  <c r="P58" i="1"/>
  <c r="P76" i="1"/>
  <c r="J12" i="1"/>
  <c r="P12" i="1" s="1"/>
  <c r="J18" i="1"/>
  <c r="P18" i="1" s="1"/>
  <c r="J14" i="1"/>
  <c r="P14" i="1" s="1"/>
  <c r="P46" i="1"/>
  <c r="P59" i="1"/>
  <c r="P75" i="1"/>
  <c r="P61" i="1"/>
  <c r="J13" i="1"/>
  <c r="P13" i="1" s="1"/>
  <c r="P45" i="1"/>
  <c r="P82" i="1"/>
  <c r="P60" i="1"/>
  <c r="P66" i="1"/>
  <c r="P74" i="1"/>
  <c r="K33" i="1"/>
  <c r="P33" i="1" s="1"/>
  <c r="K35" i="1"/>
  <c r="P35" i="1" s="1"/>
  <c r="K19" i="24"/>
  <c r="M22" i="1" s="1"/>
  <c r="G19" i="24"/>
  <c r="I22" i="1" s="1"/>
  <c r="H19" i="24"/>
  <c r="J22" i="1" s="1"/>
  <c r="I19" i="24"/>
  <c r="K22" i="1" s="1"/>
  <c r="J19" i="24"/>
  <c r="L22" i="1" s="1"/>
  <c r="I30" i="24"/>
  <c r="R67" i="1" l="1"/>
  <c r="C19" i="19" s="1"/>
  <c r="P20" i="1"/>
  <c r="P25" i="1"/>
  <c r="P26" i="1"/>
  <c r="J27" i="1"/>
  <c r="K27" i="1"/>
  <c r="L27" i="1"/>
  <c r="K34" i="1"/>
  <c r="P34" i="1" s="1"/>
  <c r="R84" i="1"/>
  <c r="C20" i="19" s="1"/>
  <c r="R48" i="1" l="1"/>
  <c r="C18" i="19" s="1"/>
  <c r="P21" i="1"/>
  <c r="P27" i="1"/>
  <c r="P22" i="1"/>
  <c r="R32" i="1" s="1"/>
  <c r="C16" i="19" l="1"/>
  <c r="J9" i="1"/>
  <c r="K9" i="1"/>
  <c r="L9" i="1"/>
  <c r="M9" i="1"/>
  <c r="N9" i="1"/>
  <c r="O9" i="1"/>
  <c r="F7" i="24"/>
  <c r="J8" i="1"/>
  <c r="K8" i="1"/>
  <c r="L8" i="1"/>
  <c r="M8" i="1"/>
  <c r="N8" i="1"/>
  <c r="O8" i="1"/>
  <c r="F6" i="24"/>
  <c r="J7" i="1"/>
  <c r="K7" i="1"/>
  <c r="L7" i="1"/>
  <c r="M7" i="1"/>
  <c r="N7" i="1"/>
  <c r="O7" i="1"/>
  <c r="F4" i="24"/>
  <c r="F5" i="24"/>
  <c r="J6" i="1"/>
  <c r="K6" i="1"/>
  <c r="L6" i="1"/>
  <c r="M6" i="1"/>
  <c r="N6" i="1"/>
  <c r="O6" i="1"/>
  <c r="J5" i="1"/>
  <c r="K5" i="1"/>
  <c r="L5" i="1"/>
  <c r="M5" i="1"/>
  <c r="N5" i="1"/>
  <c r="N85" i="1" s="1"/>
  <c r="O5" i="1"/>
  <c r="O85" i="1" l="1"/>
  <c r="M85" i="1"/>
  <c r="K85" i="1"/>
  <c r="J85" i="1"/>
  <c r="L85" i="1"/>
  <c r="I5" i="1"/>
  <c r="G7" i="24"/>
  <c r="I9" i="1" s="1"/>
  <c r="P9" i="1" s="1"/>
  <c r="G5" i="24"/>
  <c r="I7" i="1" s="1"/>
  <c r="P7" i="1" s="1"/>
  <c r="G6" i="24"/>
  <c r="I8" i="1" s="1"/>
  <c r="P8" i="1" s="1"/>
  <c r="G4" i="24"/>
  <c r="I6" i="1" s="1"/>
  <c r="P6" i="1" s="1"/>
  <c r="P205" i="1"/>
  <c r="C21" i="11"/>
  <c r="D21" i="11"/>
  <c r="E21" i="11"/>
  <c r="F21" i="11"/>
  <c r="G21" i="11"/>
  <c r="H21" i="11"/>
  <c r="B21" i="11"/>
  <c r="B15" i="11"/>
  <c r="B20" i="11"/>
  <c r="J106" i="24"/>
  <c r="K105" i="24"/>
  <c r="L104" i="24"/>
  <c r="B1" i="27"/>
  <c r="C20" i="27"/>
  <c r="D20" i="27"/>
  <c r="H20" i="27"/>
  <c r="C21" i="27"/>
  <c r="H21" i="27" s="1"/>
  <c r="D21" i="27"/>
  <c r="C22" i="27"/>
  <c r="H22" i="27" s="1"/>
  <c r="D22" i="27"/>
  <c r="D33" i="27" s="1"/>
  <c r="C23" i="27"/>
  <c r="D23" i="27"/>
  <c r="H23" i="27" s="1"/>
  <c r="C24" i="27"/>
  <c r="D24" i="27"/>
  <c r="H24" i="27"/>
  <c r="C25" i="27"/>
  <c r="H25" i="27" s="1"/>
  <c r="D25" i="27"/>
  <c r="C26" i="27"/>
  <c r="H26" i="27" s="1"/>
  <c r="D26" i="27"/>
  <c r="D37" i="27" s="1"/>
  <c r="C27" i="27"/>
  <c r="D27" i="27"/>
  <c r="H27" i="27" s="1"/>
  <c r="C31" i="27"/>
  <c r="D31" i="27"/>
  <c r="E31" i="27"/>
  <c r="H31" i="27" s="1"/>
  <c r="F31" i="27"/>
  <c r="G31" i="27"/>
  <c r="C32" i="27"/>
  <c r="H32" i="27" s="1"/>
  <c r="D32" i="27"/>
  <c r="E32" i="27"/>
  <c r="F32" i="27"/>
  <c r="G32" i="27"/>
  <c r="G39" i="27" s="1"/>
  <c r="E33" i="27"/>
  <c r="F33" i="27"/>
  <c r="G33" i="27"/>
  <c r="C34" i="27"/>
  <c r="E34" i="27"/>
  <c r="F34" i="27"/>
  <c r="G34" i="27"/>
  <c r="C35" i="27"/>
  <c r="D35" i="27"/>
  <c r="E35" i="27"/>
  <c r="H35" i="27" s="1"/>
  <c r="F35" i="27"/>
  <c r="G35" i="27"/>
  <c r="C36" i="27"/>
  <c r="H36" i="27" s="1"/>
  <c r="D36" i="27"/>
  <c r="E36" i="27"/>
  <c r="F36" i="27"/>
  <c r="G36" i="27"/>
  <c r="E37" i="27"/>
  <c r="F37" i="27"/>
  <c r="G37" i="27"/>
  <c r="C38" i="27"/>
  <c r="E38" i="27"/>
  <c r="F38" i="27"/>
  <c r="G38" i="27"/>
  <c r="E39" i="27"/>
  <c r="F39" i="27"/>
  <c r="B1" i="26"/>
  <c r="E5" i="26"/>
  <c r="F5" i="26" s="1"/>
  <c r="G5" i="26" s="1"/>
  <c r="E6" i="26"/>
  <c r="F6" i="26" s="1"/>
  <c r="E7" i="26"/>
  <c r="F7" i="26" s="1"/>
  <c r="E8" i="26"/>
  <c r="E9" i="26"/>
  <c r="E10" i="26"/>
  <c r="F10" i="26" s="1"/>
  <c r="E11" i="26"/>
  <c r="F11" i="26" s="1"/>
  <c r="E12" i="26"/>
  <c r="F12" i="26"/>
  <c r="G12" i="26" s="1"/>
  <c r="H16" i="26"/>
  <c r="H17" i="26"/>
  <c r="H18" i="26"/>
  <c r="H19" i="26"/>
  <c r="H20" i="26"/>
  <c r="H21" i="26"/>
  <c r="H22" i="26"/>
  <c r="H23" i="26"/>
  <c r="C27" i="26"/>
  <c r="D27" i="26"/>
  <c r="E27" i="26"/>
  <c r="F27" i="26"/>
  <c r="G27" i="26"/>
  <c r="H27" i="26"/>
  <c r="C28" i="26"/>
  <c r="H28" i="26" s="1"/>
  <c r="D28" i="26"/>
  <c r="E28" i="26"/>
  <c r="F28" i="26"/>
  <c r="F35" i="26" s="1"/>
  <c r="G28" i="26"/>
  <c r="G35" i="26" s="1"/>
  <c r="C29" i="26"/>
  <c r="D29" i="26"/>
  <c r="E29" i="26"/>
  <c r="F29" i="26"/>
  <c r="G29" i="26"/>
  <c r="H29" i="26"/>
  <c r="C30" i="26"/>
  <c r="H30" i="26" s="1"/>
  <c r="D30" i="26"/>
  <c r="E30" i="26"/>
  <c r="F30" i="26"/>
  <c r="G30" i="26"/>
  <c r="C31" i="26"/>
  <c r="D31" i="26"/>
  <c r="E31" i="26"/>
  <c r="F31" i="26"/>
  <c r="G31" i="26"/>
  <c r="H31" i="26"/>
  <c r="C32" i="26"/>
  <c r="H32" i="26" s="1"/>
  <c r="D32" i="26"/>
  <c r="E32" i="26"/>
  <c r="F32" i="26"/>
  <c r="G32" i="26"/>
  <c r="C33" i="26"/>
  <c r="D33" i="26"/>
  <c r="E33" i="26"/>
  <c r="F33" i="26"/>
  <c r="G33" i="26"/>
  <c r="H33" i="26"/>
  <c r="C34" i="26"/>
  <c r="H34" i="26" s="1"/>
  <c r="D34" i="26"/>
  <c r="E34" i="26"/>
  <c r="F34" i="26"/>
  <c r="G34" i="26"/>
  <c r="D35" i="26"/>
  <c r="E35" i="26"/>
  <c r="I85" i="1" l="1"/>
  <c r="P5" i="1"/>
  <c r="L119" i="1"/>
  <c r="M118" i="1"/>
  <c r="N117" i="1"/>
  <c r="K132" i="1"/>
  <c r="K136" i="1" s="1"/>
  <c r="R208" i="1"/>
  <c r="K104" i="24"/>
  <c r="M106" i="24"/>
  <c r="I106" i="24"/>
  <c r="H105" i="24"/>
  <c r="J105" i="24"/>
  <c r="H104" i="24"/>
  <c r="L106" i="24"/>
  <c r="M105" i="24"/>
  <c r="I105" i="24"/>
  <c r="J104" i="24"/>
  <c r="G106" i="24"/>
  <c r="K106" i="24"/>
  <c r="L105" i="24"/>
  <c r="M104" i="24"/>
  <c r="I104" i="24"/>
  <c r="G105" i="24"/>
  <c r="H106" i="24"/>
  <c r="C39" i="27"/>
  <c r="C37" i="27"/>
  <c r="H37" i="27" s="1"/>
  <c r="C33" i="27"/>
  <c r="H33" i="27" s="1"/>
  <c r="D38" i="27"/>
  <c r="H38" i="27" s="1"/>
  <c r="D34" i="27"/>
  <c r="D39" i="27" s="1"/>
  <c r="E46" i="26"/>
  <c r="F46" i="26"/>
  <c r="D46" i="26"/>
  <c r="C46" i="26"/>
  <c r="H46" i="26" s="1"/>
  <c r="G46" i="26"/>
  <c r="C39" i="26"/>
  <c r="G39" i="26"/>
  <c r="D39" i="26"/>
  <c r="F39" i="26"/>
  <c r="E39" i="26"/>
  <c r="H35" i="26"/>
  <c r="G7" i="26"/>
  <c r="C35" i="26"/>
  <c r="G10" i="26"/>
  <c r="F9" i="26"/>
  <c r="G9" i="26" s="1"/>
  <c r="G13" i="26" s="1"/>
  <c r="G6" i="26"/>
  <c r="F8" i="26"/>
  <c r="G8" i="26" s="1"/>
  <c r="G11" i="26"/>
  <c r="C41" i="19" l="1"/>
  <c r="H41" i="19" s="1"/>
  <c r="P85" i="1"/>
  <c r="R19" i="1"/>
  <c r="M119" i="1"/>
  <c r="J117" i="1"/>
  <c r="K119" i="1"/>
  <c r="N118" i="1"/>
  <c r="J118" i="1"/>
  <c r="O119" i="1"/>
  <c r="I119" i="1"/>
  <c r="J119" i="1"/>
  <c r="I117" i="1"/>
  <c r="I118" i="1"/>
  <c r="L117" i="1"/>
  <c r="K118" i="1"/>
  <c r="O117" i="1"/>
  <c r="M117" i="1"/>
  <c r="L118" i="1"/>
  <c r="O118" i="1"/>
  <c r="K117" i="1"/>
  <c r="N119" i="1"/>
  <c r="J132" i="1"/>
  <c r="J136" i="1" s="1"/>
  <c r="N132" i="1"/>
  <c r="N136" i="1" s="1"/>
  <c r="L132" i="1"/>
  <c r="L136" i="1" s="1"/>
  <c r="I132" i="1"/>
  <c r="I136" i="1" s="1"/>
  <c r="M132" i="1"/>
  <c r="M136" i="1" s="1"/>
  <c r="H39" i="27"/>
  <c r="H34" i="27"/>
  <c r="E44" i="26"/>
  <c r="F44" i="26"/>
  <c r="C44" i="26"/>
  <c r="G44" i="26"/>
  <c r="D44" i="26"/>
  <c r="C45" i="26"/>
  <c r="H45" i="26" s="1"/>
  <c r="G45" i="26"/>
  <c r="D45" i="26"/>
  <c r="E45" i="26"/>
  <c r="F45" i="26"/>
  <c r="E42" i="26"/>
  <c r="F42" i="26"/>
  <c r="D42" i="26"/>
  <c r="C42" i="26"/>
  <c r="H42" i="26" s="1"/>
  <c r="G42" i="26"/>
  <c r="H39" i="26"/>
  <c r="C43" i="26"/>
  <c r="G43" i="26"/>
  <c r="D43" i="26"/>
  <c r="F43" i="26"/>
  <c r="E43" i="26"/>
  <c r="E40" i="26"/>
  <c r="E47" i="26" s="1"/>
  <c r="F40" i="26"/>
  <c r="F47" i="26" s="1"/>
  <c r="C40" i="26"/>
  <c r="H40" i="26" s="1"/>
  <c r="G40" i="26"/>
  <c r="G47" i="26" s="1"/>
  <c r="D40" i="26"/>
  <c r="C41" i="26"/>
  <c r="G41" i="26"/>
  <c r="D41" i="26"/>
  <c r="E41" i="26"/>
  <c r="F41" i="26"/>
  <c r="D47" i="26"/>
  <c r="P136" i="1" l="1"/>
  <c r="P132" i="1"/>
  <c r="C15" i="19"/>
  <c r="P119" i="1"/>
  <c r="P117" i="1"/>
  <c r="P118" i="1"/>
  <c r="P96" i="1"/>
  <c r="R97" i="1" s="1"/>
  <c r="H41" i="26"/>
  <c r="C47" i="26"/>
  <c r="H47" i="26" s="1"/>
  <c r="H44" i="26"/>
  <c r="H43" i="26"/>
  <c r="R135" i="1" l="1"/>
  <c r="H20" i="19"/>
  <c r="C21" i="19"/>
  <c r="F112" i="24"/>
  <c r="I112" i="24" s="1"/>
  <c r="G15" i="19" l="1"/>
  <c r="G20" i="19"/>
  <c r="D20" i="19" s="1"/>
  <c r="G19" i="19"/>
  <c r="D19" i="19" s="1"/>
  <c r="G18" i="19"/>
  <c r="D18" i="19" s="1"/>
  <c r="D16" i="19"/>
  <c r="K126" i="1"/>
  <c r="G21" i="19" l="1"/>
  <c r="D15" i="19"/>
  <c r="P126" i="1"/>
  <c r="D111" i="24" l="1"/>
  <c r="F111" i="24" s="1"/>
  <c r="F110" i="24"/>
  <c r="H110" i="24" s="1"/>
  <c r="D109" i="24"/>
  <c r="F109" i="24" s="1"/>
  <c r="G109" i="24" s="1"/>
  <c r="J124" i="1" l="1"/>
  <c r="P124" i="1" s="1"/>
  <c r="I123" i="1"/>
  <c r="P123" i="1" s="1"/>
  <c r="J111" i="24"/>
  <c r="H111" i="24"/>
  <c r="M111" i="24"/>
  <c r="K111" i="24"/>
  <c r="L111" i="24"/>
  <c r="I111" i="24"/>
  <c r="N125" i="1" l="1"/>
  <c r="K144" i="1"/>
  <c r="J144" i="1"/>
  <c r="K125" i="1"/>
  <c r="M125" i="1"/>
  <c r="O125" i="1"/>
  <c r="J125" i="1"/>
  <c r="L125" i="1"/>
  <c r="M144" i="1"/>
  <c r="L144" i="1"/>
  <c r="P125" i="1" l="1"/>
  <c r="D7" i="22"/>
  <c r="B10" i="19" s="1"/>
  <c r="I189" i="1"/>
  <c r="J189" i="1"/>
  <c r="K189" i="1"/>
  <c r="M189" i="1"/>
  <c r="N189" i="1"/>
  <c r="O188" i="1"/>
  <c r="I188" i="1"/>
  <c r="J184" i="1"/>
  <c r="K184" i="1"/>
  <c r="L184" i="1"/>
  <c r="M184" i="1"/>
  <c r="N184" i="1"/>
  <c r="O184" i="1"/>
  <c r="N186" i="1"/>
  <c r="O186" i="1"/>
  <c r="K164" i="1"/>
  <c r="L164" i="1"/>
  <c r="M164" i="1"/>
  <c r="N164" i="1"/>
  <c r="O164" i="1"/>
  <c r="I164" i="1"/>
  <c r="K156" i="1"/>
  <c r="L156" i="1"/>
  <c r="M156" i="1"/>
  <c r="N156" i="1"/>
  <c r="O156" i="1"/>
  <c r="I156" i="1"/>
  <c r="K150" i="1"/>
  <c r="L150" i="1"/>
  <c r="M150" i="1"/>
  <c r="N150" i="1"/>
  <c r="O150" i="1"/>
  <c r="O148" i="1"/>
  <c r="J148" i="1"/>
  <c r="K148" i="1"/>
  <c r="L148" i="1"/>
  <c r="M148" i="1"/>
  <c r="I148" i="1"/>
  <c r="O146" i="1"/>
  <c r="I146" i="1"/>
  <c r="N141" i="1"/>
  <c r="O141" i="1"/>
  <c r="N113" i="1"/>
  <c r="O113" i="1"/>
  <c r="N112" i="1"/>
  <c r="O112" i="1"/>
  <c r="J111" i="1"/>
  <c r="K111" i="1"/>
  <c r="L111" i="1"/>
  <c r="M111" i="1"/>
  <c r="N111" i="1"/>
  <c r="O111" i="1"/>
  <c r="N110" i="1"/>
  <c r="O110" i="1"/>
  <c r="N108" i="1"/>
  <c r="O108" i="1"/>
  <c r="O107" i="1"/>
  <c r="I107" i="1"/>
  <c r="N106" i="1"/>
  <c r="O106" i="1"/>
  <c r="N105" i="1"/>
  <c r="O105" i="1"/>
  <c r="J104" i="1"/>
  <c r="K104" i="1"/>
  <c r="L104" i="1"/>
  <c r="M104" i="1"/>
  <c r="N104" i="1"/>
  <c r="O104" i="1"/>
  <c r="J103" i="1"/>
  <c r="K103" i="1"/>
  <c r="L103" i="1"/>
  <c r="M103" i="1"/>
  <c r="N103" i="1"/>
  <c r="O103" i="1"/>
  <c r="H155" i="24"/>
  <c r="I155" i="24"/>
  <c r="J155" i="24"/>
  <c r="K155" i="24"/>
  <c r="L155" i="24"/>
  <c r="M155" i="24"/>
  <c r="G155" i="24"/>
  <c r="M195" i="24"/>
  <c r="L195" i="24"/>
  <c r="K195" i="24"/>
  <c r="J195" i="24"/>
  <c r="I195" i="24"/>
  <c r="H195" i="24"/>
  <c r="F195" i="24"/>
  <c r="M194" i="24"/>
  <c r="L194" i="24"/>
  <c r="K194" i="24"/>
  <c r="J194" i="24"/>
  <c r="I194" i="24"/>
  <c r="H194" i="24"/>
  <c r="G194" i="24"/>
  <c r="F194" i="24"/>
  <c r="M193" i="24"/>
  <c r="L193" i="24"/>
  <c r="K193" i="24"/>
  <c r="J193" i="24"/>
  <c r="I193" i="24"/>
  <c r="H193" i="24"/>
  <c r="G193" i="24"/>
  <c r="F193" i="24"/>
  <c r="M192" i="24"/>
  <c r="L192" i="24"/>
  <c r="K192" i="24"/>
  <c r="J192" i="24"/>
  <c r="I192" i="24"/>
  <c r="H192" i="24"/>
  <c r="G192" i="24"/>
  <c r="F192" i="24"/>
  <c r="M191" i="24"/>
  <c r="L191" i="24"/>
  <c r="K191" i="24"/>
  <c r="J191" i="24"/>
  <c r="I191" i="24"/>
  <c r="H191" i="24"/>
  <c r="G191" i="24"/>
  <c r="F191" i="24"/>
  <c r="M190" i="24"/>
  <c r="L190" i="24"/>
  <c r="K190" i="24"/>
  <c r="J190" i="24"/>
  <c r="I190" i="24"/>
  <c r="H190" i="24"/>
  <c r="G190" i="24"/>
  <c r="I225" i="1" s="1"/>
  <c r="F190" i="24"/>
  <c r="M189" i="24"/>
  <c r="L189" i="24"/>
  <c r="K189" i="24"/>
  <c r="J189" i="24"/>
  <c r="I189" i="24"/>
  <c r="H189" i="24"/>
  <c r="G189" i="24"/>
  <c r="F189" i="24"/>
  <c r="M188" i="24"/>
  <c r="L188" i="24"/>
  <c r="K188" i="24"/>
  <c r="J188" i="24"/>
  <c r="I188" i="24"/>
  <c r="H188" i="24"/>
  <c r="G188" i="24"/>
  <c r="F188" i="24"/>
  <c r="M187" i="24"/>
  <c r="L187" i="24"/>
  <c r="K187" i="24"/>
  <c r="J187" i="24"/>
  <c r="I187" i="24"/>
  <c r="H187" i="24"/>
  <c r="G187" i="24"/>
  <c r="F187" i="24"/>
  <c r="G186" i="24"/>
  <c r="F186" i="24"/>
  <c r="G185" i="24"/>
  <c r="F185" i="24"/>
  <c r="M184" i="24"/>
  <c r="L184" i="24"/>
  <c r="K184" i="24"/>
  <c r="J184" i="24"/>
  <c r="I184" i="24"/>
  <c r="G184" i="24"/>
  <c r="F184" i="24"/>
  <c r="M165" i="24"/>
  <c r="J165" i="24"/>
  <c r="F165" i="24"/>
  <c r="L164" i="24"/>
  <c r="K164" i="24"/>
  <c r="J164" i="24"/>
  <c r="I164" i="24"/>
  <c r="H164" i="24"/>
  <c r="F164" i="24"/>
  <c r="K162" i="24"/>
  <c r="J162" i="24"/>
  <c r="I162" i="24"/>
  <c r="H162" i="24"/>
  <c r="G162" i="24"/>
  <c r="F162" i="24"/>
  <c r="M161" i="24"/>
  <c r="L161" i="24"/>
  <c r="K161" i="24"/>
  <c r="J161" i="24"/>
  <c r="I161" i="24"/>
  <c r="H161" i="24"/>
  <c r="G161" i="24"/>
  <c r="F161" i="24"/>
  <c r="F160" i="24"/>
  <c r="G160" i="24" s="1"/>
  <c r="M159" i="24"/>
  <c r="L159" i="24"/>
  <c r="K159" i="24"/>
  <c r="J159" i="24"/>
  <c r="I159" i="24"/>
  <c r="H159" i="24"/>
  <c r="G159" i="24"/>
  <c r="F159" i="24"/>
  <c r="F154" i="24"/>
  <c r="M153" i="24"/>
  <c r="O176" i="1" s="1"/>
  <c r="L153" i="24"/>
  <c r="N176" i="1" s="1"/>
  <c r="K153" i="24"/>
  <c r="M176" i="1" s="1"/>
  <c r="J153" i="24"/>
  <c r="L176" i="1" s="1"/>
  <c r="I153" i="24"/>
  <c r="K176" i="1" s="1"/>
  <c r="H153" i="24"/>
  <c r="J176" i="1" s="1"/>
  <c r="G153" i="24"/>
  <c r="I176" i="1" s="1"/>
  <c r="F153" i="24"/>
  <c r="F145" i="24"/>
  <c r="H145" i="24" s="1"/>
  <c r="F137" i="24"/>
  <c r="H137" i="24" s="1"/>
  <c r="J150" i="1"/>
  <c r="F131" i="24"/>
  <c r="G131" i="24" s="1"/>
  <c r="F130" i="24"/>
  <c r="L130" i="24" s="1"/>
  <c r="I141" i="1"/>
  <c r="M108" i="24"/>
  <c r="L108" i="24"/>
  <c r="K108" i="24"/>
  <c r="J108" i="24"/>
  <c r="I108" i="24"/>
  <c r="H108" i="24"/>
  <c r="G108" i="24"/>
  <c r="F108" i="24"/>
  <c r="O114" i="1"/>
  <c r="N114" i="1"/>
  <c r="M114" i="1"/>
  <c r="L114" i="1"/>
  <c r="K114" i="1"/>
  <c r="J114" i="1"/>
  <c r="I114" i="1"/>
  <c r="F102" i="24"/>
  <c r="K101" i="24"/>
  <c r="J101" i="24"/>
  <c r="I101" i="24"/>
  <c r="H101" i="24"/>
  <c r="G101" i="24"/>
  <c r="F101" i="24"/>
  <c r="K100" i="24"/>
  <c r="J100" i="24"/>
  <c r="I100" i="24"/>
  <c r="H100" i="24"/>
  <c r="G100" i="24"/>
  <c r="F100" i="24"/>
  <c r="F99" i="24"/>
  <c r="G99" i="24" s="1"/>
  <c r="K98" i="24"/>
  <c r="J98" i="24"/>
  <c r="I98" i="24"/>
  <c r="H98" i="24"/>
  <c r="G98" i="24"/>
  <c r="F98" i="24"/>
  <c r="K97" i="24"/>
  <c r="J97" i="24"/>
  <c r="I97" i="24"/>
  <c r="H97" i="24"/>
  <c r="G97" i="24"/>
  <c r="L96" i="24"/>
  <c r="K96" i="24"/>
  <c r="J96" i="24"/>
  <c r="I96" i="24"/>
  <c r="H96" i="24"/>
  <c r="F96" i="24"/>
  <c r="K95" i="24"/>
  <c r="J95" i="24"/>
  <c r="I95" i="24"/>
  <c r="H95" i="24"/>
  <c r="G95" i="24"/>
  <c r="F95" i="24"/>
  <c r="K94" i="24"/>
  <c r="J94" i="24"/>
  <c r="I94" i="24"/>
  <c r="H94" i="24"/>
  <c r="G94" i="24"/>
  <c r="F94" i="24"/>
  <c r="F93" i="24"/>
  <c r="G93" i="24" s="1"/>
  <c r="F92" i="24"/>
  <c r="G92" i="24" s="1"/>
  <c r="F91" i="24"/>
  <c r="H91" i="24" s="1"/>
  <c r="F90" i="24"/>
  <c r="G90" i="24" s="1"/>
  <c r="K89" i="24"/>
  <c r="J89" i="24"/>
  <c r="I89" i="24"/>
  <c r="H89" i="24"/>
  <c r="G89" i="24"/>
  <c r="F89" i="24"/>
  <c r="M167" i="24"/>
  <c r="L167" i="24"/>
  <c r="K167" i="24"/>
  <c r="J167" i="24"/>
  <c r="I167" i="24"/>
  <c r="H167" i="24"/>
  <c r="G167" i="24"/>
  <c r="F167" i="24"/>
  <c r="O172" i="1" l="1"/>
  <c r="R127" i="1"/>
  <c r="C28" i="19" s="1"/>
  <c r="J108" i="1"/>
  <c r="K191" i="1"/>
  <c r="K108" i="1"/>
  <c r="N148" i="1"/>
  <c r="P148" i="1" s="1"/>
  <c r="K182" i="1"/>
  <c r="M188" i="1"/>
  <c r="L224" i="1"/>
  <c r="L227" i="1"/>
  <c r="M230" i="1"/>
  <c r="M121" i="1"/>
  <c r="K146" i="1"/>
  <c r="O177" i="1"/>
  <c r="J185" i="1"/>
  <c r="L219" i="1"/>
  <c r="L222" i="1"/>
  <c r="L225" i="1"/>
  <c r="L228" i="1"/>
  <c r="K106" i="1"/>
  <c r="J112" i="1"/>
  <c r="N225" i="1"/>
  <c r="O228" i="1"/>
  <c r="N191" i="1"/>
  <c r="J141" i="1"/>
  <c r="L182" i="1"/>
  <c r="O185" i="1"/>
  <c r="N188" i="1"/>
  <c r="I220" i="1"/>
  <c r="I223" i="1"/>
  <c r="M224" i="1"/>
  <c r="I226" i="1"/>
  <c r="M227" i="1"/>
  <c r="I229" i="1"/>
  <c r="N230" i="1"/>
  <c r="L191" i="1"/>
  <c r="I103" i="1"/>
  <c r="L106" i="1"/>
  <c r="K112" i="1"/>
  <c r="O121" i="1"/>
  <c r="L185" i="1"/>
  <c r="K188" i="1"/>
  <c r="N222" i="1"/>
  <c r="J224" i="1"/>
  <c r="K230" i="1"/>
  <c r="I104" i="1"/>
  <c r="P104" i="1" s="1"/>
  <c r="M106" i="1"/>
  <c r="M108" i="1"/>
  <c r="L112" i="1"/>
  <c r="N146" i="1"/>
  <c r="J182" i="1"/>
  <c r="L188" i="1"/>
  <c r="O219" i="1"/>
  <c r="O222" i="1"/>
  <c r="K224" i="1"/>
  <c r="K227" i="1"/>
  <c r="L230" i="1"/>
  <c r="K107" i="1"/>
  <c r="I177" i="1"/>
  <c r="M182" i="1"/>
  <c r="J223" i="1"/>
  <c r="N224" i="1"/>
  <c r="J226" i="1"/>
  <c r="N227" i="1"/>
  <c r="J229" i="1"/>
  <c r="O230" i="1"/>
  <c r="J191" i="1"/>
  <c r="N121" i="1"/>
  <c r="M146" i="1"/>
  <c r="I182" i="1"/>
  <c r="N219" i="1"/>
  <c r="N228" i="1"/>
  <c r="O225" i="1"/>
  <c r="I105" i="1"/>
  <c r="K105" i="1"/>
  <c r="J155" i="1"/>
  <c r="P155" i="1" s="1"/>
  <c r="J177" i="1"/>
  <c r="I186" i="1"/>
  <c r="L189" i="1"/>
  <c r="I221" i="1"/>
  <c r="K223" i="1"/>
  <c r="O224" i="1"/>
  <c r="K226" i="1"/>
  <c r="O227" i="1"/>
  <c r="K229" i="1"/>
  <c r="I178" i="1"/>
  <c r="J230" i="1"/>
  <c r="M112" i="1"/>
  <c r="I110" i="1"/>
  <c r="J105" i="1"/>
  <c r="J110" i="1"/>
  <c r="L107" i="1"/>
  <c r="K110" i="1"/>
  <c r="L141" i="1"/>
  <c r="N182" i="1"/>
  <c r="J100" i="1"/>
  <c r="L105" i="1"/>
  <c r="M107" i="1"/>
  <c r="L110" i="1"/>
  <c r="I121" i="1"/>
  <c r="M141" i="1"/>
  <c r="M172" i="1" s="1"/>
  <c r="J164" i="1"/>
  <c r="P164" i="1" s="1"/>
  <c r="K177" i="1"/>
  <c r="K196" i="1" s="1"/>
  <c r="O182" i="1"/>
  <c r="J186" i="1"/>
  <c r="O189" i="1"/>
  <c r="L223" i="1"/>
  <c r="L226" i="1"/>
  <c r="L229" i="1"/>
  <c r="O178" i="1"/>
  <c r="J106" i="1"/>
  <c r="M228" i="1"/>
  <c r="J227" i="1"/>
  <c r="M185" i="1"/>
  <c r="M105" i="1"/>
  <c r="J121" i="1"/>
  <c r="I184" i="1"/>
  <c r="K186" i="1"/>
  <c r="I222" i="1"/>
  <c r="M223" i="1"/>
  <c r="M226" i="1"/>
  <c r="I228" i="1"/>
  <c r="M229" i="1"/>
  <c r="N178" i="1"/>
  <c r="K178" i="1"/>
  <c r="L146" i="1"/>
  <c r="K185" i="1"/>
  <c r="J188" i="1"/>
  <c r="M219" i="1"/>
  <c r="M222" i="1"/>
  <c r="M225" i="1"/>
  <c r="I227" i="1"/>
  <c r="J178" i="1"/>
  <c r="N185" i="1"/>
  <c r="O191" i="1"/>
  <c r="J107" i="1"/>
  <c r="K141" i="1"/>
  <c r="K172" i="1" s="1"/>
  <c r="M110" i="1"/>
  <c r="L177" i="1"/>
  <c r="L100" i="1"/>
  <c r="I111" i="1"/>
  <c r="K121" i="1"/>
  <c r="M177" i="1"/>
  <c r="L186" i="1"/>
  <c r="I219" i="1"/>
  <c r="J222" i="1"/>
  <c r="N223" i="1"/>
  <c r="J225" i="1"/>
  <c r="N226" i="1"/>
  <c r="J228" i="1"/>
  <c r="N229" i="1"/>
  <c r="M178" i="1"/>
  <c r="M196" i="1" s="1"/>
  <c r="I101" i="1"/>
  <c r="I112" i="1"/>
  <c r="I102" i="1"/>
  <c r="I224" i="1"/>
  <c r="L108" i="1"/>
  <c r="M191" i="1"/>
  <c r="I100" i="1"/>
  <c r="K100" i="1"/>
  <c r="N107" i="1"/>
  <c r="I191" i="1"/>
  <c r="M100" i="1"/>
  <c r="I106" i="1"/>
  <c r="I108" i="1"/>
  <c r="L121" i="1"/>
  <c r="J146" i="1"/>
  <c r="N177" i="1"/>
  <c r="N196" i="1" s="1"/>
  <c r="I185" i="1"/>
  <c r="M186" i="1"/>
  <c r="K219" i="1"/>
  <c r="K222" i="1"/>
  <c r="O223" i="1"/>
  <c r="K225" i="1"/>
  <c r="O226" i="1"/>
  <c r="K228" i="1"/>
  <c r="O229" i="1"/>
  <c r="L178" i="1"/>
  <c r="I144" i="1"/>
  <c r="L113" i="1"/>
  <c r="M113" i="1"/>
  <c r="K113" i="1"/>
  <c r="J113" i="1"/>
  <c r="I113" i="1"/>
  <c r="I150" i="1"/>
  <c r="J156" i="1"/>
  <c r="P153" i="1"/>
  <c r="G91" i="24"/>
  <c r="F155" i="24"/>
  <c r="J196" i="1" l="1"/>
  <c r="O196" i="1"/>
  <c r="I196" i="1"/>
  <c r="N172" i="1"/>
  <c r="L196" i="1"/>
  <c r="J172" i="1"/>
  <c r="I128" i="1"/>
  <c r="L172" i="1"/>
  <c r="K128" i="1"/>
  <c r="K236" i="1" s="1"/>
  <c r="L128" i="1"/>
  <c r="J128" i="1"/>
  <c r="M128" i="1"/>
  <c r="M236" i="1" s="1"/>
  <c r="P144" i="1"/>
  <c r="I172" i="1"/>
  <c r="P219" i="1"/>
  <c r="O232" i="1"/>
  <c r="P146" i="1"/>
  <c r="R149" i="1" s="1"/>
  <c r="K232" i="1"/>
  <c r="P178" i="1"/>
  <c r="P191" i="1"/>
  <c r="J232" i="1"/>
  <c r="M232" i="1"/>
  <c r="P182" i="1"/>
  <c r="I232" i="1"/>
  <c r="L232" i="1"/>
  <c r="N232" i="1"/>
  <c r="P177" i="1"/>
  <c r="C23" i="19"/>
  <c r="P150" i="1"/>
  <c r="P156" i="1"/>
  <c r="P196" i="1" l="1"/>
  <c r="P172" i="1"/>
  <c r="L236" i="1"/>
  <c r="L240" i="1" s="1"/>
  <c r="M240" i="1"/>
  <c r="K240" i="1"/>
  <c r="J236" i="1"/>
  <c r="J240" i="1" s="1"/>
  <c r="R171" i="1"/>
  <c r="I236" i="1"/>
  <c r="P232" i="1"/>
  <c r="C33" i="19"/>
  <c r="I240" i="1" l="1"/>
  <c r="H65" i="20"/>
  <c r="I65" i="20" s="1"/>
  <c r="J65" i="20" s="1"/>
  <c r="H64" i="20"/>
  <c r="I64" i="20" s="1"/>
  <c r="J64" i="20" s="1"/>
  <c r="H63" i="20"/>
  <c r="I63" i="20" s="1"/>
  <c r="J63" i="20" s="1"/>
  <c r="K65" i="20" s="1"/>
  <c r="L65" i="20" s="1"/>
  <c r="H61" i="20"/>
  <c r="I61" i="20" s="1"/>
  <c r="J61" i="20" s="1"/>
  <c r="K61" i="20" s="1"/>
  <c r="L61" i="20" s="1"/>
  <c r="I30" i="20"/>
  <c r="J30" i="20" s="1"/>
  <c r="I49" i="20"/>
  <c r="J49" i="20" s="1"/>
  <c r="H14" i="20"/>
  <c r="I14" i="20" s="1"/>
  <c r="J14" i="20" s="1"/>
  <c r="H32" i="20"/>
  <c r="I32" i="20" s="1"/>
  <c r="J32" i="20" s="1"/>
  <c r="H51" i="20"/>
  <c r="I51" i="20" s="1"/>
  <c r="J51" i="20" s="1"/>
  <c r="H7" i="20"/>
  <c r="I7" i="20" s="1"/>
  <c r="J7" i="20" s="1"/>
  <c r="H12" i="20"/>
  <c r="I12" i="20" s="1"/>
  <c r="J12" i="20" s="1"/>
  <c r="H16" i="20"/>
  <c r="I16" i="20" s="1"/>
  <c r="J16" i="20" s="1"/>
  <c r="H21" i="20"/>
  <c r="I21" i="20" s="1"/>
  <c r="J21" i="20" s="1"/>
  <c r="H25" i="20"/>
  <c r="I25" i="20" s="1"/>
  <c r="J25" i="20" s="1"/>
  <c r="H30" i="20"/>
  <c r="H35" i="20"/>
  <c r="I35" i="20" s="1"/>
  <c r="J35" i="20" s="1"/>
  <c r="H40" i="20"/>
  <c r="I40" i="20" s="1"/>
  <c r="J40" i="20" s="1"/>
  <c r="H44" i="20"/>
  <c r="I44" i="20" s="1"/>
  <c r="J44" i="20" s="1"/>
  <c r="H49" i="20"/>
  <c r="H54" i="20"/>
  <c r="I54" i="20" s="1"/>
  <c r="J54" i="20" s="1"/>
  <c r="D5" i="20"/>
  <c r="H5" i="20" s="1"/>
  <c r="I5" i="20" s="1"/>
  <c r="J5" i="20" s="1"/>
  <c r="D6" i="20"/>
  <c r="H6" i="20" s="1"/>
  <c r="I6" i="20" s="1"/>
  <c r="J6" i="20" s="1"/>
  <c r="D7" i="20"/>
  <c r="D8" i="20"/>
  <c r="H8" i="20" s="1"/>
  <c r="I8" i="20" s="1"/>
  <c r="J8" i="20" s="1"/>
  <c r="D9" i="20"/>
  <c r="H9" i="20" s="1"/>
  <c r="I9" i="20" s="1"/>
  <c r="J9" i="20" s="1"/>
  <c r="D10" i="20"/>
  <c r="H10" i="20" s="1"/>
  <c r="I10" i="20" s="1"/>
  <c r="J10" i="20" s="1"/>
  <c r="D12" i="20"/>
  <c r="D13" i="20"/>
  <c r="H13" i="20" s="1"/>
  <c r="I13" i="20" s="1"/>
  <c r="J13" i="20" s="1"/>
  <c r="D14" i="20"/>
  <c r="D15" i="20"/>
  <c r="H15" i="20" s="1"/>
  <c r="I15" i="20" s="1"/>
  <c r="J15" i="20" s="1"/>
  <c r="D16" i="20"/>
  <c r="D17" i="20"/>
  <c r="H17" i="20" s="1"/>
  <c r="I17" i="20" s="1"/>
  <c r="J17" i="20" s="1"/>
  <c r="D18" i="20"/>
  <c r="H18" i="20" s="1"/>
  <c r="I18" i="20" s="1"/>
  <c r="J18" i="20" s="1"/>
  <c r="D20" i="20"/>
  <c r="H20" i="20" s="1"/>
  <c r="I20" i="20" s="1"/>
  <c r="J20" i="20" s="1"/>
  <c r="D21" i="20"/>
  <c r="D22" i="20"/>
  <c r="H22" i="20" s="1"/>
  <c r="I22" i="20" s="1"/>
  <c r="J22" i="20" s="1"/>
  <c r="D23" i="20"/>
  <c r="H23" i="20" s="1"/>
  <c r="I23" i="20" s="1"/>
  <c r="J23" i="20" s="1"/>
  <c r="D24" i="20"/>
  <c r="H24" i="20" s="1"/>
  <c r="I24" i="20" s="1"/>
  <c r="J24" i="20" s="1"/>
  <c r="D25" i="20"/>
  <c r="D26" i="20"/>
  <c r="H26" i="20" s="1"/>
  <c r="I26" i="20" s="1"/>
  <c r="J26" i="20" s="1"/>
  <c r="D28" i="20"/>
  <c r="H28" i="20" s="1"/>
  <c r="I28" i="20" s="1"/>
  <c r="J28" i="20" s="1"/>
  <c r="D29" i="20"/>
  <c r="H29" i="20" s="1"/>
  <c r="I29" i="20" s="1"/>
  <c r="J29" i="20" s="1"/>
  <c r="D30" i="20"/>
  <c r="D31" i="20"/>
  <c r="H31" i="20" s="1"/>
  <c r="I31" i="20" s="1"/>
  <c r="J31" i="20" s="1"/>
  <c r="D32" i="20"/>
  <c r="D34" i="20"/>
  <c r="H34" i="20" s="1"/>
  <c r="I34" i="20" s="1"/>
  <c r="J34" i="20" s="1"/>
  <c r="D35" i="20"/>
  <c r="D36" i="20"/>
  <c r="H36" i="20" s="1"/>
  <c r="I36" i="20" s="1"/>
  <c r="J36" i="20" s="1"/>
  <c r="D37" i="20"/>
  <c r="H37" i="20" s="1"/>
  <c r="I37" i="20" s="1"/>
  <c r="J37" i="20" s="1"/>
  <c r="D38" i="20"/>
  <c r="H38" i="20" s="1"/>
  <c r="I38" i="20" s="1"/>
  <c r="J38" i="20" s="1"/>
  <c r="D40" i="20"/>
  <c r="D41" i="20"/>
  <c r="H41" i="20" s="1"/>
  <c r="I41" i="20" s="1"/>
  <c r="J41" i="20" s="1"/>
  <c r="D42" i="20"/>
  <c r="H42" i="20" s="1"/>
  <c r="I42" i="20" s="1"/>
  <c r="J42" i="20" s="1"/>
  <c r="D43" i="20"/>
  <c r="H43" i="20" s="1"/>
  <c r="I43" i="20" s="1"/>
  <c r="J43" i="20" s="1"/>
  <c r="D44" i="20"/>
  <c r="D46" i="20"/>
  <c r="H46" i="20" s="1"/>
  <c r="I46" i="20" s="1"/>
  <c r="J46" i="20" s="1"/>
  <c r="D47" i="20"/>
  <c r="H47" i="20" s="1"/>
  <c r="I47" i="20" s="1"/>
  <c r="J47" i="20" s="1"/>
  <c r="D48" i="20"/>
  <c r="H48" i="20" s="1"/>
  <c r="I48" i="20" s="1"/>
  <c r="J48" i="20" s="1"/>
  <c r="D49" i="20"/>
  <c r="D50" i="20"/>
  <c r="H50" i="20" s="1"/>
  <c r="I50" i="20" s="1"/>
  <c r="J50" i="20" s="1"/>
  <c r="D51" i="20"/>
  <c r="D53" i="20"/>
  <c r="H53" i="20" s="1"/>
  <c r="I53" i="20" s="1"/>
  <c r="J53" i="20" s="1"/>
  <c r="D54" i="20"/>
  <c r="D56" i="20"/>
  <c r="H56" i="20" s="1"/>
  <c r="I56" i="20" s="1"/>
  <c r="J56" i="20" s="1"/>
  <c r="D58" i="20"/>
  <c r="H58" i="20" s="1"/>
  <c r="I58" i="20" s="1"/>
  <c r="J58" i="20" s="1"/>
  <c r="D59" i="20"/>
  <c r="H59" i="20" s="1"/>
  <c r="I59" i="20" s="1"/>
  <c r="J59" i="20" s="1"/>
  <c r="D4" i="20"/>
  <c r="H4" i="20" s="1"/>
  <c r="I4" i="20" s="1"/>
  <c r="J4" i="20" s="1"/>
  <c r="K50" i="21"/>
  <c r="L50" i="21" s="1"/>
  <c r="H50" i="21"/>
  <c r="I50" i="21" s="1"/>
  <c r="J50" i="21" s="1"/>
  <c r="H49" i="21"/>
  <c r="I49" i="21" s="1"/>
  <c r="J49" i="21" s="1"/>
  <c r="H48" i="21"/>
  <c r="I48" i="21" s="1"/>
  <c r="J48" i="21" s="1"/>
  <c r="I46" i="21"/>
  <c r="J46" i="21" s="1"/>
  <c r="K46" i="21" s="1"/>
  <c r="H13" i="21"/>
  <c r="I13" i="21" s="1"/>
  <c r="J13" i="21" s="1"/>
  <c r="H18" i="21"/>
  <c r="I18" i="21" s="1"/>
  <c r="J18" i="21" s="1"/>
  <c r="H22" i="21"/>
  <c r="I22" i="21" s="1"/>
  <c r="J22" i="21" s="1"/>
  <c r="H28" i="21"/>
  <c r="I28" i="21" s="1"/>
  <c r="J28" i="21" s="1"/>
  <c r="H43" i="21"/>
  <c r="I43" i="21" s="1"/>
  <c r="J43" i="21" s="1"/>
  <c r="H7" i="21"/>
  <c r="I7" i="21" s="1"/>
  <c r="J7" i="21" s="1"/>
  <c r="H8" i="21"/>
  <c r="I8" i="21" s="1"/>
  <c r="J8" i="21" s="1"/>
  <c r="H12" i="21"/>
  <c r="I12" i="21" s="1"/>
  <c r="J12" i="21" s="1"/>
  <c r="H17" i="21"/>
  <c r="I17" i="21" s="1"/>
  <c r="J17" i="21" s="1"/>
  <c r="H23" i="21"/>
  <c r="I23" i="21" s="1"/>
  <c r="J23" i="21" s="1"/>
  <c r="H26" i="21"/>
  <c r="I26" i="21" s="1"/>
  <c r="J26" i="21" s="1"/>
  <c r="H27" i="21"/>
  <c r="I27" i="21" s="1"/>
  <c r="J27" i="21" s="1"/>
  <c r="H30" i="21"/>
  <c r="I30" i="21" s="1"/>
  <c r="J30" i="21" s="1"/>
  <c r="H32" i="21"/>
  <c r="I32" i="21" s="1"/>
  <c r="J32" i="21" s="1"/>
  <c r="H36" i="21"/>
  <c r="I36" i="21" s="1"/>
  <c r="J36" i="21" s="1"/>
  <c r="H37" i="21"/>
  <c r="I37" i="21" s="1"/>
  <c r="J37" i="21" s="1"/>
  <c r="H42" i="21"/>
  <c r="I42" i="21" s="1"/>
  <c r="J42" i="21" s="1"/>
  <c r="D5" i="21"/>
  <c r="H5" i="21" s="1"/>
  <c r="I5" i="21" s="1"/>
  <c r="J5" i="21" s="1"/>
  <c r="D6" i="21"/>
  <c r="H6" i="21" s="1"/>
  <c r="I6" i="21" s="1"/>
  <c r="J6" i="21" s="1"/>
  <c r="D7" i="21"/>
  <c r="D8" i="21"/>
  <c r="D10" i="21"/>
  <c r="H10" i="21" s="1"/>
  <c r="I10" i="21" s="1"/>
  <c r="J10" i="21" s="1"/>
  <c r="D11" i="21"/>
  <c r="H11" i="21" s="1"/>
  <c r="I11" i="21" s="1"/>
  <c r="J11" i="21" s="1"/>
  <c r="D12" i="21"/>
  <c r="D13" i="21"/>
  <c r="D14" i="21"/>
  <c r="H14" i="21" s="1"/>
  <c r="I14" i="21" s="1"/>
  <c r="J14" i="21" s="1"/>
  <c r="D16" i="21"/>
  <c r="H16" i="21" s="1"/>
  <c r="I16" i="21" s="1"/>
  <c r="J16" i="21" s="1"/>
  <c r="D17" i="21"/>
  <c r="D18" i="21"/>
  <c r="D19" i="21"/>
  <c r="H19" i="21" s="1"/>
  <c r="I19" i="21" s="1"/>
  <c r="J19" i="21" s="1"/>
  <c r="D20" i="21"/>
  <c r="H20" i="21" s="1"/>
  <c r="I20" i="21" s="1"/>
  <c r="J20" i="21" s="1"/>
  <c r="D22" i="21"/>
  <c r="D23" i="21"/>
  <c r="D24" i="21"/>
  <c r="H24" i="21" s="1"/>
  <c r="I24" i="21" s="1"/>
  <c r="J24" i="21" s="1"/>
  <c r="D25" i="21"/>
  <c r="H25" i="21" s="1"/>
  <c r="I25" i="21" s="1"/>
  <c r="J25" i="21" s="1"/>
  <c r="D26" i="21"/>
  <c r="D27" i="21"/>
  <c r="D28" i="21"/>
  <c r="D29" i="21"/>
  <c r="H29" i="21" s="1"/>
  <c r="I29" i="21" s="1"/>
  <c r="J29" i="21" s="1"/>
  <c r="D30" i="21"/>
  <c r="D32" i="21"/>
  <c r="D33" i="21"/>
  <c r="H33" i="21" s="1"/>
  <c r="I33" i="21" s="1"/>
  <c r="J33" i="21" s="1"/>
  <c r="D34" i="21"/>
  <c r="H34" i="21" s="1"/>
  <c r="I34" i="21" s="1"/>
  <c r="J34" i="21" s="1"/>
  <c r="D36" i="21"/>
  <c r="D37" i="21"/>
  <c r="D39" i="21"/>
  <c r="H39" i="21" s="1"/>
  <c r="I39" i="21" s="1"/>
  <c r="J39" i="21" s="1"/>
  <c r="D40" i="21"/>
  <c r="H40" i="21" s="1"/>
  <c r="I40" i="21" s="1"/>
  <c r="J40" i="21" s="1"/>
  <c r="D42" i="21"/>
  <c r="D43" i="21"/>
  <c r="D44" i="21"/>
  <c r="H44" i="21" s="1"/>
  <c r="I44" i="21" s="1"/>
  <c r="J44" i="21" s="1"/>
  <c r="D4" i="21"/>
  <c r="H4" i="21" s="1"/>
  <c r="I4" i="21" s="1"/>
  <c r="J4" i="21" s="1"/>
  <c r="K59" i="20" l="1"/>
  <c r="L59" i="20" s="1"/>
  <c r="J51" i="21"/>
  <c r="J52" i="21" s="1"/>
  <c r="B2" i="19" s="1"/>
  <c r="K44" i="21"/>
  <c r="L44" i="21" s="1"/>
  <c r="J66" i="20"/>
  <c r="J67" i="20" s="1"/>
  <c r="B3" i="19" s="1"/>
  <c r="D41" i="19" l="1"/>
  <c r="D42" i="19"/>
  <c r="D31" i="19"/>
  <c r="B7" i="19"/>
  <c r="B11" i="19" s="1"/>
  <c r="P220" i="1"/>
  <c r="P221" i="1"/>
  <c r="P222" i="1"/>
  <c r="P223" i="1"/>
  <c r="P224" i="1"/>
  <c r="P225" i="1"/>
  <c r="P226" i="1"/>
  <c r="P227" i="1"/>
  <c r="P228" i="1"/>
  <c r="P229" i="1"/>
  <c r="P230" i="1"/>
  <c r="D9" i="17"/>
  <c r="D8" i="17"/>
  <c r="D7" i="17"/>
  <c r="D6" i="17"/>
  <c r="D5" i="17"/>
  <c r="D4" i="17"/>
  <c r="E2" i="17"/>
  <c r="E1" i="17"/>
  <c r="J19" i="17"/>
  <c r="J18" i="17"/>
  <c r="J17" i="17"/>
  <c r="J16" i="17"/>
  <c r="J15" i="17"/>
  <c r="J14" i="17"/>
  <c r="H19" i="16"/>
  <c r="H20" i="16" s="1"/>
  <c r="G19" i="16"/>
  <c r="F19" i="16"/>
  <c r="G18" i="16"/>
  <c r="F18" i="16"/>
  <c r="E18" i="16"/>
  <c r="F17" i="16"/>
  <c r="E17" i="16"/>
  <c r="D17" i="16"/>
  <c r="E16" i="16"/>
  <c r="D16" i="16"/>
  <c r="C16" i="16"/>
  <c r="D15" i="16"/>
  <c r="C15" i="16"/>
  <c r="B15" i="16"/>
  <c r="B20" i="16" s="1"/>
  <c r="B5" i="16"/>
  <c r="P188" i="1"/>
  <c r="E75" i="15"/>
  <c r="E74" i="15"/>
  <c r="E73" i="15"/>
  <c r="E72" i="15"/>
  <c r="E71" i="15"/>
  <c r="E70" i="15"/>
  <c r="E69" i="15"/>
  <c r="E68" i="15"/>
  <c r="E67" i="15"/>
  <c r="E66" i="15"/>
  <c r="E65" i="15"/>
  <c r="E64" i="15"/>
  <c r="E63" i="15"/>
  <c r="F57" i="15"/>
  <c r="F49" i="15"/>
  <c r="F55" i="15" s="1"/>
  <c r="P184" i="1"/>
  <c r="P185" i="1"/>
  <c r="P186" i="1"/>
  <c r="P189" i="1"/>
  <c r="P176" i="1"/>
  <c r="R183" i="1" s="1"/>
  <c r="P141" i="1"/>
  <c r="R145" i="1" s="1"/>
  <c r="P113" i="1"/>
  <c r="P105" i="1"/>
  <c r="P100" i="1"/>
  <c r="P101" i="1"/>
  <c r="R192" i="1" l="1"/>
  <c r="C38" i="19" s="1"/>
  <c r="O135" i="1"/>
  <c r="O137" i="1" s="1"/>
  <c r="J135" i="1"/>
  <c r="J137" i="1" s="1"/>
  <c r="N135" i="1"/>
  <c r="N137" i="1" s="1"/>
  <c r="L135" i="1"/>
  <c r="L137" i="1" s="1"/>
  <c r="M135" i="1"/>
  <c r="M137" i="1" s="1"/>
  <c r="I135" i="1"/>
  <c r="K135" i="1"/>
  <c r="K137" i="1" s="1"/>
  <c r="R231" i="1"/>
  <c r="C37" i="19"/>
  <c r="C32" i="19"/>
  <c r="D20" i="16"/>
  <c r="E76" i="15"/>
  <c r="J20" i="17"/>
  <c r="C20" i="16"/>
  <c r="D10" i="17"/>
  <c r="G20" i="16"/>
  <c r="F20" i="16"/>
  <c r="E20" i="16"/>
  <c r="C40" i="19" l="1"/>
  <c r="R197" i="1"/>
  <c r="I137" i="1"/>
  <c r="P137" i="1" s="1"/>
  <c r="P135" i="1"/>
  <c r="S135" i="1" l="1"/>
  <c r="Q135" i="1"/>
  <c r="H38" i="19"/>
  <c r="H19" i="11"/>
  <c r="H20" i="11" s="1"/>
  <c r="G18" i="11"/>
  <c r="F17" i="11"/>
  <c r="E16" i="11"/>
  <c r="D15" i="11"/>
  <c r="E17" i="11"/>
  <c r="G19" i="11"/>
  <c r="F18" i="11"/>
  <c r="D16" i="11"/>
  <c r="C15" i="11"/>
  <c r="F19" i="11"/>
  <c r="E18" i="11"/>
  <c r="D17" i="11"/>
  <c r="C16" i="11"/>
  <c r="B5" i="11"/>
  <c r="D5" i="10"/>
  <c r="D6" i="10"/>
  <c r="D7" i="10"/>
  <c r="D8" i="10"/>
  <c r="D9" i="10"/>
  <c r="D4" i="10"/>
  <c r="D5" i="9"/>
  <c r="D6" i="9"/>
  <c r="D7" i="9"/>
  <c r="D8" i="9"/>
  <c r="D4" i="9"/>
  <c r="P102" i="1"/>
  <c r="P103" i="1"/>
  <c r="P106" i="1"/>
  <c r="P107" i="1"/>
  <c r="P108" i="1"/>
  <c r="P110" i="1"/>
  <c r="P111" i="1"/>
  <c r="P112" i="1"/>
  <c r="P114" i="1"/>
  <c r="P121" i="1"/>
  <c r="R122" i="1" s="1"/>
  <c r="R109" i="1" l="1"/>
  <c r="C25" i="19" s="1"/>
  <c r="R116" i="1"/>
  <c r="D9" i="9"/>
  <c r="G20" i="11"/>
  <c r="F20" i="11"/>
  <c r="C20" i="11"/>
  <c r="D20" i="11"/>
  <c r="E20" i="11"/>
  <c r="D10" i="10"/>
  <c r="C26" i="19" l="1"/>
  <c r="C31" i="19"/>
  <c r="C27" i="19" l="1"/>
  <c r="C29" i="19" l="1"/>
  <c r="H28" i="19"/>
  <c r="C34" i="19"/>
  <c r="C35" i="19" s="1"/>
  <c r="G27" i="19" l="1"/>
  <c r="D27" i="19" s="1"/>
  <c r="H34" i="19"/>
  <c r="D23" i="19"/>
  <c r="G28" i="19"/>
  <c r="D28" i="19" s="1"/>
  <c r="G25" i="19"/>
  <c r="D25" i="19" s="1"/>
  <c r="G26" i="19"/>
  <c r="D26" i="19" s="1"/>
  <c r="C42" i="19"/>
  <c r="H42" i="19" s="1"/>
  <c r="C43" i="19" l="1"/>
  <c r="I99" i="1"/>
  <c r="N99" i="1"/>
  <c r="M99" i="1"/>
  <c r="L99" i="1"/>
  <c r="J99" i="1"/>
  <c r="K99" i="1"/>
  <c r="O99" i="1"/>
  <c r="G32" i="19"/>
  <c r="D32" i="19" s="1"/>
  <c r="G33" i="19"/>
  <c r="D33" i="19" s="1"/>
  <c r="G34" i="19"/>
  <c r="D34" i="19" s="1"/>
  <c r="D35" i="19" l="1"/>
  <c r="K53" i="1" l="1"/>
  <c r="I72" i="1"/>
  <c r="H43" i="19"/>
  <c r="G35" i="19" l="1"/>
  <c r="I41" i="19"/>
  <c r="J41" i="19" s="1"/>
  <c r="I120" i="1"/>
  <c r="L212" i="1"/>
  <c r="K127" i="1"/>
  <c r="K115" i="1"/>
  <c r="L159" i="1"/>
  <c r="N89" i="1"/>
  <c r="G29" i="19"/>
  <c r="O89" i="1"/>
  <c r="D21" i="19"/>
  <c r="M89" i="1"/>
  <c r="K89" i="1"/>
  <c r="I89" i="1"/>
  <c r="J89" i="1"/>
  <c r="O23" i="1"/>
  <c r="M23" i="1"/>
  <c r="I23" i="1"/>
  <c r="N23" i="1"/>
  <c r="J23" i="1"/>
  <c r="L23" i="1"/>
  <c r="L86" i="1" s="1"/>
  <c r="K23" i="1"/>
  <c r="O120" i="1"/>
  <c r="L120" i="1"/>
  <c r="K120" i="1"/>
  <c r="I207" i="1"/>
  <c r="I209" i="1" s="1"/>
  <c r="L127" i="1"/>
  <c r="J140" i="1"/>
  <c r="M140" i="1"/>
  <c r="L140" i="1"/>
  <c r="O140" i="1"/>
  <c r="I140" i="1"/>
  <c r="K140" i="1"/>
  <c r="N140" i="1"/>
  <c r="I10" i="1"/>
  <c r="I86" i="1" s="1"/>
  <c r="J17" i="1"/>
  <c r="I20" i="19"/>
  <c r="J20" i="19" s="1"/>
  <c r="O147" i="1"/>
  <c r="J147" i="1"/>
  <c r="K147" i="1"/>
  <c r="M147" i="1"/>
  <c r="L147" i="1"/>
  <c r="N147" i="1"/>
  <c r="I147" i="1"/>
  <c r="K37" i="1"/>
  <c r="J37" i="1"/>
  <c r="P72" i="1"/>
  <c r="Q84" i="1" s="1"/>
  <c r="L233" i="1" l="1"/>
  <c r="L234" i="1" s="1"/>
  <c r="K86" i="1"/>
  <c r="K87" i="1" s="1"/>
  <c r="N86" i="1"/>
  <c r="N87" i="1" s="1"/>
  <c r="M86" i="1"/>
  <c r="M87" i="1" s="1"/>
  <c r="P17" i="1"/>
  <c r="J86" i="1"/>
  <c r="J87" i="1" s="1"/>
  <c r="O86" i="1"/>
  <c r="O87" i="1" s="1"/>
  <c r="N212" i="1"/>
  <c r="J212" i="1"/>
  <c r="K212" i="1"/>
  <c r="M159" i="1"/>
  <c r="M173" i="1" s="1"/>
  <c r="M174" i="1" s="1"/>
  <c r="J159" i="1"/>
  <c r="J173" i="1" s="1"/>
  <c r="J174" i="1" s="1"/>
  <c r="N159" i="1"/>
  <c r="N173" i="1" s="1"/>
  <c r="N174" i="1" s="1"/>
  <c r="K159" i="1"/>
  <c r="K173" i="1" s="1"/>
  <c r="K174" i="1" s="1"/>
  <c r="I159" i="1"/>
  <c r="I173" i="1" s="1"/>
  <c r="O159" i="1"/>
  <c r="O173" i="1" s="1"/>
  <c r="O174" i="1" s="1"/>
  <c r="I34" i="19"/>
  <c r="J34" i="19" s="1"/>
  <c r="M127" i="1"/>
  <c r="O212" i="1"/>
  <c r="O233" i="1" s="1"/>
  <c r="O234" i="1" s="1"/>
  <c r="M120" i="1"/>
  <c r="N115" i="1"/>
  <c r="O127" i="1"/>
  <c r="O128" i="1" s="1"/>
  <c r="O236" i="1" s="1"/>
  <c r="O240" i="1" s="1"/>
  <c r="I28" i="19"/>
  <c r="J28" i="19" s="1"/>
  <c r="N127" i="1"/>
  <c r="M212" i="1"/>
  <c r="M233" i="1" s="1"/>
  <c r="M234" i="1" s="1"/>
  <c r="N120" i="1"/>
  <c r="J127" i="1"/>
  <c r="I212" i="1"/>
  <c r="I233" i="1" s="1"/>
  <c r="I127" i="1"/>
  <c r="I42" i="19"/>
  <c r="J42" i="19" s="1"/>
  <c r="J120" i="1"/>
  <c r="L115" i="1"/>
  <c r="D29" i="19"/>
  <c r="I115" i="1"/>
  <c r="J115" i="1"/>
  <c r="M115" i="1"/>
  <c r="O115" i="1"/>
  <c r="L89" i="1"/>
  <c r="N128" i="1"/>
  <c r="K129" i="1"/>
  <c r="K138" i="1"/>
  <c r="I210" i="1"/>
  <c r="P37" i="1"/>
  <c r="S48" i="1" s="1"/>
  <c r="O207" i="1"/>
  <c r="O209" i="1" s="1"/>
  <c r="O210" i="1" s="1"/>
  <c r="N207" i="1"/>
  <c r="N209" i="1" s="1"/>
  <c r="N210" i="1" s="1"/>
  <c r="J207" i="1"/>
  <c r="J209" i="1" s="1"/>
  <c r="J210" i="1" s="1"/>
  <c r="L207" i="1"/>
  <c r="L209" i="1" s="1"/>
  <c r="L210" i="1" s="1"/>
  <c r="K207" i="1"/>
  <c r="K209" i="1" s="1"/>
  <c r="K210" i="1" s="1"/>
  <c r="M207" i="1"/>
  <c r="M209" i="1" s="1"/>
  <c r="M210" i="1" s="1"/>
  <c r="P99" i="1"/>
  <c r="P53" i="1"/>
  <c r="P140" i="1"/>
  <c r="S145" i="1" s="1"/>
  <c r="L87" i="1"/>
  <c r="S84" i="1"/>
  <c r="P23" i="1"/>
  <c r="Q32" i="1" s="1"/>
  <c r="P147" i="1"/>
  <c r="S149" i="1" s="1"/>
  <c r="P10" i="1"/>
  <c r="I87" i="1"/>
  <c r="L173" i="1"/>
  <c r="L174" i="1" s="1"/>
  <c r="P173" i="1" l="1"/>
  <c r="K233" i="1"/>
  <c r="K234" i="1" s="1"/>
  <c r="J233" i="1"/>
  <c r="J234" i="1" s="1"/>
  <c r="Q19" i="1"/>
  <c r="N233" i="1"/>
  <c r="N234" i="1" s="1"/>
  <c r="N236" i="1"/>
  <c r="O129" i="1"/>
  <c r="O130" i="1" s="1"/>
  <c r="Q149" i="1"/>
  <c r="L129" i="1"/>
  <c r="I129" i="1"/>
  <c r="I130" i="1" s="1"/>
  <c r="Q145" i="1"/>
  <c r="K130" i="1"/>
  <c r="P159" i="1"/>
  <c r="Q171" i="1" s="1"/>
  <c r="J129" i="1"/>
  <c r="P89" i="1"/>
  <c r="S97" i="1" s="1"/>
  <c r="P127" i="1"/>
  <c r="P115" i="1"/>
  <c r="N129" i="1"/>
  <c r="P120" i="1"/>
  <c r="S122" i="1" s="1"/>
  <c r="M129" i="1"/>
  <c r="P212" i="1"/>
  <c r="S231" i="1" s="1"/>
  <c r="I138" i="1"/>
  <c r="J138" i="1"/>
  <c r="N138" i="1"/>
  <c r="L138" i="1"/>
  <c r="O138" i="1"/>
  <c r="M138" i="1"/>
  <c r="Q109" i="1"/>
  <c r="S109" i="1"/>
  <c r="I174" i="1"/>
  <c r="P174" i="1" s="1"/>
  <c r="P210" i="1"/>
  <c r="P209" i="1"/>
  <c r="Q48" i="1"/>
  <c r="P207" i="1"/>
  <c r="S208" i="1" s="1"/>
  <c r="S32" i="1"/>
  <c r="I234" i="1"/>
  <c r="P86" i="1"/>
  <c r="P87" i="1" s="1"/>
  <c r="S19" i="1"/>
  <c r="Q67" i="1"/>
  <c r="S67" i="1"/>
  <c r="P128" i="1" l="1"/>
  <c r="L130" i="1"/>
  <c r="P129" i="1"/>
  <c r="P234" i="1"/>
  <c r="N240" i="1"/>
  <c r="Q236" i="1"/>
  <c r="P138" i="1"/>
  <c r="S171" i="1"/>
  <c r="J130" i="1"/>
  <c r="Q97" i="1"/>
  <c r="M130" i="1"/>
  <c r="N130" i="1"/>
  <c r="Q127" i="1"/>
  <c r="Q122" i="1"/>
  <c r="Q231" i="1"/>
  <c r="S127" i="1"/>
  <c r="S116" i="1"/>
  <c r="Q116" i="1"/>
  <c r="Q208" i="1"/>
  <c r="P130" i="1" l="1"/>
  <c r="R236" i="1" l="1"/>
  <c r="G39" i="19"/>
  <c r="D39" i="19" s="1"/>
  <c r="G37" i="19"/>
  <c r="G38" i="19"/>
  <c r="D38" i="19" s="1"/>
  <c r="N194" i="1" l="1"/>
  <c r="O194" i="1"/>
  <c r="J194" i="1"/>
  <c r="K194" i="1"/>
  <c r="M194" i="1"/>
  <c r="L194" i="1"/>
  <c r="I194" i="1"/>
  <c r="G40" i="19"/>
  <c r="D37" i="19"/>
  <c r="D40" i="19" s="1"/>
  <c r="N187" i="1"/>
  <c r="I187" i="1"/>
  <c r="M190" i="1"/>
  <c r="O187" i="1"/>
  <c r="K187" i="1"/>
  <c r="N190" i="1"/>
  <c r="M187" i="1"/>
  <c r="K190" i="1"/>
  <c r="L190" i="1"/>
  <c r="O190" i="1"/>
  <c r="L187" i="1"/>
  <c r="J190" i="1"/>
  <c r="J187" i="1"/>
  <c r="I190" i="1"/>
  <c r="P194" i="1" l="1"/>
  <c r="Q195" i="1"/>
  <c r="S195" i="1"/>
  <c r="P190" i="1"/>
  <c r="L179" i="1"/>
  <c r="L197" i="1" s="1"/>
  <c r="L237" i="1" s="1"/>
  <c r="D43" i="19"/>
  <c r="D46" i="19" s="1"/>
  <c r="M179" i="1"/>
  <c r="M197" i="1" s="1"/>
  <c r="J179" i="1"/>
  <c r="J197" i="1" s="1"/>
  <c r="K179" i="1"/>
  <c r="I38" i="19"/>
  <c r="O179" i="1"/>
  <c r="N179" i="1"/>
  <c r="I179" i="1"/>
  <c r="I197" i="1" s="1"/>
  <c r="P187" i="1"/>
  <c r="S192" i="1" s="1"/>
  <c r="K197" i="1" l="1"/>
  <c r="K198" i="1" s="1"/>
  <c r="I237" i="1"/>
  <c r="I198" i="1"/>
  <c r="N197" i="1"/>
  <c r="N237" i="1" s="1"/>
  <c r="O197" i="1"/>
  <c r="J198" i="1"/>
  <c r="Q192" i="1"/>
  <c r="I43" i="19"/>
  <c r="J38" i="19"/>
  <c r="J43" i="19" s="1"/>
  <c r="M198" i="1"/>
  <c r="M237" i="1"/>
  <c r="P179" i="1"/>
  <c r="K237" i="1" l="1"/>
  <c r="O198" i="1"/>
  <c r="P197" i="1"/>
  <c r="N198" i="1"/>
  <c r="J237" i="1"/>
  <c r="L198" i="1"/>
  <c r="P198" i="1" s="1"/>
  <c r="Q183" i="1"/>
  <c r="Q197" i="1" s="1"/>
  <c r="S183" i="1"/>
  <c r="S197" i="1" s="1"/>
  <c r="O238" i="1"/>
  <c r="L238" i="1"/>
  <c r="M238" i="1"/>
  <c r="N238" i="1"/>
  <c r="K238" i="1" l="1"/>
  <c r="J238" i="1"/>
  <c r="I238" i="1"/>
</calcChain>
</file>

<file path=xl/sharedStrings.xml><?xml version="1.0" encoding="utf-8"?>
<sst xmlns="http://schemas.openxmlformats.org/spreadsheetml/2006/main" count="2230" uniqueCount="970">
  <si>
    <t>Annex 4: Detailed budget plan</t>
  </si>
  <si>
    <t>Project/Programme Title: Climate-resilient landscapes for sustainable livelihoods in northern Ghana</t>
  </si>
  <si>
    <t>Totals</t>
  </si>
  <si>
    <t>GCF activity subtotals</t>
  </si>
  <si>
    <t>GoG activity subtotals</t>
  </si>
  <si>
    <t>Activity Numbering</t>
  </si>
  <si>
    <t>Component</t>
  </si>
  <si>
    <t>Output</t>
  </si>
  <si>
    <t>Activity</t>
  </si>
  <si>
    <t>Sub-activity</t>
  </si>
  <si>
    <t>Financing Source</t>
  </si>
  <si>
    <t>EE</t>
  </si>
  <si>
    <t>Budget account description</t>
  </si>
  <si>
    <t>Notes and Assumptions</t>
  </si>
  <si>
    <t>Y1</t>
  </si>
  <si>
    <t>Y2</t>
  </si>
  <si>
    <t>Y3</t>
  </si>
  <si>
    <t>Y4</t>
  </si>
  <si>
    <t>Y5</t>
  </si>
  <si>
    <t>Y6</t>
  </si>
  <si>
    <t>Y7</t>
  </si>
  <si>
    <t>Total US$</t>
  </si>
  <si>
    <t>Component 1: Early warning systems</t>
  </si>
  <si>
    <t>Output 1: Improved climate data and early warnings made available to facilitate proactive drought and flood management</t>
  </si>
  <si>
    <t>1.1: Implement a new early warning data information and management system to provide access to improved data sources and new datasets on floods and droughts</t>
  </si>
  <si>
    <t>1.1.1    Implementing science-based methods for merging the existing Hydromet information with satellite-based information for improved accuracy of the data, and producing new seasons forecast within Ghana  as a web-based portal.</t>
  </si>
  <si>
    <t>GCF</t>
  </si>
  <si>
    <t>GMet</t>
  </si>
  <si>
    <t>Local Consultant</t>
  </si>
  <si>
    <t>B1</t>
  </si>
  <si>
    <t xml:space="preserve">Professional or contractual services </t>
  </si>
  <si>
    <t>B2</t>
  </si>
  <si>
    <t>Training, workshops, and conferences</t>
  </si>
  <si>
    <t>B3</t>
  </si>
  <si>
    <t>Travel</t>
  </si>
  <si>
    <t>B4</t>
  </si>
  <si>
    <t>B5</t>
  </si>
  <si>
    <t>GoG</t>
  </si>
  <si>
    <t>Staff cost</t>
  </si>
  <si>
    <t>B6</t>
  </si>
  <si>
    <t>Equipment</t>
  </si>
  <si>
    <t>B7</t>
  </si>
  <si>
    <t xml:space="preserve">1.1.2 Development, validation  and implementation of a web-based service delivery and decision-support (DSS) platform for weather and hydrological early warning services to be used by national and local agencies, including water resource allocation models, risk knowledge services, drought and flood hazard monitoring and EWS.  </t>
  </si>
  <si>
    <t xml:space="preserve">Professional or contractual services
</t>
  </si>
  <si>
    <t>B8</t>
  </si>
  <si>
    <t>B9</t>
  </si>
  <si>
    <t>B10</t>
  </si>
  <si>
    <t>B11</t>
  </si>
  <si>
    <t>B12</t>
  </si>
  <si>
    <t>B13</t>
  </si>
  <si>
    <t>B14</t>
  </si>
  <si>
    <t xml:space="preserve">1.2: Enhancing hydrometeorological and groundwater monitoring observation networks </t>
  </si>
  <si>
    <t xml:space="preserve">1.2.1 Validation of assessment of current gaps and installation of a S-band radar station, solar-powered hydrometeorological and groundwater monitoring stations to improve network coverage. </t>
  </si>
  <si>
    <t>B15</t>
  </si>
  <si>
    <t>B16</t>
  </si>
  <si>
    <t>B17</t>
  </si>
  <si>
    <t>B18</t>
  </si>
  <si>
    <t>GOG</t>
  </si>
  <si>
    <t>WRC</t>
  </si>
  <si>
    <t>Staff costs</t>
  </si>
  <si>
    <t>B18a</t>
  </si>
  <si>
    <t>B19</t>
  </si>
  <si>
    <t>Professional or contractual services</t>
  </si>
  <si>
    <t>B20</t>
  </si>
  <si>
    <t>B21</t>
  </si>
  <si>
    <t>B22</t>
  </si>
  <si>
    <t>B23</t>
  </si>
  <si>
    <t>1.2.2 Development of a sustainability plan, operation and maintainng plan and institutional framework  for the enhanced hydrometeorological and groundwater monitoring network</t>
  </si>
  <si>
    <t xml:space="preserve">Professional or contractual services 
</t>
  </si>
  <si>
    <t>B24</t>
  </si>
  <si>
    <t>B25</t>
  </si>
  <si>
    <t xml:space="preserve">1.3.1   Production of documentation, technical user guides and training materials for the developed services within the established service DSS platform for future use, including for future staff and internal capacity building activities. </t>
  </si>
  <si>
    <t>B26</t>
  </si>
  <si>
    <t>B27</t>
  </si>
  <si>
    <t>B28</t>
  </si>
  <si>
    <t>B29</t>
  </si>
  <si>
    <t>B30</t>
  </si>
  <si>
    <t>1.3.2 Organization of training workshops on the use of the developed platform with key government organisations at national and local level, with focus on training key technical staff on the use of the DSS services.</t>
  </si>
  <si>
    <t>B31</t>
  </si>
  <si>
    <t>B32</t>
  </si>
  <si>
    <t>B33</t>
  </si>
  <si>
    <t>B34</t>
  </si>
  <si>
    <t>B35</t>
  </si>
  <si>
    <t>1.3.3 Dissemination of outreach products as videos, online guidance, brochures etc. for the implemented services to other potential regional and local users.</t>
  </si>
  <si>
    <t>B36</t>
  </si>
  <si>
    <t>B37</t>
  </si>
  <si>
    <t>B38</t>
  </si>
  <si>
    <t>B39</t>
  </si>
  <si>
    <t>B40</t>
  </si>
  <si>
    <t>1.4: Establishing a robust communication framework for disseminating DSS and climate-related hazard management to communities</t>
  </si>
  <si>
    <t xml:space="preserve">1.4.1  Adapt and supplement existing training materials on climate and drought-related hazard management, including integrating traditional knowledge on drought management and adaptation measres, and training extension officers, and farmers </t>
  </si>
  <si>
    <t>B41</t>
  </si>
  <si>
    <t>B42</t>
  </si>
  <si>
    <t>B43</t>
  </si>
  <si>
    <t>B44</t>
  </si>
  <si>
    <t>B45</t>
  </si>
  <si>
    <t>B46</t>
  </si>
  <si>
    <t>B47</t>
  </si>
  <si>
    <t>1.4.2 Training local community members and farmers on the use of the available DSS tools and services, and national-local coordination mechanisms for early warning for droughts and climate-related hazards, including implementation of a mobile-based application supporting the use of the National DSS services.</t>
  </si>
  <si>
    <t>B48</t>
  </si>
  <si>
    <t>B49</t>
  </si>
  <si>
    <t>B50</t>
  </si>
  <si>
    <t>B51</t>
  </si>
  <si>
    <t xml:space="preserve">B52 </t>
  </si>
  <si>
    <t>Equiipment</t>
  </si>
  <si>
    <t>B53</t>
  </si>
  <si>
    <t>B54</t>
  </si>
  <si>
    <t>B55</t>
  </si>
  <si>
    <t>B56</t>
  </si>
  <si>
    <t>B57</t>
  </si>
  <si>
    <t>B58</t>
  </si>
  <si>
    <t>1.5: Implement national action plan for coordinating drought and flood hazard management in the agricultural sector</t>
  </si>
  <si>
    <t>B59</t>
  </si>
  <si>
    <t>B60</t>
  </si>
  <si>
    <t>B61</t>
  </si>
  <si>
    <t>B62</t>
  </si>
  <si>
    <t>B63</t>
  </si>
  <si>
    <t>B64</t>
  </si>
  <si>
    <t>1.5.2 Produce an action plan for integration of climate information into policy and decision-making processes for drought and flood management, including actions to clearly define responsibilities for long term planning and proactive measures, and initiate implementation of the action plan.</t>
  </si>
  <si>
    <t>B65</t>
  </si>
  <si>
    <t>B66</t>
  </si>
  <si>
    <t>B67</t>
  </si>
  <si>
    <t>B68</t>
  </si>
  <si>
    <t>B69</t>
  </si>
  <si>
    <t xml:space="preserve">1.5.3  Undertake gender analysis for strengthening project implementation at all levels and mainstreaming of gender considerations in training and rollout activities and provide gender-senstivie training on drought- and flood-hazard management within the agriculture sector for key regional branches. </t>
  </si>
  <si>
    <t>B70</t>
  </si>
  <si>
    <t>B71</t>
  </si>
  <si>
    <t>B72</t>
  </si>
  <si>
    <t>B73</t>
  </si>
  <si>
    <t>B74</t>
  </si>
  <si>
    <t>Subtotal GCF cost for Output 1</t>
  </si>
  <si>
    <t>Subtotal GoG cost for Output 1</t>
  </si>
  <si>
    <t>Subtotal Output 1</t>
  </si>
  <si>
    <t xml:space="preserve">Component 2: Climate resilient livelihoods </t>
  </si>
  <si>
    <t>2.1:  Train extension officers on climate-resilient agricultural practices EbA and alternative climate-resilient livelihoods.</t>
  </si>
  <si>
    <t>MOFA</t>
  </si>
  <si>
    <t>C1</t>
  </si>
  <si>
    <t>EPA</t>
  </si>
  <si>
    <t>C1A</t>
  </si>
  <si>
    <t>C2</t>
  </si>
  <si>
    <t>Contractual services</t>
  </si>
  <si>
    <t>C3</t>
  </si>
  <si>
    <t xml:space="preserve">Contractual services </t>
  </si>
  <si>
    <t>C4</t>
  </si>
  <si>
    <t>2.1.2: Develop a training scorecard to measure the effectiveness of the training delivered to extension officers.</t>
  </si>
  <si>
    <t>C5</t>
  </si>
  <si>
    <t>2.1.3: Deliver two training sessions per year for extension officers in each of the eight target districts.</t>
  </si>
  <si>
    <t>C6</t>
  </si>
  <si>
    <t>C7</t>
  </si>
  <si>
    <t>2.2: Train beneficiary communities in northern Ghana on climate-resilient agricultural practices, EbA and alternative climate-resilient livelihoods.</t>
  </si>
  <si>
    <t xml:space="preserve">2.2.1: Organise project sensitisation workshops in each of the targeted communities.
</t>
  </si>
  <si>
    <t>C8</t>
  </si>
  <si>
    <t>C9</t>
  </si>
  <si>
    <t>C10</t>
  </si>
  <si>
    <t>C11</t>
  </si>
  <si>
    <t>2.2.2: Develop training materials for smallholder farmers on climate change adaptation, CRA and EbA.</t>
  </si>
  <si>
    <t>C12</t>
  </si>
  <si>
    <t>2.2.3: Develop a training scorecard to measure the effectiveness of the training delivered to smallholder farmers.</t>
  </si>
  <si>
    <t>C13</t>
  </si>
  <si>
    <t>C14</t>
  </si>
  <si>
    <t>C15</t>
  </si>
  <si>
    <t>2.2.5:  Establish CIGs and deliver targeted training on specific climate change adaptation interventions.</t>
  </si>
  <si>
    <t>C16</t>
  </si>
  <si>
    <t>2.2.6: Establish five demonstration sites in each targeted community.</t>
  </si>
  <si>
    <t>C17</t>
  </si>
  <si>
    <t xml:space="preserve">2.3: Develop community climate action plans (CCAPs) in collaboration with beneficiary communities. </t>
  </si>
  <si>
    <t>2.3.1: Organise workshops in each of the targeted communities to develop/finalise a CCAP.</t>
  </si>
  <si>
    <t>C18</t>
  </si>
  <si>
    <t>C19</t>
  </si>
  <si>
    <t>C20</t>
  </si>
  <si>
    <t xml:space="preserve">Professional or contractual Services </t>
  </si>
  <si>
    <t>C21</t>
  </si>
  <si>
    <t>C22</t>
  </si>
  <si>
    <t>2.3.2: Review adaptation interventions in each CCAP against evaluation criteria by DEMCs, REMCs, PMU and Directorate of Crop Services.</t>
  </si>
  <si>
    <t>C23</t>
  </si>
  <si>
    <t>2.4: Implement climate-resilient agricultural practices identified in the CCAPs in beneficiary communities.</t>
  </si>
  <si>
    <t>2.4.1: Implement climate change adaptation interventions, including EbA and climate-resilient agriculture, in target communities.</t>
  </si>
  <si>
    <t>C24</t>
  </si>
  <si>
    <t>C25</t>
  </si>
  <si>
    <t>C26</t>
  </si>
  <si>
    <t>2.4.2: Provide technical support to communities to implement and maintain climate change adaptation interventions</t>
  </si>
  <si>
    <t>C27</t>
  </si>
  <si>
    <t>C28</t>
  </si>
  <si>
    <t>2.5: Develop a monitoring and evaluation strategy for climate advisory services in northern Ghana to improve the accuracy and appropriateness of advisories for smallholder farmers.</t>
  </si>
  <si>
    <t>2.5.1: Develop an M&amp;E framework for climate advisories services in northern Ghana.</t>
  </si>
  <si>
    <t>C29</t>
  </si>
  <si>
    <t>2.5.2: Conduct annual community surveys with smallholder farmers in the target communities to ground truth climate advisories and identify the needs of the communities.</t>
  </si>
  <si>
    <t>C30</t>
  </si>
  <si>
    <t>2.5.3: Assess linkages between indigenous knowledge and climate science to identify entry points for integrating indigenous knowledge into climate advisories.</t>
  </si>
  <si>
    <t>C31</t>
  </si>
  <si>
    <t>2.5.4:  Establish a feedback mechanism with producers of climate advisories to improve the generation and dissemination of advisories using data collected through the M&amp;E system.</t>
  </si>
  <si>
    <t>C32</t>
  </si>
  <si>
    <t>C33</t>
  </si>
  <si>
    <t>Subtotal GCF cost for Output 2</t>
  </si>
  <si>
    <t>Subtotal GoG cost for Output 2</t>
  </si>
  <si>
    <t>Subtotal Output 2</t>
  </si>
  <si>
    <t>Output 3:  Restoration of landscape to reduce flood risk</t>
  </si>
  <si>
    <t>3.1 Implement land restoration on communal land in 120 communities as per CCAPs</t>
  </si>
  <si>
    <t>3.1.1. Establish community tree nurseries to support reforestation in 120 communities</t>
  </si>
  <si>
    <t>C34</t>
  </si>
  <si>
    <t>Local consultant</t>
  </si>
  <si>
    <t>C35</t>
  </si>
  <si>
    <t>3.1.2  Undertake community consultations on final location for restoration as per CCAPs and agree on modalities for plantings, maintenance and protection of the sites</t>
  </si>
  <si>
    <t>Professional  / Contractual services</t>
  </si>
  <si>
    <t>C36</t>
  </si>
  <si>
    <t>3.1.3 Undertaken annual restoration plantings and maintenance in agreed areas as per CCAPs</t>
  </si>
  <si>
    <t xml:space="preserve">EPA </t>
  </si>
  <si>
    <t>C37</t>
  </si>
  <si>
    <t>C38</t>
  </si>
  <si>
    <t>Subtotal GCF cost for Output 3</t>
  </si>
  <si>
    <t>Subtotal GoG cost for Output 3</t>
  </si>
  <si>
    <t>Subtotal Output 3</t>
  </si>
  <si>
    <t>Output 4: Increased access of smallholder farmers to financial resources and engagement with the private sector</t>
  </si>
  <si>
    <t>4.1: Establish farmer-based organisations (FBOs) and Village Savings and Loans Associations (VSLAs) that can access credit and insurance for farming and non-farming livelihood activities</t>
  </si>
  <si>
    <t>4.1.1: Establish two FBOs in each targeted community (total of 120 communities across 8 districts i.e. 240 FBOs) through which smallholder farmers can apply for agricultural credit and insurance. Train members of the FBOs on basic business and financial management techniques including records and bookkeeping as well as the processes for applying for credit and insurance from LFIs.</t>
  </si>
  <si>
    <t>D1</t>
  </si>
  <si>
    <t>D2</t>
  </si>
  <si>
    <t>`</t>
  </si>
  <si>
    <t>4.1.2: Train FBOs on the establishment and operation of VSLAs.</t>
  </si>
  <si>
    <t>Local consultants</t>
  </si>
  <si>
    <t>D3</t>
  </si>
  <si>
    <t>D4</t>
  </si>
  <si>
    <t>D5</t>
  </si>
  <si>
    <t>4.2: Connect FBOs and local financial institutions to improve access of beneficiary communities to credit and insurance products</t>
  </si>
  <si>
    <t>4.2.1: Include representatives from LFIs in the training and awareness-raising events organised through the project.</t>
  </si>
  <si>
    <t>D6</t>
  </si>
  <si>
    <t>4.2.2: Conduct a road show where representatives from LFIs are taken to  beneficiary communities.</t>
  </si>
  <si>
    <t>D7</t>
  </si>
  <si>
    <t>D8</t>
  </si>
  <si>
    <t>D9</t>
  </si>
  <si>
    <t>D10</t>
  </si>
  <si>
    <t>D11</t>
  </si>
  <si>
    <t>D12</t>
  </si>
  <si>
    <t>D13</t>
  </si>
  <si>
    <t>D14</t>
  </si>
  <si>
    <t>D15</t>
  </si>
  <si>
    <t>D16</t>
  </si>
  <si>
    <t>D17</t>
  </si>
  <si>
    <t>D18</t>
  </si>
  <si>
    <t>D19</t>
  </si>
  <si>
    <t>D20</t>
  </si>
  <si>
    <t>D21</t>
  </si>
  <si>
    <t>D22</t>
  </si>
  <si>
    <t>D23</t>
  </si>
  <si>
    <t>D24</t>
  </si>
  <si>
    <t>D25</t>
  </si>
  <si>
    <t>D26</t>
  </si>
  <si>
    <t>D27</t>
  </si>
  <si>
    <t>D28</t>
  </si>
  <si>
    <t>D29</t>
  </si>
  <si>
    <t>Subtotal GCF cost for Output 4</t>
  </si>
  <si>
    <t>Subtotal GoG cost for Output 4</t>
  </si>
  <si>
    <t>Subtotal Output 4</t>
  </si>
  <si>
    <t>Output 5: Knowledge and awareness of climate threats to agricultural livelihoods and available adaptation options increased to inform the upscaling of climate change adaptation across northern Ghana.</t>
  </si>
  <si>
    <t>5.1:  Generate and disseminate knowledge products capturing best practice and lessons learned to inform the upscaling of climate change adaptation across northern Ghana.</t>
  </si>
  <si>
    <t>5.1.1: Design monitoring programme to monitor project progress and determine the socio-economic impacts of the various adaptation interventions.</t>
  </si>
  <si>
    <t>E1</t>
  </si>
  <si>
    <t>5.1.2: Implement the monitoring programme in association with local research institutions.</t>
  </si>
  <si>
    <t>E2</t>
  </si>
  <si>
    <t>E3</t>
  </si>
  <si>
    <t>5.1.3: Produce annual monitoring reports.</t>
  </si>
  <si>
    <t>E4</t>
  </si>
  <si>
    <t>5.1.4: Generate knowledge products on best practice and lessons learned through the monitoring programme.</t>
  </si>
  <si>
    <t>E5</t>
  </si>
  <si>
    <t>E6</t>
  </si>
  <si>
    <t>5.1.5: Disseminate knowledge products, including through the Ghana Climate Change Data Hub.</t>
  </si>
  <si>
    <t>E7</t>
  </si>
  <si>
    <t>5.2: Conduct community-level knowledge-sharing and awareness-raising events.</t>
  </si>
  <si>
    <t>5.2.1: Develop an awareness-raising campaign and communication plan to share knowledge on climate change adaptation in northern Ghana.</t>
  </si>
  <si>
    <t>E8</t>
  </si>
  <si>
    <t>5.2.2: Implement an awareness-raising programme utilising locally-appropriate communication and knowledge dissemination mechanisms.</t>
  </si>
  <si>
    <t>E9</t>
  </si>
  <si>
    <t>5.2.3: Install signboards at project interventions sites detailing the project approach and adaptation interventions.</t>
  </si>
  <si>
    <t>E10</t>
  </si>
  <si>
    <t>5.2.4: Host community knowledge-sharing events where people from non-beneficiary communities and extension officers from non-target districts are exposed to the adaptation interventions and approaches implemented by this project.</t>
  </si>
  <si>
    <t>E11</t>
  </si>
  <si>
    <t>E12</t>
  </si>
  <si>
    <t>5.2.5: Produce and distribute a video documentary detailing the project approach, adaptation interventions and community success stories.</t>
  </si>
  <si>
    <t>E13</t>
  </si>
  <si>
    <t>s</t>
  </si>
  <si>
    <t>5.2.6: Share best practices and lessons learned with relevant stakeholders and other adaptation projects in Ghana.</t>
  </si>
  <si>
    <t>E14</t>
  </si>
  <si>
    <t>5.2.7: Organise a knowledge-sharing conference annually to share information and strengthen coordination between climate change adaptation projects.</t>
  </si>
  <si>
    <t>E15</t>
  </si>
  <si>
    <t>5.3 Conduct district awareness and training workshops with District Assemblies to integrate CCAPs and EbA in District development plans and District environment plans and budgets</t>
  </si>
  <si>
    <t>E16</t>
  </si>
  <si>
    <t>E17</t>
  </si>
  <si>
    <t>Subtotal GCF cost for Output 5</t>
  </si>
  <si>
    <t>Subtotal GoG cost for Output 5</t>
  </si>
  <si>
    <t>Subtotal Output 5</t>
  </si>
  <si>
    <t>Professional services :  Conduct a baseline survey and support updating M&amp;E framework</t>
  </si>
  <si>
    <t>Professional services</t>
  </si>
  <si>
    <t>M&amp;E1</t>
  </si>
  <si>
    <t>M&amp;E</t>
  </si>
  <si>
    <t>M&amp;E2</t>
  </si>
  <si>
    <t>M&amp;E3</t>
  </si>
  <si>
    <t>International consultant to undertake external results verifications (Y4 and Y7)</t>
  </si>
  <si>
    <t>M&amp;E4</t>
  </si>
  <si>
    <t>ESAMF implementation (Safeguards fund, GRM)</t>
  </si>
  <si>
    <t>M&amp;E5</t>
  </si>
  <si>
    <t>EPA and MOFA staff</t>
  </si>
  <si>
    <t>M&amp;E6</t>
  </si>
  <si>
    <t>Subtotal GCF cost for Monitoring and safeguard costs</t>
  </si>
  <si>
    <t>Subtotal GoG cost for Monitoring and safeguard costs</t>
  </si>
  <si>
    <t>Subtotal Monitoring and Safeguards Costs</t>
  </si>
  <si>
    <t>Project Management Costs</t>
  </si>
  <si>
    <t>EPA / MOFA Staff</t>
  </si>
  <si>
    <t>PMC1</t>
  </si>
  <si>
    <t>PMC</t>
  </si>
  <si>
    <t>Project Manager (Full-time)</t>
  </si>
  <si>
    <t>PMC2</t>
  </si>
  <si>
    <t>Project Finance Officer (Full-time)</t>
  </si>
  <si>
    <t>PMC3</t>
  </si>
  <si>
    <t>Project Administrative/Procurement Officer</t>
  </si>
  <si>
    <t>PMC4</t>
  </si>
  <si>
    <t>Communication Officer</t>
  </si>
  <si>
    <t>PMC5</t>
  </si>
  <si>
    <t>PMC6</t>
  </si>
  <si>
    <t>PMC7</t>
  </si>
  <si>
    <t>Office consumables</t>
  </si>
  <si>
    <t>PMC8</t>
  </si>
  <si>
    <t>Office Equipment - national offices</t>
  </si>
  <si>
    <t>PMC9</t>
  </si>
  <si>
    <t>Software (GIS and accounting)</t>
  </si>
  <si>
    <t>PMC10</t>
  </si>
  <si>
    <t>Communication costs</t>
  </si>
  <si>
    <t>Professional / Contractual Services</t>
  </si>
  <si>
    <t>PMC11</t>
  </si>
  <si>
    <t>Procurement expenses</t>
  </si>
  <si>
    <t>PMC12</t>
  </si>
  <si>
    <t>Evaluation team and tender committee meetings</t>
  </si>
  <si>
    <t>PMC13</t>
  </si>
  <si>
    <t>Field coordination and verification visits</t>
  </si>
  <si>
    <t>PMC14</t>
  </si>
  <si>
    <t>PSC meetings</t>
  </si>
  <si>
    <t>PMC15</t>
  </si>
  <si>
    <t>PSC field visits</t>
  </si>
  <si>
    <t>PMC16</t>
  </si>
  <si>
    <t>LSC meetings</t>
  </si>
  <si>
    <t>PMC17</t>
  </si>
  <si>
    <t>Internal financial auditing</t>
  </si>
  <si>
    <t>PMC18</t>
  </si>
  <si>
    <t>External audit</t>
  </si>
  <si>
    <t>PMC19</t>
  </si>
  <si>
    <t>Subtotal GCF cost for PMC</t>
  </si>
  <si>
    <t>Subtotal GoG cost for PMC</t>
  </si>
  <si>
    <t>Subtotal PMC</t>
  </si>
  <si>
    <t>Total GCF cost for project interventions</t>
  </si>
  <si>
    <t>Total co-financing cost for project interventions</t>
  </si>
  <si>
    <t>Total cost of project interventions</t>
  </si>
  <si>
    <t>Total GCF project cost, including PMC and M&amp;E costs</t>
  </si>
  <si>
    <t>Total co-financing project cost including PMC &amp; M&amp;E</t>
  </si>
  <si>
    <t>Total project cost</t>
  </si>
  <si>
    <t>Co-Financing Summary</t>
  </si>
  <si>
    <t>In-Kind</t>
  </si>
  <si>
    <t>Cash</t>
  </si>
  <si>
    <t>Total (USD)</t>
  </si>
  <si>
    <t>Environment Protection Agency (EPA)</t>
  </si>
  <si>
    <t>Ghana Meteorological Agency (GMET)</t>
  </si>
  <si>
    <t>Water Resources Council (WRC)</t>
  </si>
  <si>
    <t>Ministry of Food and Agriculture (MOFA)</t>
  </si>
  <si>
    <t xml:space="preserve">Total all co-financing </t>
  </si>
  <si>
    <t>Detailed Budget Notes</t>
  </si>
  <si>
    <t>Unit</t>
  </si>
  <si>
    <t>Quantity</t>
  </si>
  <si>
    <t>Unit cost</t>
  </si>
  <si>
    <t>Total cost</t>
  </si>
  <si>
    <t>Year 1</t>
  </si>
  <si>
    <t>Year 2</t>
  </si>
  <si>
    <t>Year 3</t>
  </si>
  <si>
    <t>Year 4</t>
  </si>
  <si>
    <t>Year 5</t>
  </si>
  <si>
    <t>Year 6</t>
  </si>
  <si>
    <t>Year 7</t>
  </si>
  <si>
    <t>Local Consultant:  National Technical Expert hired by GMET to provide technical advisory services and guidance @ Usd 57,358/yr</t>
  </si>
  <si>
    <t>Annual</t>
  </si>
  <si>
    <t xml:space="preserve">Professional Fees:  DHI, Partnership agreement with UNEP for international consultancy advisory services at homebase and in-country @ USD 800/day for 120 days </t>
  </si>
  <si>
    <t>Days</t>
  </si>
  <si>
    <r>
      <t>Training and workshops:</t>
    </r>
    <r>
      <rPr>
        <i/>
        <sz val="10"/>
        <rFont val="Calibri"/>
        <family val="2"/>
        <scheme val="minor"/>
      </rPr>
      <t xml:space="preserve">   </t>
    </r>
    <r>
      <rPr>
        <sz val="10"/>
        <rFont val="Calibri"/>
        <family val="2"/>
        <scheme val="minor"/>
      </rPr>
      <t xml:space="preserve">Cost per average workshop = 20 participants x $300 per day inclusive of venue, tea/coffee breaks &amp; lunches &amp; water, accommodation, and participant travel reimbursement for 3 days . Total per workshop =  USD 18,000 </t>
    </r>
  </si>
  <si>
    <t>Training workshop</t>
  </si>
  <si>
    <t>Travel cost national:  local consultant travel covers travel to workshops, field missions and/or meetings and covers local transport cost and DSA for four days/trip.  Lump sum per trip based on:  local travel (road or flight) @ USD800 and DSA  of USD200/night for 4 nights per trip. = USD 1,600/trip</t>
  </si>
  <si>
    <t>No of trips</t>
  </si>
  <si>
    <t>Travel cost international: DHI, Partnership agreement, international economy  class travel in connection with consultancy advisory services such as conducting training activities, field missions, consultation workshops etc. Each trip will cover return airfare (2,000 USD), visa fee (150 USD), travel to and from airport (200 USD) and DSA for 40 days (average) @200 USD/day/trip.  Total per trip :  USD 10,350</t>
  </si>
  <si>
    <t>Existing government staff to assist with implementing a new early warning data information and management system to provide access to improved data sources and new datasets on floods and droughts. Their salaries and operating expenses are covered by in-kind co-financing from the Government of Ghana.</t>
  </si>
  <si>
    <t>IT cost: Data management system with same functionality as MIKE Workbench v. 2020 (https://www.mikepoweredbydhi.com/areas-of-application/mike-operations)
Cost: WorkBench5,000 USD  and Data and Tools extension 5,000 USD  + additional software tools @ $ 10,000 :  Total USD 20,000/unit  (6 unit installations required).  Comes in under DHI partnership agreement.</t>
  </si>
  <si>
    <t>No unit</t>
  </si>
  <si>
    <t xml:space="preserve">Professional Fees: DHI, Partnership agreement, International consultancy advisory services in-country @ USD 800/day for 120 days/yr - Yr 2 </t>
  </si>
  <si>
    <r>
      <t>Training and workshops:</t>
    </r>
    <r>
      <rPr>
        <i/>
        <sz val="10"/>
        <rFont val="Calibri"/>
        <family val="2"/>
        <scheme val="minor"/>
      </rPr>
      <t xml:space="preserve">   </t>
    </r>
    <r>
      <rPr>
        <sz val="10"/>
        <rFont val="Calibri"/>
        <family val="2"/>
        <scheme val="minor"/>
      </rPr>
      <t xml:space="preserve">Cost per average workshop = 20 participants x $100 per day inclusive of venue, tea/coffee breaks &amp; lunches &amp; water, accommodation, and participant travel reimbursement for 3 days . Total per workshop =  USD 6,000 </t>
    </r>
  </si>
  <si>
    <t xml:space="preserve">Travel cost international: DHI, Partnership agreement,  international economy  class travel in connection with consultancy advisory services such as conducting training activities, field missions, consultation workshops etc. Each trip will cover return airfare (2,000 USD), visa fee (150 USD), travel to and from airport (200 USD) and DSA for 40 days (average) @200 USD/day/trip.  Total per trip :  USD 10,350  </t>
  </si>
  <si>
    <t>IT cost: cost for 10 licenses for water resource modelling system WEAP (www.sei.org). Free for Non-profit, governmental or academic organization based in a developing country. Additional licenses to be bought for non-governmental users, cost: 6,000 USD for 4 years. Comes in under DHI, Partnership agreement.</t>
  </si>
  <si>
    <t xml:space="preserve">Equipment costs including the: i) installation of 1 radar estimated at USD 4 million; ii) 10 Synoptic Automatic Weather Stations at USD 65,000 per unit; iii) 20 agrometeorological stations at USD 35,000 per unit;  iii) 163 rainfall stations at USD 15,000 USD; and iv) 100 Hydrological equipment estimated at 12,000 per unit for the measurement of flows on the various rivers in the country that are not monitored. </t>
  </si>
  <si>
    <r>
      <t>Training and workshops:</t>
    </r>
    <r>
      <rPr>
        <i/>
        <sz val="10"/>
        <rFont val="Calibri"/>
        <family val="2"/>
        <scheme val="minor"/>
      </rPr>
      <t xml:space="preserve">   </t>
    </r>
    <r>
      <rPr>
        <sz val="10"/>
        <rFont val="Calibri"/>
        <family val="2"/>
        <scheme val="minor"/>
      </rPr>
      <t>Cost per average workshop = 20 participants x $100 per day inclusive of venue, tea/coffee breaks &amp; lunches &amp; water, accommodation, and participant travel reimbursement for 3 days . Total per workshop =  USD 6,000</t>
    </r>
  </si>
  <si>
    <t>Existing GMET staff to assist with enhancing meteorological and agrometeorological observation networks. Their salaries and operating expenses are covered by in-kind co-financing from the Government of Ghana.</t>
  </si>
  <si>
    <t>Existing WRC staff to assist with enhancing hydrometeorological and groundwater monitoring observation networks. Their salaries and operating expenses are covered by in-kind co-financing from the Government of Ghana.</t>
  </si>
  <si>
    <t xml:space="preserve">Professional Fees:  DHI, Partnership agreement, International consultancy advisory services at home-base and in-country @ USD 800/day for 100 days over 5 years </t>
  </si>
  <si>
    <t>No. trips</t>
  </si>
  <si>
    <t>Installation of divers and receivers for the continues collection of groundwater data on constructed monitoring wells in the middle and southern Ghana. Cost per diver is estimated at USD14,000 per diver for 100 installations.</t>
  </si>
  <si>
    <t xml:space="preserve">Installation of solar power supply systems for continues power supply to 10 stations and communication devices estimated at 15,000 USD per station. </t>
  </si>
  <si>
    <r>
      <t>Training and workshops:</t>
    </r>
    <r>
      <rPr>
        <i/>
        <sz val="10"/>
        <rFont val="Calibri"/>
        <family val="2"/>
        <scheme val="minor"/>
      </rPr>
      <t xml:space="preserve">  </t>
    </r>
    <r>
      <rPr>
        <sz val="10"/>
        <rFont val="Calibri"/>
        <family val="2"/>
        <scheme val="minor"/>
      </rPr>
      <t xml:space="preserve"> 3 workshops per year for 4 yrs : Yr1, Yr 2, Yr 3 and Yr 4. </t>
    </r>
    <r>
      <rPr>
        <i/>
        <sz val="10"/>
        <rFont val="Calibri"/>
        <family val="2"/>
        <scheme val="minor"/>
      </rPr>
      <t xml:space="preserve"> </t>
    </r>
    <r>
      <rPr>
        <sz val="10"/>
        <rFont val="Calibri"/>
        <family val="2"/>
        <scheme val="minor"/>
      </rPr>
      <t xml:space="preserve">Cost per average workshop = 20 participants x $100 per day inclusive of venue, tea/coffee breaks &amp; lunches &amp; water, accommodation, and participant travel reimbursement for 3 days . Total per workshop =  USD 6,000 </t>
    </r>
  </si>
  <si>
    <t>Professional Fees:  DHI, Partnership agreement, International consultancy advisory services at home-base and in-country @ USD 800/day for 60 days</t>
  </si>
  <si>
    <t>Travel cost international: DHI, Partnership agreement, international economy  class travel in connection with consultancy advisory services such as conducting training activities, field missions, consultation workshops etc. Each trip will cover return airfare (2,000 USD), visa fee (150 USD), travel to and from airport (200 USD) and DSA for 14 days (average) @200 USD/day/trip.  Total per trip :  USD 5,150</t>
  </si>
  <si>
    <t>Existing government staff to assist with preparing training materials. Their salaries and operating expenses are covered by in-kind co-financing from the Government of Ghana.</t>
  </si>
  <si>
    <t>Professional Fees: DHI, Partnership agreement,  International consultancy advisory services homebase in-country @ USD 800/day for 40 days</t>
  </si>
  <si>
    <r>
      <t>Training and workshops:</t>
    </r>
    <r>
      <rPr>
        <i/>
        <sz val="10"/>
        <rFont val="Calibri"/>
        <family val="2"/>
        <scheme val="minor"/>
      </rPr>
      <t xml:space="preserve">  </t>
    </r>
    <r>
      <rPr>
        <sz val="10"/>
        <rFont val="Calibri"/>
        <family val="2"/>
        <scheme val="minor"/>
      </rPr>
      <t xml:space="preserve"> 2 training workshops. </t>
    </r>
    <r>
      <rPr>
        <i/>
        <sz val="10"/>
        <rFont val="Calibri"/>
        <family val="2"/>
        <scheme val="minor"/>
      </rPr>
      <t xml:space="preserve"> </t>
    </r>
    <r>
      <rPr>
        <sz val="10"/>
        <rFont val="Calibri"/>
        <family val="2"/>
        <scheme val="minor"/>
      </rPr>
      <t xml:space="preserve">Cost per average workshop = 20 participants x $300 per day inclusive of venue, tea/coffee breaks &amp; lunches &amp; water, accommodation, and participant travel reimbursement for 3 days . Total per workshop =  USD 18,000 </t>
    </r>
  </si>
  <si>
    <t>Travel cost international: DHI, Partnership agreement,  international economy  class travel in connection with consultancy advisory services such as conducting training activities, field missions, consultation workshops etc. Each trip will cover return airfare (2,000 USD), visa fee (150 USD), travel to and from airport (200 USD) and DSA for 20 days (average) @200 USD/day/trip.  Total per trip :  USD 6350</t>
  </si>
  <si>
    <t>Professional Fees:  DHI, Partnership agreement, International consultancy advisory services at homebase and in-country @ USD 800/day for 20 days</t>
  </si>
  <si>
    <r>
      <t>Training and workshops:</t>
    </r>
    <r>
      <rPr>
        <i/>
        <sz val="10"/>
        <rFont val="Calibri"/>
        <family val="2"/>
        <scheme val="minor"/>
      </rPr>
      <t xml:space="preserve">  </t>
    </r>
    <r>
      <rPr>
        <sz val="10"/>
        <rFont val="Calibri"/>
        <family val="2"/>
        <scheme val="minor"/>
      </rPr>
      <t xml:space="preserve"> 6 Desemination 1 day workshops. </t>
    </r>
    <r>
      <rPr>
        <i/>
        <sz val="10"/>
        <rFont val="Calibri"/>
        <family val="2"/>
        <scheme val="minor"/>
      </rPr>
      <t xml:space="preserve"> </t>
    </r>
    <r>
      <rPr>
        <sz val="10"/>
        <rFont val="Calibri"/>
        <family val="2"/>
        <scheme val="minor"/>
      </rPr>
      <t xml:space="preserve">Cost per average workshop = 10 participants x $300 per day inclusive of venue, tea/coffee breaks &amp; lunches &amp; water, accommodation, and participant travel reimbursement for 1 day . Total per workshop =  USD 3000 </t>
    </r>
  </si>
  <si>
    <t>Professional Fees:  DHI, Partnership agreement, International consultancy advisory services at home base and  in-country @ USD 1,000/day for 40 days</t>
  </si>
  <si>
    <t>Existing government staff to assist with establishing a robust communication framework for disseminating DSS and climate-related hazard management to communities. Their salaries and operating expenses are covered by in-kind co-financing from the Government of Ghana.</t>
  </si>
  <si>
    <r>
      <t xml:space="preserve">Equipment: </t>
    </r>
    <r>
      <rPr>
        <i/>
        <sz val="10"/>
        <rFont val="Calibri"/>
        <family val="2"/>
        <scheme val="minor"/>
      </rPr>
      <t xml:space="preserve"> </t>
    </r>
    <r>
      <rPr>
        <sz val="10"/>
        <rFont val="Calibri"/>
        <family val="2"/>
        <scheme val="minor"/>
      </rPr>
      <t>Purchase of tablets for trainees (extension workers and farmers) at training workshops/sessions with 6 x 20 participants:  
Tablets with min requirements as "Samsung Galaxy Tab A9 8.7" WiFi 32 GB".  Estimated cost 250 USD per tablet</t>
    </r>
  </si>
  <si>
    <t>No units</t>
  </si>
  <si>
    <t>Professional Fees: DHI, Partnership agreement,  International consultancy advisory services on design and effective operation of the monitoring system in-country @ USD 800/day for 40 days</t>
  </si>
  <si>
    <t>Travel cost international: DHI, Partnership agreement, international economy  class travel in connection with consultancy advisory services such as conducting training activities, field missions, consultation workshops etc. Each trip will cover return airfare (2,000 USD), visa fee (150 USD), travel to and from airport (200 USD) and DSA for 20 days (average) @200 USD/day/trip.  Total per trip :  USD 6350</t>
  </si>
  <si>
    <t>B52</t>
  </si>
  <si>
    <t>days</t>
  </si>
  <si>
    <t>Professional Fees:  DHI, Partnership agreement, International consultancy advisory services on design and effective operation of the monitoring system in-country @ USD 800/day for 40 days</t>
  </si>
  <si>
    <t>No. of trips</t>
  </si>
  <si>
    <r>
      <t>Training and workshops:</t>
    </r>
    <r>
      <rPr>
        <i/>
        <sz val="10"/>
        <rFont val="Calibri"/>
        <family val="2"/>
        <scheme val="minor"/>
      </rPr>
      <t xml:space="preserve">  </t>
    </r>
    <r>
      <rPr>
        <sz val="10"/>
        <rFont val="Calibri"/>
        <family val="2"/>
        <scheme val="minor"/>
      </rPr>
      <t xml:space="preserve"> 6 awareness workshop of  1 day. </t>
    </r>
    <r>
      <rPr>
        <i/>
        <sz val="10"/>
        <rFont val="Calibri"/>
        <family val="2"/>
        <scheme val="minor"/>
      </rPr>
      <t xml:space="preserve"> </t>
    </r>
    <r>
      <rPr>
        <sz val="10"/>
        <rFont val="Calibri"/>
        <family val="2"/>
        <scheme val="minor"/>
      </rPr>
      <t xml:space="preserve">Cost per average workshop = 20 participants x $300 per day inclusive of venue, tea/coffee breaks &amp; lunches &amp; water, accommodation, and participant travel reimbursement for 1 day . Total per workshop =  USD 6,000 </t>
    </r>
  </si>
  <si>
    <t>Professional Fees: DHI, Partnership agreement,  International consultancy advisory services y @ USD 1,000/day for 40 days</t>
  </si>
  <si>
    <r>
      <t>Training and workshops</t>
    </r>
    <r>
      <rPr>
        <i/>
        <sz val="10"/>
        <rFont val="Calibri"/>
        <family val="2"/>
        <scheme val="minor"/>
      </rPr>
      <t xml:space="preserve">:  5 </t>
    </r>
    <r>
      <rPr>
        <sz val="10"/>
        <rFont val="Calibri"/>
        <family val="2"/>
        <scheme val="minor"/>
      </rPr>
      <t xml:space="preserve"> workshops with national key stakeholders at ministerial level with Accra
Cost per workshop = 20 participants x $300 per day x 2 days.  Total per workshop USD 12,000</t>
    </r>
  </si>
  <si>
    <t>Existing government staff to assist with implementing the national action plan for coordinating drought and flood hazard management in the agricultural sector. Their salaries and operating expenses are covered by in-kind co-financing from the Government of Ghana.</t>
  </si>
  <si>
    <r>
      <t>Training and workshops</t>
    </r>
    <r>
      <rPr>
        <i/>
        <sz val="10"/>
        <rFont val="Calibri"/>
        <family val="2"/>
        <scheme val="minor"/>
      </rPr>
      <t xml:space="preserve">: </t>
    </r>
    <r>
      <rPr>
        <sz val="10"/>
        <rFont val="Calibri"/>
        <family val="2"/>
        <scheme val="minor"/>
      </rPr>
      <t>4  workshops with national key stakeholders at ministerial level with Accra
Cost per workshop = 25 participants x $100 per day x3 days.  Total per workshop USD 7,500</t>
    </r>
  </si>
  <si>
    <r>
      <t>Training and workshops</t>
    </r>
    <r>
      <rPr>
        <i/>
        <sz val="10"/>
        <rFont val="Calibri"/>
        <family val="2"/>
        <scheme val="minor"/>
      </rPr>
      <t>:</t>
    </r>
    <r>
      <rPr>
        <sz val="10"/>
        <rFont val="Calibri"/>
        <family val="2"/>
        <scheme val="minor"/>
      </rPr>
      <t xml:space="preserve"> 4  workshops with national, regional and district key stakeholders at ministerial level with Accra
Cost per workshop = 25 participants x $300 per day x3 days.  Total per workshop USD 22,500</t>
    </r>
  </si>
  <si>
    <t>C1 / ex A29</t>
  </si>
  <si>
    <t>Existing government staff to assist with the development of training materials and guidelines for extension officers on climate change adaptation and EbA. Their salaries and operating expenses are covered by in-kind co-financing from the Government of Ghana. See Co-financing EPA, Co-financing MoFA and Co-financing summary.</t>
  </si>
  <si>
    <t>C1a</t>
  </si>
  <si>
    <t>GOG Cofinancing - Travel for District and regional staff within the 8 Districts</t>
  </si>
  <si>
    <t>No of travel units</t>
  </si>
  <si>
    <t>C2 (new)</t>
  </si>
  <si>
    <t>Climate resilient agricultural Expert to provide technical advisory services and guidance  (EPA hired @ $46,851/year inclusive of statutory contributions and deduction)</t>
  </si>
  <si>
    <t>C3 / ex A30</t>
  </si>
  <si>
    <t>NGOs/National consultants to develop training materials for extension officers on climate change and EbA. B117</t>
  </si>
  <si>
    <t>C4/ Ex A31</t>
  </si>
  <si>
    <t>Contractual services:  Printing costs for extension officer training material.
100 guidelines x $20 = $2,000 per workshop x 2 workshop per year = $4,000 annually</t>
  </si>
  <si>
    <t>Annual cost
Contractual services</t>
  </si>
  <si>
    <t>C5 / ex A32</t>
  </si>
  <si>
    <t>Contractual services to develop a training scorecard to measure the effectiveness of the training delivered to extension officers.
Consultant for 4 days @ $600/day to develop a training scorecard = $2,400.</t>
  </si>
  <si>
    <t>C6 / ex A33</t>
  </si>
  <si>
    <t>District training workshop for extension officers on climate change and EbA. 2 workshops will be held in each of the 8 districts a year. The workshops will be over 2 days and include both theoretical and practical co+B120mponents. The cost per participant is estimated at $80 per day inclusive of venue costs, transport, food and accommodation.
Cost per workshop:
25 participants x $80 per day x 2 days = $4,000
Annual cost:
$4,000 per workshop x 8 districts = $32,000</t>
  </si>
  <si>
    <t>Annual cost</t>
  </si>
  <si>
    <t>C7 / ex A34</t>
  </si>
  <si>
    <t>Contractual services to deliver extension officer training. $260 per day (inclusive of fees, transport, food and accommodation)
For each workshop:
5 consultants x $260 x 2 days = $2,600
Annual cost:
$2,600 for consultants x 8 districts = $20,800</t>
  </si>
  <si>
    <t>Existing government staff working on the project to organise community sensitisation workshops and assist with the development of training materials. Their salaries and operating expenses are covered by in-kind co-financing from the Government of Ghana. See Co-financing EPA, Co-financing MoFA and Co-financing summary.</t>
  </si>
  <si>
    <t>Community sensitisation workshops to ensure that communities understand the objectives of the project and their responsibilities. 3 community sensitisation workshops per district per year for the first five years of the project. $800 per workshop including field allowance for extension officers, food and transport.
Cost of workshop per year for first 5 years of project:
$800 per workshop x 3 communities per year x 8 districts = $19,200</t>
  </si>
  <si>
    <t xml:space="preserve"> C10</t>
  </si>
  <si>
    <t>National staff from EPA and MoFA attending community sensitisation workshops during the first year of the project to provide guidance to regional and district extension officers. National staff will attend 1 community sensitisation workshop in each district. 
4 staff x $260 per day x 2 days = $2,080 x 8 districts = $16,640</t>
  </si>
  <si>
    <t>Cost per district</t>
  </si>
  <si>
    <t>Regional staff from EPA and Department of Agriculture attending community sensitisation workshops during the first and second year of the project to provide guidance to district extension officers. Regional staff will attend 2 community sensitisation workshops in each district. 
5 staff x $150 per day x 1 days = $750 x 2 workshops per district = $1,500 x 8 districts = $12,000</t>
  </si>
  <si>
    <t xml:space="preserve">National consultants/NGO to develop training for smallholder farmers on climate change adaptation, CRA and EbA.  Training materials will be elaborated in collaboration with relevant government departments (e.g. extension services division).   Consultants for 14 days at $600/day to develop different elements of the training materials = $8,400 </t>
  </si>
  <si>
    <t>National consultant/NGO to develop a training scorecard to measure the effectiveness of the training delivered to smallholder farmers.
1 consultant @$2,000 to develop a training scorecard.</t>
  </si>
  <si>
    <t>Community training workshops on climate change and EbA. 3 community training workshops per district per year for the first five years of the project. $800 per workshop including field allowance for extension officers, food and transport.
Cost of workshop per year for first 5 years of project:
$800 per workshop x 3 communities per district = $2,400 x 8 districts = $19,200 per year</t>
  </si>
  <si>
    <t>Cost per workshop</t>
  </si>
  <si>
    <t>Printing costs for training material for community training workshops on climate change and EbA. 
100 leaflets @ $5 per leaflet = $500 per workshop.
Cost per year:
$500 x 3 workshops x 8 districts = $12,000</t>
  </si>
  <si>
    <t>Targeted training for common interest groups identified in each community. These groups could focus on topics such as nursery establishment or small livestock rearing.  
$2000 is allocated per community for this training during their second year of support.
Cost per year:
$2,000 x 3 communities x 8 districts = $48,000</t>
  </si>
  <si>
    <t>Cost per community
Contractual services</t>
  </si>
  <si>
    <t>Cost of establishing demonstration sites in each target community to demonstrate EbA and climate-resilient agriculture interventions.
$500 per demonstration site, which includes the cost of seeds, land preparation, protection from livestock, equipment, and labour.
3 demonstration sites will be established within each target community.
Cost per year for first five years of project:
$500 x 3 demonstrations per community = $1,500 x 3 communities x 8 districts = $36,000</t>
  </si>
  <si>
    <t>Cost per community
Input costs/equipment</t>
  </si>
  <si>
    <t>Training workshop with each community to develop a community climate action plan. Each workshop will take place over 5 days. 5 extension officers will attend each workshop. $400 per day including workshops costs, field allowance for extension officers, food and transport.
Cost per year:
$400 x 5 days = $2,000 x 3 communities x 8 districts = $48,000</t>
  </si>
  <si>
    <t>National staff from EPA and MoFA attending community climate action plan development workshops during the first year of the project to provide guidance to regional and district extension officers. National staff will attend 1 climate change action plan development workshop in each district. 
4 staff x $260 per day x 5 days = $5,200 x 8 districts = $41,600</t>
  </si>
  <si>
    <t>Cost per district
Travel</t>
  </si>
  <si>
    <t>Regional staff from EPA and Department of Agriculture attending community climate action plan development workshops to provide guidance to district extension officers. Regional staff will attend 5 of the 15 community climate change action plan development workshops taking place across the 3 targeted regions per year. 
Cost per year for first five years of project:
4 staff x $260 per day x 5 days = $5,200 x 5 training workshops = $26,000</t>
  </si>
  <si>
    <t>Annual cost
Travel</t>
  </si>
  <si>
    <t>Printing and stationary costs for community climate action plan. $300 per community.
Cost per year:
$300 x 3 communities x 8 districts = $12,000</t>
  </si>
  <si>
    <r>
      <t>Community engagement specialists</t>
    </r>
    <r>
      <rPr>
        <b/>
        <sz val="10"/>
        <rFont val="Calibri"/>
        <family val="2"/>
        <scheme val="minor"/>
      </rPr>
      <t xml:space="preserve"> (Two)/NGO</t>
    </r>
    <r>
      <rPr>
        <sz val="10"/>
        <rFont val="Calibri"/>
        <family val="2"/>
        <scheme val="minor"/>
      </rPr>
      <t>. These local consultants will be hired for the duration of the project to facilitate engagement with local communities. This will include: i) facilitating sensitisation workshops in beneficiary communities; ii) identifying community training needs; iii) reviewing and revising community training materials to match community requirements; iv) facilitating the development of community climate actions plans; v) monitoring the implementation of community climate action plans;  vi) assisting communities to establish FMOs and VSLAs; vii) facilitating community-level knowledge sharing and awareness-raising events.
$100 per day for 240 days per year = $24,000 per year per Specialist.   240 days/yr x 2 specialists x 7 years = 3,360 days</t>
    </r>
  </si>
  <si>
    <t>Day
Contractual services</t>
  </si>
  <si>
    <t>Existing government staff working on the project to organise workshops and assist communities to develop community climate change action plans. The staff will then also review the climate change adaptation interventions against evaluation criteria to ensure that relevant climate change adaptation interventions are being implemented in each target community. Their salaries and operating expenses are covered by in-kind co-financing from the Government of Ghana. See Co-financing EPA, Co-financing MoFA and Co-financing summary.</t>
  </si>
  <si>
    <r>
      <t>Input costs for the implementation of climate-resilient agriculture. All of the adaptation interventions will have been chosen from the menu of climate change adaptation interventions (see Annex 2) and will be identified in the relevant CCAP. Cost of climate-resilient agriculture is estimated at USD250 per hectare,  in line with data analysed by the FEA. 2</t>
    </r>
    <r>
      <rPr>
        <b/>
        <sz val="10"/>
        <rFont val="Calibri"/>
        <family val="2"/>
        <scheme val="minor"/>
      </rPr>
      <t xml:space="preserve">% of the adult/farming population of the 8 Districts is  6920 people.  Taking an average of 2 hectares per person= 13840 hectares. </t>
    </r>
    <r>
      <rPr>
        <sz val="10"/>
        <rFont val="Calibri"/>
        <family val="2"/>
        <scheme val="minor"/>
      </rPr>
      <t xml:space="preserve">
Each community will receive 10% of the designated support during the first year, 16% in the second year, 20% in year three, 20% in year four, 20% in year five, 10% in year six and 4% in year seven.
(see Sheet2 for further breakdown of the support per community).
</t>
    </r>
  </si>
  <si>
    <t>Cost per hectare</t>
  </si>
  <si>
    <r>
      <t xml:space="preserve">Input costs for the implementation of alternative climate-resilient livelihood interventions to support agroforestry in each target community, </t>
    </r>
    <r>
      <rPr>
        <b/>
        <sz val="10"/>
        <rFont val="Calibri"/>
        <family val="2"/>
        <scheme val="minor"/>
      </rPr>
      <t>assumed at 25% of the land under climate resilience agriculture = 3460 hectares</t>
    </r>
    <r>
      <rPr>
        <sz val="10"/>
        <rFont val="Calibri"/>
        <family val="2"/>
        <scheme val="minor"/>
      </rPr>
      <t xml:space="preserve">.  Costs of agroforestry are estimated at USD1,000 per hectare for 2,000 hectares, in line with data collected for the FEA. The cost per hectare is based on similar agroforestry activities, including seedlings, equipment, and labour, with an estimated cost range of $200-$1,200 across three African countries (for example: https://qcat.wocat.net/en/wocat/technologies/view/technologies_1177/)  
Area under agro-forestry is estimated to be 25% of the land under climate resilient agriculture.
Each community will receive 10% of the designated support during the first year, 16% in the second year, 20% in year three, 20% in year four, 20% in year five, 10% in year six and 4% in year seven.(see Sheet2 for further breakdown of the support per community).
Input costs will cover, </t>
    </r>
    <r>
      <rPr>
        <i/>
        <sz val="10"/>
        <rFont val="Calibri"/>
        <family val="2"/>
        <scheme val="minor"/>
      </rPr>
      <t>inter alia</t>
    </r>
    <r>
      <rPr>
        <sz val="10"/>
        <rFont val="Calibri"/>
        <family val="2"/>
        <scheme val="minor"/>
      </rPr>
      <t>:
- fencing to protect interventions against livestock</t>
    </r>
  </si>
  <si>
    <r>
      <t xml:space="preserve">Input costs for the implementation of climate-resilient </t>
    </r>
    <r>
      <rPr>
        <b/>
        <sz val="10"/>
        <rFont val="Calibri"/>
        <family val="2"/>
        <scheme val="minor"/>
      </rPr>
      <t>water infrastructure</t>
    </r>
    <r>
      <rPr>
        <sz val="10"/>
        <rFont val="Calibri"/>
        <family val="2"/>
        <scheme val="minor"/>
      </rPr>
      <t xml:space="preserve"> in each target community. All of the adaptation interventions will have been chosen from the menu of climate change adaptation interventions (see Annex 2) and will be identified in the relevant CCAP. Irrigation costs are estimated at USD6,500 per hectare for 500 hectares</t>
    </r>
    <r>
      <rPr>
        <b/>
        <sz val="10"/>
        <rFont val="Calibri"/>
        <family val="2"/>
        <scheme val="minor"/>
      </rPr>
      <t xml:space="preserve">.  Each District will have 250ha average of water infrastructure, assuming clustering of villages/farmers, making a total of 2000 ha over the 8 Districts.  </t>
    </r>
    <r>
      <rPr>
        <sz val="10"/>
        <rFont val="Calibri"/>
        <family val="2"/>
        <scheme val="minor"/>
      </rPr>
      <t xml:space="preserve">Cost estimates based on Ghanian survey of similar irrigation and water harvesting techniques ranging from $6,000-$15,000/ha (https://openknowledge.worldbank.org/server/api/core/bitstreams/86164000-25cd-50b5-8c74-d67214e08932/content)
Each community will receive 10% of the designated support during the first year, 16% in the second year, 20% in year three, 20% in year four, 20% in year five, 10% in year six and 4% in year seven.(see Sheet2 for further breakdown of the support per community).
Input costs will cover, </t>
    </r>
    <r>
      <rPr>
        <i/>
        <sz val="10"/>
        <rFont val="Calibri"/>
        <family val="2"/>
        <scheme val="minor"/>
      </rPr>
      <t>inter alia</t>
    </r>
    <r>
      <rPr>
        <sz val="10"/>
        <rFont val="Calibri"/>
        <family val="2"/>
        <scheme val="minor"/>
      </rPr>
      <t>:
- water tanks
- small-scale water infrastructure</t>
    </r>
  </si>
  <si>
    <t>Existing government staff from district, regional and national institutions to provide technical assistance in the implementation and maintenance of adaptation interventions. Their salaries and operating expenses are covered by in-kind co-financing from the Government of Ghana. See Co-financing EPA, Co-financing MoFA and Co-financing summary.</t>
  </si>
  <si>
    <t xml:space="preserve">National consultants/NGO to provide technical assistance in the implementation and maintenance of adaptation interventions. These consultants may be drawn from academia or specialised research institutes. The specific consultants required will be determined based upon the adaptation interventions selected by each community. These consultants will provide specialised advice over and above the technical supervision and guidance provided by district extension officers. 
$10,000 per year per district is allocated for this technical assistance.  USD 10,000/yr X 8 districts x 7 years </t>
  </si>
  <si>
    <t>Annual
Contractual services</t>
  </si>
  <si>
    <t>National consultants/NGOs to provide facilitation and technical assistance for stakeholder engagements with relevant community members for the development of an appropriate and efficient community-based M&amp;E system targeting end-users of climate advisories.   3 District meetings at USD 3,500/meeting for up to 100 stakeholders/meeting at USD 35/person inclusive of tea/coffee/water and lunch</t>
  </si>
  <si>
    <t>Workshops
Contractual services</t>
  </si>
  <si>
    <t>Professional services to develop the community-based M&amp;E system using inputs from the community engagements.  Consultant for 40 days @ USD 600/day</t>
  </si>
  <si>
    <t>Professional services;  Annual community surveys to gather primary data from smallholder farmers on their perceptions of climate advisories and to assess linkages between indigenous knowledge and climate science to identify entry points for integrating indigenous knowledge into climate advisories.</t>
  </si>
  <si>
    <t>Community surveys
Professional services</t>
  </si>
  <si>
    <t>Professional services for the establishment of a feedback mechanism within key government institutions — including the Ghana Meteorological Agency (GMet), the Ministry of Food and Agriculture (MoFA), the Ministry of Environment, Science, Technology and Innovation (MESTI), Environmental Protection Agency (EPA), the National Climate Change Committee (NCCC), and the Council for Scientific and Industrial Research (CSIR) — to improve the integration of the M&amp;E data in the production and dissemination of climate advisories.    2 consultants at USD 450/day each for total of 22 days  = USD 19,800</t>
  </si>
  <si>
    <t>Notes</t>
  </si>
  <si>
    <t>Equipment for establishing community nurseries :  bags, shade netting &amp; poles, water storage and piping and hoses; seeds  60 nurseries year 1 and 60 nurseries year 2</t>
  </si>
  <si>
    <t>Cost per murseries</t>
  </si>
  <si>
    <t>Ecosystem-based adaptation Expert to provide technical advisory services and guidance (EPA hired @ $46,851/year inclusive of statutory contributions and deduction)</t>
  </si>
  <si>
    <t>National consultants/NGO to provide facilitation and technical assistance for community engagements on establishing protocols for on final location per community for restoration as per CCAPs and agree on modalities for plantings, maintenance and protection of restoration sites.  Two consultant days/community inclusive of fees and travel - USD 1,800 per community.</t>
  </si>
  <si>
    <t>Consultations per community</t>
  </si>
  <si>
    <t>Undertook annual restoration plantings and maintenance in agreed areas as per CCAPs using combination of community engagement, stock from nurseries and supplementary stock from service providers in YR1 and Yr 2</t>
  </si>
  <si>
    <t>Existing government staff (particularly agricultural extension officers) to provide technical assistance to communities to establish farmer-based organisations and supporting village savings and loans associations. Their salaries and operating expenses are covered by in-kind co-financing from the Government of Ghana. See Co-financing EPA, Co-financing MoFA and Co-financing summary.</t>
  </si>
  <si>
    <t>Community training workshops on basic business and financial management. 3 community training workshops per district per year for the first five years of the project. $800 per workshop including field allowance for extension officers, food and transport.
Cost of workshop per year for first 5 years of project:
$800 per workshop x 3 communities per year x 8 districts = $19,200</t>
  </si>
  <si>
    <t>Workshops</t>
  </si>
  <si>
    <t>GAAP: National consultant (gender expert) to prepare materials for and facilitate the training sessions to FBOs and VSLAs on gender equity in access to credit, financial literacy, and insurance schemes, ensuring that women and men can equally understand and use these resources as well as engage with the Business Advisory Centre (BAC). This will require 88 days (10 days per district and 8 for one meeting with the BAC in each District) @ $200 per day.</t>
  </si>
  <si>
    <t xml:space="preserve">GAAP: Travel and DSA for the national consult to travel to each target district to facilitate the training. The national travel cost will vary significantly depending on the means of travel and the distance to travel within Ghana and there will for that reason be allocated an initial lump sum of 1,000 USD/travel. This is based on an estimated local travel costs of USD800 and a DSA of USD200. This is expected to be to be adjusted based on the final travel schedule by the PMC as the details of the travels are known. The cost of the travel and DSA is as follows: 1 staff x $200 per day DSA x 80 = $16,000. 1 staff x $800 per day x 8 districts = $6,400. </t>
  </si>
  <si>
    <t>Contractual services to establish a VSLA in each target community. Cost includes 10 training topics and a start-up VSLA kit. (see sheet B22 VSLAs for additional information)
$1,200 per community for establishment of a VSLA.
Cost per year for the first five years of support:
$1,200 x 3 communities x 2 VSLAs pre community x 8 districts = $57,600</t>
  </si>
  <si>
    <t>Travel and DSA for staff members of LFIs to participate in selected training and awareness-raising events organised through the project. In particular, LFIs will participate in training events aimed at : i) establishing FBOs; and ii) basic business and financial management.
Cost per participant, inclusive of DSA, transport, food and accommodation is estimated @ $260 per day.  100 participants @ $260/day = $ 26,000 over the lifespan of the project</t>
  </si>
  <si>
    <t>LFI participants</t>
  </si>
  <si>
    <t>Existing government staff working on the project to organise and participate in a road show with relevant staff members of LFIs in northern Ghana. Their salaries and operating expenses are covered by in-kind co-financing from the Government of Ghana. See Co-financing EPA, Co-financing MoFA and Co-financing summary.</t>
  </si>
  <si>
    <t>The project will run three road shows - one in each region - where representatives from LFIs are taken to beneficiary communities to facilitate engagement between FBOs and local financial institutions to improve access of beneficiary communities to credit and insurance products. The road show will involve travelling with relevant staff members of LFIs to communities that have received support through the project. The road shows will take place during the 6th year of the project, once all beneficiary communities have formed FBOs and received training on basic business and financial management.
10 participants in each road show, 8 from local LFIs and 2 facilitators. The road show will last 5 days. 
Estimated cost per participant per day = $260. 
Estimated cost per road show = 10 participants x $260 per participant per day x 5 days = $13,000</t>
  </si>
  <si>
    <t>Road show
Workshops</t>
  </si>
  <si>
    <t xml:space="preserve">Professional services to deliver the two-day training workshop at a daily rate of USD600/person for four days/person (two days to travel to workshop venue, two days to deliver workshop). Total days = 2 consultants x four days = 8 workdays. 
International consultant (x1) to deliver follow-up workshops, in collaboration with national consultants, on-site with each of the 32 BACs at a daily rate of USD800/day for three days per workshop (two days to travel to workshop, one day to deliver workshop). Two workshops will be convened per BAC, for a total of 64 workshops. The international consultants will attend four total workshops (for two BACs) to demonstrate with local entities how to deliver the workshops, for a total of 12 workdays. </t>
  </si>
  <si>
    <t>Days
Professional services</t>
  </si>
  <si>
    <t xml:space="preserve">Professional services to deliver follow-up workshops with each of the 32 BACs at a daily rate of USD600/day for three days per workshop (two days to travel to workshop, one day to deliver workshop).  Two workshops will be convened per BAC, for a total of 64 workshops. The international consultant will facilitate the first two workshops while local consultants observe and train. The following two workshops will be co-facilitated by the national and international consultants, and the remaining 60 workshops will be entirely facilitated by national consultants. Total number of days for the follow-up workshops amounts to 192 days. Local consultant rate based on USD10,000/month divided by 20 (assume 20 workdays per month average). </t>
  </si>
  <si>
    <t xml:space="preserve">Two-day training workshop for all BAC staff. Cost includes venue hire and catering for 40 people. </t>
  </si>
  <si>
    <t xml:space="preserve">Local travel of stakeholders to attend the two-day training workshop. Cost includes travel cost (USD100/person) and an overnight stay at a hotel (USD150/person) for 40 people. </t>
  </si>
  <si>
    <t>Travel cost international: international travel of two international consultants to deliver the two-day training workshop. The cost will cover return airfare (USD2,000), visa fee (USD150), travel to and from airport (terminal expenses, USD300) and DSA for 2 days @USD250/day. All international travel will use economy class using the most economical option (taking security and travel time into account).</t>
  </si>
  <si>
    <t xml:space="preserve">Travel cost international: international travel of one international consultant to deliver four one-day follow-up workshops. The cost will cover return airfare (USD2,000), visa fee (USD150), travel to and from airport (terminal expenses, USD200) and DSA for 14 days @USD200/day = USD5,150. All international travel will use economy class using the most economical option (taking security and travel time into account). The consultant will make one international round-trip to deliver the four training workshops, over a two-week period. </t>
  </si>
  <si>
    <t>Purchase of 2 motorbikes for 8 BACs at a unit cost of USD5,000/motorbike. Total cost amounts to 16 motorbikes x USD5,000 = $80,000</t>
  </si>
  <si>
    <t xml:space="preserve">Cost of fuel and motorbike maintenance, calculated as follows: i) fuel for 1,200 FBO visits, assuming average round trip is 50 km, with motorbike mileage averaging 10 km/l and fuel price of USD2/l, amounting to a total of USD12,000 over years two - five; and ii) motorbike maintenance calculated to equate to proportion of depreciated value (10%), totalling USD32,000 over years two - five. See Co-financing Summary and Co-financing EPA 4.3. </t>
  </si>
  <si>
    <t>Existing staff from EPA*** allocated to the 32 BACs for four years, one staff member per BAC with an average annual salary of USD12,000/person. See Co-financing Summary and Co-financing EPA 4.3.</t>
  </si>
  <si>
    <t>Existing government staff working on the project to assist with designing the credit line. Their salaries and operating expenses are covered by in-kind co-financing  the Government of Ghana. See Co-financing EPA, Co-financing MoFA and Co-financing summary.</t>
  </si>
  <si>
    <t xml:space="preserve">Professional services to facilitate a one-day climate-resilient agricultural forum per region for 12 regions at a rate of USD600/day. Each forum requires one day for facilitation and two days to travel to forum, totalling three days per forum. </t>
  </si>
  <si>
    <t>Days
Workshop</t>
  </si>
  <si>
    <t>Travel cost international: international travel of the international consultant to deliver the climate-resilient agriculture forums. The cost will cover return airfare (USD2,000), visa fee (USD150), travel to and from airport (terminal expenses, USD200) and DSA for 12 days @USD200/day = USD4,750. All international travel will use economy class using the most economical option (taking security and travel time into account). The consultant will make four round-trips, each covering four of 12 regions.</t>
  </si>
  <si>
    <t xml:space="preserve">Cost of one-day climate-resilient agriculture forums, including venue hire and catering for 100 people.  </t>
  </si>
  <si>
    <t>Professional services (local firm) for the production of a website (USD10,000) and social media campaign (USD20,000)</t>
  </si>
  <si>
    <t>Travel cost international: travel of the international consultant to support the delivery of one D23 workshop and one D24 training workshops. The cost will cover return airfare (USD2,000), visa fee (USD150), travel to and from airport (terminal expenses, USD200) and DSA for 4 days @USD200/day/mission. All international travel will use economy class using the most economical option (taking security and travel time into account).</t>
  </si>
  <si>
    <t xml:space="preserve">Five-day mid-level management training workshops. Cost includes venue hire and catering for 60 people for the full five days. </t>
  </si>
  <si>
    <t>Professional services (local firm) to create a credit score database on FBOs and their members  (USD 600/days for 40 days)</t>
  </si>
  <si>
    <t xml:space="preserve">Professional services to develop insurance study at USD600/day for 60 workdays total. </t>
  </si>
  <si>
    <t xml:space="preserve">Workshop (seminar) to present the results of the insurance study, including catering for 30 participants and venue rental for 1 day. </t>
  </si>
  <si>
    <t>Professional services to design and oversee long-term monitoring programme and and determine the socio-economic impacts of the various adaptation intervention,  in association with local academic institutions. The International M&amp;E consultant will also be responsible for providing training on M&amp;E to national project staff. The consultant will also review and edit annual monitoring reports and ensure that they are produced to the required international standards. Finally, the International M&amp;E consultant will be responsible for generating knowledge products on best practice and lessons learned through the monitoring programme.
$1000 per day for 30 days per year = $30,000 per year.</t>
  </si>
  <si>
    <r>
      <t>Local consultant:</t>
    </r>
    <r>
      <rPr>
        <b/>
        <sz val="10"/>
        <rFont val="Calibri"/>
        <family val="2"/>
        <scheme val="minor"/>
      </rPr>
      <t xml:space="preserve">  Chief Technical Advisor (CTA) - UNEP NOC Step XI </t>
    </r>
    <r>
      <rPr>
        <sz val="10"/>
        <rFont val="Calibri"/>
        <family val="2"/>
        <scheme val="minor"/>
      </rPr>
      <t xml:space="preserve">to provide technical advice and support for all project activities. The CTA will have the following responsibilities:
• Advise on suitable technical methodologies and approaches to achieve project targets and objectives.
• Undertake technical review of project outputs (e.g. studies and assessments).
• Assist in the drafting of ToRs for technical consultancies.
• Supervise the work of national experts.
• Assist in monitoring the technical quality of project M&amp;E systems (including annual work plans, indicators and targets).
• Provide a technical support function to the work carried out by PM.
• Assist in knowledge management, communications and awareness raising at a regional and national level.
• Provide quality assurance and technical review of project outputs.
• Train relevant international and national experts.
• Provide specialised technical and capacity building support to the PM. 
</t>
    </r>
  </si>
  <si>
    <t>NGO to conduct monitoring and research in target communities.  An intervention monitor will be assigned to conduct research and monitoring in every target community for the three year duration of support.
Per intervention monitor: $1,000
$1,000 per year for three years is allocated to each community.
(see sheet D3 Intervention monitors for additional information)</t>
  </si>
  <si>
    <t>Existing government staff working on the project to implement the long-term monitoring programme and producing annual monitoring reports. Their salaries and operating expenses are covered by in-kind co-financing from the Government of Ghana. See Co-financing EPA, Co-financing MoFA and Co-financing summary.</t>
  </si>
  <si>
    <t>GAAP: National consultant (gender expert) to facilitate the establishment of women-led knowledge hubs in each target district . This will require 40 days (5 days per district) @ $400 per day.</t>
  </si>
  <si>
    <t xml:space="preserve">GAAP: Travel and DSA for the national consult to travel to facilitate the knowledge hubs. The national travel cost will vary significantly depending on the means of travel and the distance to travel within Ghana and there will for that reason be allocated an initial lump sum of 1,000 USD/travel. This is based on an estimated local travel costs of USD800 and a DSA of USD200. This is expected to be to be adjusted based on the final travel schedule by the PMC as the details of the travels are known. The cost of the travel and DSA is as follows: 1 staff x $200 per day DSA x 40 = $8,000. 1 staff x $800 per day x 8 districts = $6,400. </t>
  </si>
  <si>
    <t>Contractual services for printing and dissemination costs for the knowledge products generated by the project.
Estimated costs are $3,000 per year.</t>
  </si>
  <si>
    <t xml:space="preserve">Annual cost
</t>
  </si>
  <si>
    <t xml:space="preserve">Professional services to develop and implement an awareness-raising campaign. The awareness-raising activities designed by the consultancy must be appropriate to local circumstances, taking into account literacy and access to different types of media. 
50 days @ $600 per day during the first year of the project to design the awareness-raising campaign and communication plan.
</t>
  </si>
  <si>
    <t xml:space="preserve">Days
</t>
  </si>
  <si>
    <t>Professional services to  implement an awareness-raising campaign. The awareness-raising activities designed by the consultancy must be appropriate to local circumstances, taking into account literacy and access to different types of media. 
$30,000 per year to implement the awareness-raising campaign, inclusive of professional fees and dissemination costs.</t>
  </si>
  <si>
    <t>Professional services:  Signboards at project interventions sites detailing the project approach and adaptation interventions. One signboard in each target community. $500 per signboard.
Cost per year for first 5 years of project:
$500 x 3 communities x 8 districts = $12,000</t>
  </si>
  <si>
    <t>Existing government staff working on the project to organise and attend community knowledge-sharing events. Their salaries and operating expenses are covered by in-kind co-financing from the Government of Ghana. See Co-financing EPA, Co-financing MoFA and Co-financing summary.</t>
  </si>
  <si>
    <t xml:space="preserve">National consultants/NGOs  Community knowledge-sharing events. These events will be organised by district staff and extension officers. At each knowledge-sharing events, interested community members from approximately 5 nearby communities will be brought to a beneficiary community to view climate change adaptation demonstration sites and learn from beneficiary community members.
Approximately 100 community members from nearby communities will attend each knowledge-sharing event. $25 per attendee to cover transport and food. 
1 knowledge-sharing events will be organised for each of the beneficiary communities during the second year that they are receiving support.
Cost per event: 100 participants x $25 per participant = $2,500
Cost per year during the second year each community receives support:
1 events x 3 communities x 8 districts = $ 60,000.   </t>
  </si>
  <si>
    <t>Professional services to produce video documentaries of project activities at the mid-term and end of the project.
@ $ 15,000 per video x 2 = total $30,000</t>
  </si>
  <si>
    <t xml:space="preserve">Per Documentary
</t>
  </si>
  <si>
    <t>Existing government staff working on the project to share best practices and lessons learned with relevant stakeholders and other adaptation projects in Ghana. Their salaries and operating expenses are covered by in-kind co-financing from the Government of Ghana. See Co-financing EPA, Co-financing MoFA and Co-financing summary.</t>
  </si>
  <si>
    <t xml:space="preserve">Cost of organising knowledge-sharing conference on climate change adaptation.  Conferences will be organised in one the three regional capitals on a rotational basis. Conferences will be 3 days long. Participants will include: i) district-level government staff ; ii) regional-level government staff ; iii) national-level government staff ; iv) project and programme managers; v) representatives of academic and research institutions; vi) NGO staff; vii) representatives of multilateral development agencies; and viii) project beneficiaries.  In total, it estimated there will be 80 participants in each conference. 
$200 per participant per day, including venue hire, transport, tea/coffee meals and accomodation and printing costs.
Cost per year: 80 participants x $200 per participant per day x 3 days = $48,000/ workshop.   Plan for 7 workshops, 1 per year. </t>
  </si>
  <si>
    <t xml:space="preserve">National consultants/NGOs to organise eight two day District level awareness and training workshops.   $200 per participant per day, including venue hire, transport, tea/coffee meals and accomodation and printing costs.
Cost per year: 80 participants x $200 per participant per day x 3 days = $48,000/ workshop.   Plan for 7 workshops, 1 per year. </t>
  </si>
  <si>
    <t>Lump sum</t>
  </si>
  <si>
    <t>Project Monitoring and Reporting Officer (EPA hired, @46,851/year (NO-B, Step X) inclusive of statutory contributions and deductions  (PMU Member)</t>
  </si>
  <si>
    <t>Project Environmental and Social Safeguards and Gender Officer</t>
  </si>
  <si>
    <t>ESAMF implementation (details can be found in Tables 10 and 11 of Annex 6B: ESAMF)</t>
  </si>
  <si>
    <t>EPA and MFA staff (see cofinancing summary</t>
  </si>
  <si>
    <t>Government staff will be assigned to work on the project. These staff will include:
• Project Director
• Administrative officer
• Assistant project manager (MoFA)
• Agricultural technical specialist
• Gender specialist
The above Government positions will be covered by in-kind co-financing from the Government of Ghana. See Co-financing EPA, Co-financing MoFA and Co-financing summary.</t>
  </si>
  <si>
    <t xml:space="preserve">Project Manager (EPA hired, @ $57,358 / year  inclusive of statutory contributions and deductions) </t>
  </si>
  <si>
    <t>Annual Cost</t>
  </si>
  <si>
    <t>Project Finance Officer (EPA hired, @ $46,851/year inclusive of statutory contributions and deductions)</t>
  </si>
  <si>
    <t>Project Administrative/Procurement Officer (EPA hired, @46,851/year inclusive of statutory contributions and deductions)</t>
  </si>
  <si>
    <t>Communication Officer (EPA hired @ $46,851/year inclusive of statutory contributions and deduction)</t>
  </si>
  <si>
    <t>Office consumables for the PMU @ $12,000 per year.</t>
  </si>
  <si>
    <t>Office equipment for PMU (PCs, UPS, Printers, Laptops, GPS and digital cameras) (see sheet PMc National office equipment for further details).</t>
  </si>
  <si>
    <t>Cost of GIS and accounting software. Estimated cost is $40,000.</t>
  </si>
  <si>
    <t>Communication cost for PMU @$2,000 per year.</t>
  </si>
  <si>
    <t>Cost associated with the procurement of goods and services. Includes development of ToRs, advertisements and tender administration.
$7,500 per year allocated to procurement costs.</t>
  </si>
  <si>
    <t>Costs associated with evaluation team and tender committee meetings.
$1,500 per year allocated to evaluation team and tender committee meetings.</t>
  </si>
  <si>
    <t>Coordination and verification mission-related travel costs of the PMU to project sites, including flights and car hire and fuel</t>
  </si>
  <si>
    <t>Annual project steering committee meetings @ $5,000 per meeting</t>
  </si>
  <si>
    <t>Annual PSC field visits to monitor project progress and maintain political support for the project @ $10,000 per year</t>
  </si>
  <si>
    <t>Annual local steering committee meetings@ $1,500 per meeting,
Total cost per year:
$1,500 x 3 regions = $4,500</t>
  </si>
  <si>
    <t>Financial audit of project expenditure through internal government processes @ $5,000 per year.</t>
  </si>
  <si>
    <t>Financial audit of project expenditure by independent auditing firm @ $15,000 per year.</t>
  </si>
  <si>
    <t>Co-financing summary</t>
  </si>
  <si>
    <t>EPA - in-kind</t>
  </si>
  <si>
    <t>MoFA - in-kind</t>
  </si>
  <si>
    <t>WRC - in-kind</t>
  </si>
  <si>
    <t>GMet - in-kind</t>
  </si>
  <si>
    <t>TOTAL Co-financing In Kind</t>
  </si>
  <si>
    <t>EPA - A7Cash/In-kind (Activity 4.3)</t>
  </si>
  <si>
    <t>EPA - Cash</t>
  </si>
  <si>
    <t>Total co-financing</t>
  </si>
  <si>
    <t>GCF funding amount (USD)</t>
  </si>
  <si>
    <t xml:space="preserve">Co-finance funding amount in-kind (USD) </t>
  </si>
  <si>
    <t>Co-Financing Source</t>
  </si>
  <si>
    <t>Co-financing cash</t>
  </si>
  <si>
    <t>Proportion of GCF funds per Activity</t>
  </si>
  <si>
    <r>
      <t xml:space="preserve">Output 1: </t>
    </r>
    <r>
      <rPr>
        <sz val="9"/>
        <color theme="1"/>
        <rFont val="Arial"/>
        <family val="2"/>
      </rPr>
      <t>Improved climate data and early warnings made available to facilitate proactive drought and flood management.</t>
    </r>
  </si>
  <si>
    <t>Gmet</t>
  </si>
  <si>
    <t>GMET</t>
  </si>
  <si>
    <t>1.3: Capacitate key technical staff at national, regional and district levels, including GMet, HYDRO and WRC, for drought and flood services delivery</t>
  </si>
  <si>
    <t>Subtotal</t>
  </si>
  <si>
    <r>
      <t xml:space="preserve">Output 2: </t>
    </r>
    <r>
      <rPr>
        <sz val="9"/>
        <color theme="1"/>
        <rFont val="Arial"/>
        <family val="2"/>
      </rPr>
      <t>Climate-resilient agricultural practices, EbA and alternative climate-resilient livelihoods implemented in beneficiary communities.</t>
    </r>
  </si>
  <si>
    <t xml:space="preserve">MOFA </t>
  </si>
  <si>
    <t xml:space="preserve">2.2: Develop community climate action plans (CCAPs) in collaboration with beneficiary communities. </t>
  </si>
  <si>
    <t>2.4: Implement climate change adaptation interventions, including climate-resilient agricultural practices, EbA and alternative climate-resilient livelihoods, identified in the CCAPs in beneficiary communities.</t>
  </si>
  <si>
    <t>Sub-total</t>
  </si>
  <si>
    <t>3.1 Implement land restoration on communal land</t>
  </si>
  <si>
    <t>EPA (40%)</t>
  </si>
  <si>
    <r>
      <t>Output 4: I</t>
    </r>
    <r>
      <rPr>
        <sz val="9"/>
        <color theme="1"/>
        <rFont val="Arial"/>
        <family val="2"/>
      </rPr>
      <t>ncreased access of smallholder farmers to financial resources and engagement with the private sector.</t>
    </r>
  </si>
  <si>
    <t>4.1: Establish farmer-based organisations (FBOs), Nucleus Farm Models and Village Savings and Loans Associations (VSLAs) that can access credit and insurance for farming and non-farming livelihood activities</t>
  </si>
  <si>
    <t>EPA (25%)</t>
  </si>
  <si>
    <t>4.2: Connect FBOs, Nucleus Farm Models and local financial institutions to improve access of beneficiary communities to credit and insurance products</t>
  </si>
  <si>
    <t>4.3: Establish blended finance credit lines to support climate resilient agriculture.</t>
  </si>
  <si>
    <t xml:space="preserve">EPA (25%) </t>
  </si>
  <si>
    <r>
      <t xml:space="preserve">Output 5: </t>
    </r>
    <r>
      <rPr>
        <sz val="9"/>
        <color theme="1"/>
        <rFont val="Arial"/>
        <family val="2"/>
      </rPr>
      <t>Knowledge and awareness of climate threats to agricultural livelihoods and available adaptation options increased to inform the upscaling of climate change adaptation across northern Ghana.</t>
    </r>
  </si>
  <si>
    <t xml:space="preserve">M&amp;E </t>
  </si>
  <si>
    <t>EPA (5%)</t>
  </si>
  <si>
    <t>EPA (5&amp;)</t>
  </si>
  <si>
    <t>Total project financing, including PMC</t>
  </si>
  <si>
    <t xml:space="preserve">Activity </t>
  </si>
  <si>
    <t>Co-finance Description</t>
  </si>
  <si>
    <t>Type of co-finance</t>
  </si>
  <si>
    <t>Source of co-finance</t>
  </si>
  <si>
    <t>Value (USD)</t>
  </si>
  <si>
    <t>4.3: Establish blended finance credit lines to support climate-resilient agriculture</t>
  </si>
  <si>
    <t xml:space="preserve">Cost of fuel and motorbike maintenance, calculated as follows: i) fuel for 1,200 FBO visits, assuming average round trip is 50 km, with motorbike mileage averaging 10 km/l and fuel price of USD2/l, amounting to a total of USD12,000 over years two - five; and ii) motorbike maintenance calculated to equate to proportion of depreciated value (10%), totalling USD32,000 over years two - five. </t>
  </si>
  <si>
    <t>In-kind - Equipment</t>
  </si>
  <si>
    <t>Not given</t>
  </si>
  <si>
    <t>Existing staff from EPA*** allocated to the 32 BACs for four years, one staff member per BAC with an average annual salary of USD12,000/person.</t>
  </si>
  <si>
    <t>In kind - staff costs</t>
  </si>
  <si>
    <t>Total</t>
  </si>
  <si>
    <t>Type of Resource</t>
  </si>
  <si>
    <t>Units</t>
  </si>
  <si>
    <t>Monthly salary (GHS)</t>
  </si>
  <si>
    <t>Hourly rate (GHS)</t>
  </si>
  <si>
    <t>Hours spent on project per week</t>
  </si>
  <si>
    <t>Cost per month (GHS)</t>
  </si>
  <si>
    <t>Contingency</t>
  </si>
  <si>
    <t>Cost per year (GHS)</t>
  </si>
  <si>
    <t xml:space="preserve">Cost over project lifespan (7 years) (GHS) </t>
  </si>
  <si>
    <t>Total cost (GHS)</t>
  </si>
  <si>
    <t>Staff and other personnel costs</t>
  </si>
  <si>
    <t>Upper West Region</t>
  </si>
  <si>
    <t>Regional Director</t>
  </si>
  <si>
    <t>Principal Programme Officer</t>
  </si>
  <si>
    <t>Porgramme Officer</t>
  </si>
  <si>
    <t>Assistant Programme Officer</t>
  </si>
  <si>
    <t>Account Officer</t>
  </si>
  <si>
    <t>Upper East Region</t>
  </si>
  <si>
    <t>Northern Region</t>
  </si>
  <si>
    <t>Regioanl Director</t>
  </si>
  <si>
    <t>Project Secretariat</t>
  </si>
  <si>
    <t>Executive Director</t>
  </si>
  <si>
    <t>Deputy Executive Director (F/A)</t>
  </si>
  <si>
    <t>Deputy Executive Director (Technical)</t>
  </si>
  <si>
    <t>Director, Natural Resource</t>
  </si>
  <si>
    <t>Chief Programme Officer</t>
  </si>
  <si>
    <t>Senior Programme Officer</t>
  </si>
  <si>
    <t>Programme Officer</t>
  </si>
  <si>
    <t>Assistant Programe Officer</t>
  </si>
  <si>
    <t>Finance</t>
  </si>
  <si>
    <t>Director, Finance</t>
  </si>
  <si>
    <t>Principal Accountant</t>
  </si>
  <si>
    <t>Senior Accountant</t>
  </si>
  <si>
    <t>Procurement</t>
  </si>
  <si>
    <t>Procurement Officer</t>
  </si>
  <si>
    <t>Assistant Procurement Officer</t>
  </si>
  <si>
    <t>Stores</t>
  </si>
  <si>
    <t>Assistant Stores Officer</t>
  </si>
  <si>
    <t>Store Clerk</t>
  </si>
  <si>
    <t>Audit</t>
  </si>
  <si>
    <t>Principal Internal Auditor</t>
  </si>
  <si>
    <t>Senior Internal Auditor</t>
  </si>
  <si>
    <t>Subtotal(GHS)</t>
  </si>
  <si>
    <t>Subtotal (USD)</t>
  </si>
  <si>
    <t>Assistant Internal Auditor</t>
  </si>
  <si>
    <t>Equipment, vehicles and furniture</t>
  </si>
  <si>
    <t>Vehicles for operations</t>
  </si>
  <si>
    <t>Operating and other direct costs</t>
  </si>
  <si>
    <t>Operational funds for the three Regional Offices</t>
  </si>
  <si>
    <t>Office Space - EPA</t>
  </si>
  <si>
    <t>Office Space - Regions</t>
  </si>
  <si>
    <t>TOTAL AMOUNT</t>
  </si>
  <si>
    <t>Amount in USD @  1USD to GHS 4.5</t>
  </si>
  <si>
    <t>4 Districts in Upper West Region</t>
  </si>
  <si>
    <t>District Director</t>
  </si>
  <si>
    <t>Assistant Director</t>
  </si>
  <si>
    <t>Agricultural Officers</t>
  </si>
  <si>
    <t>Extension Officers</t>
  </si>
  <si>
    <t>Accountant</t>
  </si>
  <si>
    <t>Store Keeper</t>
  </si>
  <si>
    <t>Secretary</t>
  </si>
  <si>
    <t>3 Districts in Upper East Region</t>
  </si>
  <si>
    <t>2 Districts in Northern Region</t>
  </si>
  <si>
    <t>Deputy Regional Director</t>
  </si>
  <si>
    <t>Principal Agricultural Officer</t>
  </si>
  <si>
    <t>Senior Agricultural Officer</t>
  </si>
  <si>
    <t xml:space="preserve">Director of Cop Services Directorate </t>
  </si>
  <si>
    <t>Deputy Director (Project Focal Person)</t>
  </si>
  <si>
    <t>Agricultural Officer</t>
  </si>
  <si>
    <t>Adminstrative Officer</t>
  </si>
  <si>
    <t xml:space="preserve">Secretary </t>
  </si>
  <si>
    <t>Account officer</t>
  </si>
  <si>
    <t>Office Space - MoFA Crop Services</t>
  </si>
  <si>
    <t>Office Space - Regions - 3</t>
  </si>
  <si>
    <t>Office Space (Rent) Districts - 8</t>
  </si>
  <si>
    <t xml:space="preserve">Cost over project lifespan (7 years) (USD) </t>
  </si>
  <si>
    <r>
      <t xml:space="preserve">Activity 1.1: </t>
    </r>
    <r>
      <rPr>
        <sz val="9"/>
        <color theme="1"/>
        <rFont val="Arial"/>
        <family val="2"/>
      </rPr>
      <t>Strengthen regional and district institutional structures to implement and monitor climate change adaptation projects.</t>
    </r>
  </si>
  <si>
    <t>1.1.3: Provide REMCs (regional EPA offices and regional Department of Agriculture offices) with travel costs to oversee and coordinate regional climate change adaptation activities.</t>
  </si>
  <si>
    <t xml:space="preserve">1.1.4: Provide DEMCs (district Department of Agriculture offices) with the equipment that enables the effective and efficient delivery and monitoring of climate change adaptation and agricultural extension services. </t>
  </si>
  <si>
    <t>Year</t>
  </si>
  <si>
    <t xml:space="preserve">Total </t>
  </si>
  <si>
    <t>ACTIVITY 1: TA TO BACs (GCF-funded)</t>
  </si>
  <si>
    <t xml:space="preserve">In-person workshop for all BAC staff </t>
  </si>
  <si>
    <t>Hiring of trainers</t>
  </si>
  <si>
    <t>Number of workshop days</t>
  </si>
  <si>
    <t>Number of  travel days to workshop venue</t>
  </si>
  <si>
    <t>Number of experts providing TA</t>
  </si>
  <si>
    <t>Expert cost per day ($)</t>
  </si>
  <si>
    <t>Flights for international experts</t>
  </si>
  <si>
    <t>Ticket ($)</t>
  </si>
  <si>
    <t>Total ($)</t>
  </si>
  <si>
    <t>Subsistence allowance for international experts</t>
  </si>
  <si>
    <t>Daily ($)</t>
  </si>
  <si>
    <t>Terminal expenses for international experts</t>
  </si>
  <si>
    <t>International ($)</t>
  </si>
  <si>
    <t>In Ghana ($)</t>
  </si>
  <si>
    <t>Other costs for international experts (visa, vaccines, etc.)</t>
  </si>
  <si>
    <t>Per expert ($)</t>
  </si>
  <si>
    <t>Venue rental</t>
  </si>
  <si>
    <t>Per day ($)</t>
  </si>
  <si>
    <t>Cost per workshop includes venuehire and catering</t>
  </si>
  <si>
    <t xml:space="preserve">Catering </t>
  </si>
  <si>
    <t>Participants (BAC officers, GoG officials, others)</t>
  </si>
  <si>
    <t>Cost per participant ($)</t>
  </si>
  <si>
    <t>Travel reimbursement to participants</t>
  </si>
  <si>
    <t xml:space="preserve">Local travel pp </t>
  </si>
  <si>
    <t>Travel cost per participant ($)</t>
  </si>
  <si>
    <t>Hotel stay (one-night)</t>
  </si>
  <si>
    <t xml:space="preserve">Follow-up workshops on-site at each BAC </t>
  </si>
  <si>
    <t>Number of BACs holding follow-up workshops</t>
  </si>
  <si>
    <t>Number of workshops per BAC</t>
  </si>
  <si>
    <t>Workshop duration (days)</t>
  </si>
  <si>
    <t>64 workshops</t>
  </si>
  <si>
    <t>Number of experts providing TA at each workshop</t>
  </si>
  <si>
    <t>3 days (workshop + travel)</t>
  </si>
  <si>
    <t>192 workdays total x usd800/day</t>
  </si>
  <si>
    <t>ACTIVITY 2: LOGISTICAL SUPPORT TO BACs (GCF-funded + co-finance)</t>
  </si>
  <si>
    <t>Motorbike purchase (GCF)</t>
  </si>
  <si>
    <t>Number of motorbikes bought per BAC</t>
  </si>
  <si>
    <t>Total number of motorbikes bought</t>
  </si>
  <si>
    <t>Price per motorbike ($)</t>
  </si>
  <si>
    <t>Motorbike maintenance (co-finance)</t>
  </si>
  <si>
    <t>Depreciation rate</t>
  </si>
  <si>
    <t>Fuel cost (co-finance)</t>
  </si>
  <si>
    <t>Number of FBO visits</t>
  </si>
  <si>
    <t>Average round-trip (km)</t>
  </si>
  <si>
    <t>Motorbike mileage (km/l)</t>
  </si>
  <si>
    <t>Fuel price ($/l)</t>
  </si>
  <si>
    <t>Staff allocation (co-finance)</t>
  </si>
  <si>
    <t>Average FTE allocated per BAC</t>
  </si>
  <si>
    <t>FTEs allocated</t>
  </si>
  <si>
    <t>Annual salary  per FTE ($)</t>
  </si>
  <si>
    <t>ACTIVITY 3: CLIMATE-RESILIENT AGRICULTURE FORUMS (GCF-funded)</t>
  </si>
  <si>
    <t>Hiring of facilitators (international experts)</t>
  </si>
  <si>
    <t>Number of regions holding forum</t>
  </si>
  <si>
    <t>Number of forums per year per region</t>
  </si>
  <si>
    <t>Forum duration (days)</t>
  </si>
  <si>
    <t>Number of facilitators at each workshop</t>
  </si>
  <si>
    <t>Website</t>
  </si>
  <si>
    <t>Website production (local firm) ($)</t>
  </si>
  <si>
    <t>Social media campaign (local firm) ($)</t>
  </si>
  <si>
    <t>ACTIVITY 4.3.4: TA TO LOCAL FIs (GCF-funded)</t>
  </si>
  <si>
    <t>Reimbursement of GIRSAL's experts</t>
  </si>
  <si>
    <t>Number of training sessions</t>
  </si>
  <si>
    <t>Mid-management training</t>
  </si>
  <si>
    <t>Senior management training</t>
  </si>
  <si>
    <t>Number of experts leading one session</t>
  </si>
  <si>
    <t>Number of days per training session</t>
  </si>
  <si>
    <t>Dailly rate ($)</t>
  </si>
  <si>
    <t>Venue rental for mid-management training</t>
  </si>
  <si>
    <t>Catering for mid-management training</t>
  </si>
  <si>
    <t>Participants per session</t>
  </si>
  <si>
    <t>Cost per participant per day ($)</t>
  </si>
  <si>
    <t>ACTIVITY 5: CREDIT SCORING (GCF-funded)</t>
  </si>
  <si>
    <t>[FINANCIAL ACCESS TO PROVIDE]</t>
  </si>
  <si>
    <t>[…]</t>
  </si>
  <si>
    <t>ACTIVITY 6: INSURANCE STUDY (GCF-funded)</t>
  </si>
  <si>
    <t>Production of insurance study</t>
  </si>
  <si>
    <t>Consultant days required</t>
  </si>
  <si>
    <t>Daily rate ($)</t>
  </si>
  <si>
    <t>Venue rental for seminar</t>
  </si>
  <si>
    <t>Seminar days</t>
  </si>
  <si>
    <t>Catering for seminar</t>
  </si>
  <si>
    <t>Participants</t>
  </si>
  <si>
    <t>TOTAL BUDGET</t>
  </si>
  <si>
    <t>GCF grant ($)</t>
  </si>
  <si>
    <t>Co-finance ($)</t>
  </si>
  <si>
    <t>Office Equipment for regional offices</t>
  </si>
  <si>
    <t>Cost per office:</t>
  </si>
  <si>
    <t>Item</t>
  </si>
  <si>
    <t>Estimated Cost ($)</t>
  </si>
  <si>
    <t>Number required</t>
  </si>
  <si>
    <t>Desktop Computers</t>
  </si>
  <si>
    <t>UPS</t>
  </si>
  <si>
    <t>Laserjet Printer</t>
  </si>
  <si>
    <t>GPS</t>
  </si>
  <si>
    <t>Digital Camera</t>
  </si>
  <si>
    <t>Desktop Computers with screens, software, accessories</t>
  </si>
  <si>
    <t xml:space="preserve"> Printer/Scanner/Copier (high capacity)</t>
  </si>
  <si>
    <t>Laptops</t>
  </si>
  <si>
    <t>Office Equipment for district offices</t>
  </si>
  <si>
    <t>Desktop Computer, screen and accessories</t>
  </si>
  <si>
    <t>Printer/Scanner/Copier mid size</t>
  </si>
  <si>
    <t>Portable Internet modem</t>
  </si>
  <si>
    <t>Support per community</t>
  </si>
  <si>
    <t>Year 1 of support</t>
  </si>
  <si>
    <t>Year 2 of support</t>
  </si>
  <si>
    <t>Year 3 of support</t>
  </si>
  <si>
    <t>Number of communties beginning to receive support per district per year</t>
  </si>
  <si>
    <t>Number of Districts</t>
  </si>
  <si>
    <t>Project years</t>
  </si>
  <si>
    <t>Total Budget</t>
  </si>
  <si>
    <t>Budget per community</t>
  </si>
  <si>
    <t>Region</t>
  </si>
  <si>
    <t>District</t>
  </si>
  <si>
    <t>Rural Population</t>
  </si>
  <si>
    <t>Household size</t>
  </si>
  <si>
    <t># households</t>
  </si>
  <si>
    <t>Relative Pop</t>
  </si>
  <si>
    <t>Funds per comm</t>
  </si>
  <si>
    <t xml:space="preserve">Bunkpurugu Yonyoo </t>
  </si>
  <si>
    <t>Mamprusi East</t>
  </si>
  <si>
    <t xml:space="preserve">Garu Tempane </t>
  </si>
  <si>
    <t>Binduri</t>
  </si>
  <si>
    <t>Lawra</t>
  </si>
  <si>
    <t>Lambussie</t>
  </si>
  <si>
    <t>Jirapa</t>
  </si>
  <si>
    <t xml:space="preserve">Wa West </t>
  </si>
  <si>
    <t>Distribution of activities</t>
  </si>
  <si>
    <t>EbA</t>
  </si>
  <si>
    <t>Agriculture</t>
  </si>
  <si>
    <t>PHS</t>
  </si>
  <si>
    <t>Livelihoods</t>
  </si>
  <si>
    <t>Water Infrastructure</t>
  </si>
  <si>
    <t>Percentage</t>
  </si>
  <si>
    <t>Equal distribution of funds</t>
  </si>
  <si>
    <t>Total per district</t>
  </si>
  <si>
    <t>Funds distributed based on population size per community</t>
  </si>
  <si>
    <t>Ratios of Natural Vegetation to Agriculture</t>
  </si>
  <si>
    <t>Percentage EbA and Agriculture</t>
  </si>
  <si>
    <t xml:space="preserve">1. Village Savings and Loans Associations (VSLAs) </t>
  </si>
  <si>
    <t>PROPOSAL STANDARD VSLA TRAINING PROGRAMME AND BUDGET EPA</t>
  </si>
  <si>
    <t xml:space="preserve">Trainings </t>
  </si>
  <si>
    <t>Training Topics</t>
  </si>
  <si>
    <t>Timeline</t>
  </si>
  <si>
    <t xml:space="preserve">M&amp;E Indicators </t>
  </si>
  <si>
    <t>Budget US$</t>
  </si>
  <si>
    <r>
      <t>1</t>
    </r>
    <r>
      <rPr>
        <vertAlign val="superscript"/>
        <sz val="11"/>
        <color rgb="FF000000"/>
        <rFont val="Times New Roman"/>
        <family val="1"/>
      </rPr>
      <t>st</t>
    </r>
    <r>
      <rPr>
        <sz val="11"/>
        <color rgb="FF000000"/>
        <rFont val="Times New Roman"/>
        <family val="1"/>
      </rPr>
      <t xml:space="preserve"> Training Meeting</t>
    </r>
  </si>
  <si>
    <t>Preparatory  meetings</t>
  </si>
  <si>
    <t>Number of communities visited</t>
  </si>
  <si>
    <t>a.     Orientation of local leaders(Nucleus farmers, Lead farmers) and government officials</t>
  </si>
  <si>
    <t>Number of groups sensitized</t>
  </si>
  <si>
    <t>Facilitators cost</t>
  </si>
  <si>
    <t xml:space="preserve">b. Community needs assessment and selection </t>
  </si>
  <si>
    <t>c.     Introduction of VSLA to the community.</t>
  </si>
  <si>
    <t>Groups knowledge in VSLA</t>
  </si>
  <si>
    <t>d.     First meeting with potential and newly formed VSLA</t>
  </si>
  <si>
    <t>e.  Collection of lists and selection of VSLA groups</t>
  </si>
  <si>
    <t>Fuel</t>
  </si>
  <si>
    <r>
      <t>2</t>
    </r>
    <r>
      <rPr>
        <vertAlign val="superscript"/>
        <sz val="11"/>
        <color rgb="FF000000"/>
        <rFont val="Times New Roman"/>
        <family val="1"/>
      </rPr>
      <t>nd</t>
    </r>
    <r>
      <rPr>
        <sz val="11"/>
        <color rgb="FF000000"/>
        <rFont val="Times New Roman"/>
        <family val="1"/>
      </rPr>
      <t xml:space="preserve"> Training Meeting</t>
    </r>
  </si>
  <si>
    <t>FBO/VSLA group Leadership and Election</t>
  </si>
  <si>
    <t>Number of groups with executives</t>
  </si>
  <si>
    <t>List of group members</t>
  </si>
  <si>
    <t>Knowledge in roles and responsibilities of leaders and members</t>
  </si>
  <si>
    <r>
      <t>3</t>
    </r>
    <r>
      <rPr>
        <vertAlign val="superscript"/>
        <sz val="11"/>
        <color rgb="FF000000"/>
        <rFont val="Times New Roman"/>
        <family val="1"/>
      </rPr>
      <t>rd</t>
    </r>
    <r>
      <rPr>
        <sz val="11"/>
        <color rgb="FF000000"/>
        <rFont val="Times New Roman"/>
        <family val="1"/>
      </rPr>
      <t xml:space="preserve"> Training Meeting</t>
    </r>
  </si>
  <si>
    <t>Reasons to save</t>
  </si>
  <si>
    <t>Knowledge of the importance of saving</t>
  </si>
  <si>
    <t>Social fund,  share-purchase (savings) and credit policies.</t>
  </si>
  <si>
    <t>Saving and credit policies agree</t>
  </si>
  <si>
    <t>Facilitator cost</t>
  </si>
  <si>
    <r>
      <t>4</t>
    </r>
    <r>
      <rPr>
        <vertAlign val="superscript"/>
        <sz val="11"/>
        <color rgb="FF000000"/>
        <rFont val="Times New Roman"/>
        <family val="1"/>
      </rPr>
      <t>th</t>
    </r>
    <r>
      <rPr>
        <sz val="11"/>
        <color rgb="FF000000"/>
        <rFont val="Times New Roman"/>
        <family val="1"/>
      </rPr>
      <t xml:space="preserve"> Training Meeting </t>
    </r>
  </si>
  <si>
    <t xml:space="preserve">Development of VSLA/ FBO’s/Association Constitution </t>
  </si>
  <si>
    <t>Evidence of written constitution</t>
  </si>
  <si>
    <t>Goal setting; Long and Short term</t>
  </si>
  <si>
    <t>Individual goals settings</t>
  </si>
  <si>
    <t xml:space="preserve">Groups goals setting and knowledge </t>
  </si>
  <si>
    <r>
      <t>5</t>
    </r>
    <r>
      <rPr>
        <vertAlign val="superscript"/>
        <sz val="11"/>
        <color rgb="FF000000"/>
        <rFont val="Times New Roman"/>
        <family val="1"/>
      </rPr>
      <t>th</t>
    </r>
    <r>
      <rPr>
        <sz val="11"/>
        <color rgb="FF000000"/>
        <rFont val="Times New Roman"/>
        <family val="1"/>
      </rPr>
      <t xml:space="preserve"> training Meeting</t>
    </r>
  </si>
  <si>
    <t>First Share purchase(saving) meeting</t>
  </si>
  <si>
    <t>Knowledge in savings modules</t>
  </si>
  <si>
    <t>Save or borrow?</t>
  </si>
  <si>
    <t>How to borrow and why</t>
  </si>
  <si>
    <t>Making Saving Plan</t>
  </si>
  <si>
    <t>Plan of savings by group and individuals</t>
  </si>
  <si>
    <t>Where to save?</t>
  </si>
  <si>
    <r>
      <t>6</t>
    </r>
    <r>
      <rPr>
        <vertAlign val="superscript"/>
        <sz val="11"/>
        <color rgb="FF000000"/>
        <rFont val="Times New Roman"/>
        <family val="1"/>
      </rPr>
      <t>th</t>
    </r>
    <r>
      <rPr>
        <sz val="11"/>
        <color rgb="FF000000"/>
        <rFont val="Times New Roman"/>
        <family val="1"/>
      </rPr>
      <t xml:space="preserve"> Training Meeting</t>
    </r>
  </si>
  <si>
    <t>First loan disbursement meeting</t>
  </si>
  <si>
    <t xml:space="preserve">Loan records taken </t>
  </si>
  <si>
    <t>How to borrow</t>
  </si>
  <si>
    <t>Good loans vs. Bad loans</t>
  </si>
  <si>
    <t>Borrow  for productive venture</t>
  </si>
  <si>
    <t>Interest rate calculations</t>
  </si>
  <si>
    <t>Book Keeping</t>
  </si>
  <si>
    <t>How to record simple transactions</t>
  </si>
  <si>
    <r>
      <t>7</t>
    </r>
    <r>
      <rPr>
        <vertAlign val="superscript"/>
        <sz val="11"/>
        <color rgb="FF000000"/>
        <rFont val="Times New Roman"/>
        <family val="1"/>
      </rPr>
      <t>th</t>
    </r>
    <r>
      <rPr>
        <sz val="11"/>
        <color rgb="FF000000"/>
        <rFont val="Times New Roman"/>
        <family val="1"/>
      </rPr>
      <t xml:space="preserve"> Training Meeting</t>
    </r>
  </si>
  <si>
    <t>First Loan repayment meeting</t>
  </si>
  <si>
    <t>How to void over debt</t>
  </si>
  <si>
    <t>Avoid Over-Indebtedness</t>
  </si>
  <si>
    <t>Loan records taken</t>
  </si>
  <si>
    <t>Where to borrow from?</t>
  </si>
  <si>
    <t>Interest payment</t>
  </si>
  <si>
    <r>
      <t>8</t>
    </r>
    <r>
      <rPr>
        <vertAlign val="superscript"/>
        <sz val="11"/>
        <color rgb="FF000000"/>
        <rFont val="Times New Roman"/>
        <family val="1"/>
      </rPr>
      <t>th</t>
    </r>
    <r>
      <rPr>
        <sz val="11"/>
        <color rgb="FF000000"/>
        <rFont val="Times New Roman"/>
        <family val="1"/>
      </rPr>
      <t xml:space="preserve"> Training Meeting</t>
    </r>
  </si>
  <si>
    <t>Why should I budget?</t>
  </si>
  <si>
    <t>A simple budget</t>
  </si>
  <si>
    <t>Farm budget preparation</t>
  </si>
  <si>
    <t>Importance of budget</t>
  </si>
  <si>
    <r>
      <t>9</t>
    </r>
    <r>
      <rPr>
        <vertAlign val="superscript"/>
        <sz val="11"/>
        <color rgb="FF000000"/>
        <rFont val="Times New Roman"/>
        <family val="1"/>
      </rPr>
      <t>th</t>
    </r>
    <r>
      <rPr>
        <sz val="11"/>
        <color rgb="FF000000"/>
        <rFont val="Times New Roman"/>
        <family val="1"/>
      </rPr>
      <t xml:space="preserve"> Training Meeting</t>
    </r>
  </si>
  <si>
    <t>Stay within your budget</t>
  </si>
  <si>
    <t>Planning for your expenses</t>
  </si>
  <si>
    <t>Put your money to productive use</t>
  </si>
  <si>
    <t>Where to invest you resources</t>
  </si>
  <si>
    <r>
      <t>10th</t>
    </r>
    <r>
      <rPr>
        <sz val="11"/>
        <color rgb="FF000000"/>
        <rFont val="Times New Roman"/>
        <family val="1"/>
      </rPr>
      <t xml:space="preserve"> Training Meeting</t>
    </r>
  </si>
  <si>
    <t>Action Audit /Share out and election of cycle FBO graduates and become independent  or mature FBO</t>
  </si>
  <si>
    <t>Volume of cash share for farming</t>
  </si>
  <si>
    <t>Capacity of farmers groups</t>
  </si>
  <si>
    <t>New executives</t>
  </si>
  <si>
    <t xml:space="preserve"> STANDARD VSLA MODULES  Sub Total</t>
  </si>
  <si>
    <t>NB: This budget is per group, so this will be multiply by the total number of group</t>
  </si>
  <si>
    <t>This budget is for four (4) trainings, so we grouped the 10 training to 4 trainings</t>
  </si>
  <si>
    <t xml:space="preserve">NB: This budget is per group, so this will be multiply by the total number of group </t>
  </si>
  <si>
    <t xml:space="preserve">VSLA KITS </t>
  </si>
  <si>
    <t>See one kit budget attach</t>
  </si>
  <si>
    <t>USD99.40</t>
  </si>
  <si>
    <t>GRANT TOTAL COST TO SET UP ONE VSLA</t>
  </si>
  <si>
    <t>NB: This budget is per group, so this will be multiply by the total number of group (STANDARD)</t>
  </si>
  <si>
    <t xml:space="preserve">GRANT TOTAL COST TO SET UP ONE VSLA </t>
  </si>
  <si>
    <t>In the case of Resilient Landscape project, we shall use the US$1,200.00 as budget per group</t>
  </si>
  <si>
    <t>Cost of VSLA Kit</t>
  </si>
  <si>
    <t>S/N</t>
  </si>
  <si>
    <t>ITEM</t>
  </si>
  <si>
    <t>QUANTITY</t>
  </si>
  <si>
    <t>PRICE</t>
  </si>
  <si>
    <t>AMOUNT(US$)</t>
  </si>
  <si>
    <t>BLUE PENS (Box)</t>
  </si>
  <si>
    <t>RED PENS (Box)</t>
  </si>
  <si>
    <t>CALCULATOR</t>
  </si>
  <si>
    <t>NOTE BOOK</t>
  </si>
  <si>
    <t>RULE</t>
  </si>
  <si>
    <t>STAMP PAD</t>
  </si>
  <si>
    <t xml:space="preserve">INK  </t>
  </si>
  <si>
    <t>MONEY BAGS</t>
  </si>
  <si>
    <t>PADLOCKS</t>
  </si>
  <si>
    <t>MENTAL BOX</t>
  </si>
  <si>
    <t>PASS BOOKS</t>
  </si>
  <si>
    <t xml:space="preserve">MONEY BOWLS </t>
  </si>
  <si>
    <t xml:space="preserve">STAMP </t>
  </si>
  <si>
    <t>TOTAL</t>
  </si>
  <si>
    <t>Stipend per community</t>
  </si>
  <si>
    <t>Number of communities beginning to receive support per district per year</t>
  </si>
  <si>
    <t>Output 2: Climate-resilient agricultural practices, EbA and alternative climate-resilient livelihoods implemented in beneficiary communities.</t>
  </si>
  <si>
    <t>1.3: Capacitate key technical staff at national, regional and district levels, including GMET, HYDRO and WRC, for drought and flood services delivery</t>
  </si>
  <si>
    <t xml:space="preserve">1.4.3  Collect feedback from government and local community stakeholders on the implementation of the DSS and undertake awareness raising workshops with other vulnerable communities adjacent to project sites. </t>
  </si>
  <si>
    <t>5.3.1  Organise annual workshops with eight District Assemblies and DEMC to raise awareness and experiences on CCAP and EbA and promote integration in District development plans and District envir+B5onment plans and budgets</t>
  </si>
  <si>
    <t>1.4: Establishing a robust national communication framework for disseminating DSS and climate-related hazard management to communities</t>
  </si>
  <si>
    <t xml:space="preserve">1.5.1  Review and provide recommendations for strengthening the existing strategic framework for drought- and flood-related hazard management, and develop a national coordination mechanism for responding to drought- and flood related hazards in the agricultural sector, </t>
  </si>
  <si>
    <t>2.1.1: Develop training materials and guidelines for extension officers on climate change adaptation, flood and drought hazard monitoring, CRA and EbA.</t>
  </si>
  <si>
    <t>2.2.4: Deliver training to targeted communities on: i) climate change impacts; ii) use of DSS tools and services; and iii) menu of climate change adaptation interventions.</t>
  </si>
  <si>
    <t>4.3: Establish a blended finance model to provide credit lines to support climate-resilient agriculture</t>
  </si>
  <si>
    <t>4.3.1: Provide technical assistance to the staff of the Business Advisory Centres (BACs) using a training-of trainers approach</t>
  </si>
  <si>
    <t>4.3.2: Provide logistical support to BACs through the provision of motorbikes that will allow BAC officers to provide TA to FBOs on-site. Fuel and maintenance of the motorbikes, as well as the allocation of BAC officer time specifically for TA to FBOs under this project will be provided by the EPA.</t>
  </si>
  <si>
    <r>
      <t>4.3.3: Organize annual “climate-resilient agriculture forums”</t>
    </r>
    <r>
      <rPr>
        <sz val="10"/>
        <rFont val="Arial"/>
        <family val="2"/>
      </rPr>
      <t xml:space="preserve"> </t>
    </r>
    <r>
      <rPr>
        <sz val="11"/>
        <rFont val="Calibri"/>
        <family val="2"/>
        <scheme val="minor"/>
      </rPr>
      <t>convening FBOs, value chain actors, LFIs and NGOs operating in the agricultural sector in the target regions and relevant government entities.</t>
    </r>
  </si>
  <si>
    <r>
      <t>4.3.4: Provide technical assistance to local FIs</t>
    </r>
    <r>
      <rPr>
        <sz val="10"/>
        <rFont val="Arial"/>
        <family val="2"/>
      </rPr>
      <t xml:space="preserve"> </t>
    </r>
    <r>
      <rPr>
        <sz val="11"/>
        <rFont val="Calibri"/>
        <family val="2"/>
        <scheme val="minor"/>
      </rPr>
      <t>on (i) the on the business and financial aspects of EBA/CRA that make EBA/CRA-adopting FBOs more bankable than conventional ones, (ii) the design of CRL products whose terms reflect the specificities of EBA/CRA and (ii) the identification of and introduction to IFIs that could provide concessional credit lines to fund the local FIs’ CRL programs.</t>
    </r>
  </si>
  <si>
    <r>
      <t>4.3.5: Create a credit score database on FBOs and their members</t>
    </r>
    <r>
      <rPr>
        <sz val="10"/>
        <rFont val="Arial"/>
        <family val="2"/>
      </rPr>
      <t xml:space="preserve"> </t>
    </r>
    <r>
      <rPr>
        <sz val="11"/>
        <rFont val="Calibri"/>
        <family val="2"/>
        <scheme val="minor"/>
      </rPr>
      <t>that are targeted by the project and have never borrowed before.</t>
    </r>
  </si>
  <si>
    <t>4.3.6: Produce actuarial data on the FBOs and their members that adopt EBA/CRA under the project, to be used by the new agricultural insurance fund to fine-tune its agricultural insurance policies for EBA/CRA adopting farms.</t>
  </si>
  <si>
    <r>
      <t xml:space="preserve">Monitoring and </t>
    </r>
    <r>
      <rPr>
        <sz val="11"/>
        <color theme="1"/>
        <rFont val="Calibri"/>
        <family val="2"/>
        <scheme val="minor"/>
      </rPr>
      <t>Evaluation</t>
    </r>
    <r>
      <rPr>
        <b/>
        <sz val="11"/>
        <color theme="1"/>
        <rFont val="Calibri"/>
        <family val="2"/>
        <scheme val="minor"/>
      </rPr>
      <t xml:space="preserve"> costs </t>
    </r>
  </si>
  <si>
    <r>
      <t>Project Monitoring and Reporting</t>
    </r>
    <r>
      <rPr>
        <sz val="11"/>
        <color rgb="FFFF0000"/>
        <rFont val="Calibri"/>
        <family val="2"/>
        <scheme val="minor"/>
      </rPr>
      <t xml:space="preserve"> </t>
    </r>
    <r>
      <rPr>
        <sz val="11"/>
        <rFont val="Calibri"/>
        <family val="2"/>
        <scheme val="minor"/>
      </rPr>
      <t>Specialist</t>
    </r>
  </si>
  <si>
    <r>
      <t>Project Environmental and Social Safeguards and Gender</t>
    </r>
    <r>
      <rPr>
        <sz val="11"/>
        <rFont val="Calibri"/>
        <family val="2"/>
        <scheme val="minor"/>
      </rPr>
      <t xml:space="preserve"> Specialist</t>
    </r>
  </si>
  <si>
    <r>
      <t>Input costs for the implementation of EbA climate change adaptation interventions in each target community to</t>
    </r>
    <r>
      <rPr>
        <b/>
        <sz val="10"/>
        <rFont val="Calibri"/>
        <family val="2"/>
        <scheme val="minor"/>
      </rPr>
      <t xml:space="preserve"> cover reforestation for 12,000 hectares plus 2000 ha of riparian buffer zones, making a total of 14,000 ha</t>
    </r>
    <r>
      <rPr>
        <sz val="10"/>
        <rFont val="Calibri"/>
        <family val="2"/>
        <scheme val="minor"/>
      </rPr>
      <t xml:space="preserve">. All of the adaptation interventions will have been chosen from the menu of climate change adaptation interventions (see Annex 2) and will be identified in the relevant CCAP. </t>
    </r>
    <r>
      <rPr>
        <b/>
        <sz val="10"/>
        <rFont val="Calibri"/>
        <family val="2"/>
        <scheme val="minor"/>
      </rPr>
      <t xml:space="preserve">Reforestation costs estimated at USD1,500 per hectare, and riparian reforestation cost is estimated at USD750 per hectare, making an average cost over the </t>
    </r>
    <r>
      <rPr>
        <sz val="10"/>
        <rFont val="Calibri"/>
        <family val="2"/>
        <scheme val="minor"/>
      </rPr>
      <t>1</t>
    </r>
    <r>
      <rPr>
        <b/>
        <sz val="10"/>
        <rFont val="Calibri"/>
        <family val="2"/>
        <scheme val="minor"/>
      </rPr>
      <t>4,000 ha of USD1393/ha .</t>
    </r>
    <r>
      <rPr>
        <sz val="10"/>
        <rFont val="Calibri"/>
        <family val="2"/>
        <scheme val="minor"/>
      </rPr>
      <t xml:space="preserve"> Cost per hectare is based on similar reforestation activities, including restoration of riparian buffer zones, including land preparation, seedling costs, equipment and labour, with an estimated cost of $1,200 per hectare (https://qcat.wocat.net/en/wocat/technologies/view/technologies_1177/).  It is inclusive of setting up community nurseries, and hiring of facilitators and technical assistance to facilitate community engagement on establishing protocols for determining specific locals within CCAPS and agree on modalities for plantings, maintenance and protection of restoration sites
Each community will receive 10% of the designated support during the first year, 16% in the second year, 20% in year three, 20% in year four, 20% in year five, 10% in year six and 4% in year seven.
(see Sheet2 for further breakdown of the support per community).
Input costs will cover, </t>
    </r>
    <r>
      <rPr>
        <i/>
        <sz val="10"/>
        <rFont val="Calibri"/>
        <family val="2"/>
        <scheme val="minor"/>
      </rPr>
      <t>inter alia</t>
    </r>
    <r>
      <rPr>
        <sz val="10"/>
        <rFont val="Calibri"/>
        <family val="2"/>
        <scheme val="minor"/>
      </rPr>
      <t>:
- fodder banks and communal rangelands
- nursery establishment costs
- seedlings for agroforestry and river bank protection</t>
    </r>
  </si>
  <si>
    <t>Professional services :B2</t>
  </si>
  <si>
    <t xml:space="preserve">Professional or Contractual services </t>
  </si>
  <si>
    <t>Output 4 Summary - GCF Funds</t>
  </si>
  <si>
    <t xml:space="preserve">Professional Fees:  Partnership agreement with WMO Centre of Excellence to provide advisory services @ USD 500/day for 60 days  </t>
  </si>
  <si>
    <t xml:space="preserve">Professional Fees:  Partnership agreement with WMO Centre of Excellence to provide advisory services @ USD 500/day for 240 days  </t>
  </si>
  <si>
    <t xml:space="preserve">Professional Fees: Partnership agreement with WMO Centre of Excellence to provide advisory services @ USD 500/day for 60 days  </t>
  </si>
  <si>
    <t>Professional Fees:  Partnership agreement with WMO Centre of Excellence to provide advisory services@ USD 500/day for 60 days/yr over Y2, Y3, Y4 and Yr 5</t>
  </si>
  <si>
    <t xml:space="preserve">Professional Fees:  DHI, Partnership agreement, national consultant advisory services @ USD 500/day for 120 days  </t>
  </si>
  <si>
    <t xml:space="preserve">Professional Fees: DHI, Partnership agreement, national consultant advisory services   @ USD 600/day for 120 days  </t>
  </si>
  <si>
    <t xml:space="preserve">Professional Fees:  DHI, Partnership agreement, national consultant advisory services @ USD 500/day for 60 days  </t>
  </si>
  <si>
    <t xml:space="preserve">Professional Fees:  Partnership agreement with WMO Centre of Excellence to provide advisory services @ USD 500/day for 500 days  </t>
  </si>
  <si>
    <t>Professional Fees:  Partnership agreement with WMO Centre of Excellence to provide advisory services @ USD 600/day for 100 days per year for  5 years</t>
  </si>
  <si>
    <t>Professional services to deliver three five-day mid-level management training workshops. GIRSAL will provide two experts to facilitate each training session, at a daily rate of USD600/person. Total number of days includes 2 consultants x 5 days x 3 workshops = 30 days</t>
  </si>
  <si>
    <t xml:space="preserve">Professional services to deliver one half-day training workshop for senior management, with two GIRSAL experts per workshop at a daily rate of USD600/person. Total number of days includes 2 consultants x 0.5 days x 1 workshop = 1 workday.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</si>
</sst>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_(* #,##0.00_);_(* \(#,##0.00\);_(* &quot;-&quot;??_);_(@_)"/>
    <numFmt numFmtId="165" formatCode="#,##0;[Red]#,##0"/>
    <numFmt numFmtId="166" formatCode="_-* #,##0_-;\-* #,##0_-;_-* &quot;-&quot;??_-;_-@_-"/>
    <numFmt numFmtId="167" formatCode="0.000"/>
    <numFmt numFmtId="168" formatCode="#,##0.0"/>
    <numFmt numFmtId="169" formatCode="_-[$$-409]* #,##0_ ;_-[$$-409]* \-#,##0\ ;_-[$$-409]* &quot;-&quot;_ ;_-@_ "/>
    <numFmt numFmtId="170" formatCode="[$$-409]#,##0"/>
    <numFmt numFmtId="171" formatCode="0.0%"/>
    <numFmt numFmtId="172" formatCode="#,##0_);\(#,##0\);\-_)"/>
    <numFmt numFmtId="173" formatCode="#,##0_);\(#,##0\);_)\-\ "/>
    <numFmt numFmtId="174" formatCode="#,##0.0_);\(#,##0.0\);_)\-\ "/>
    <numFmt numFmtId="175" formatCode="_-[$$-409]* #,##0.00_ ;_-[$$-409]* \-#,##0.00\ ;_-[$$-409]* &quot;-&quot;??_ ;_-@_ "/>
    <numFmt numFmtId="176" formatCode="#,##0.0000000000"/>
    <numFmt numFmtId="177" formatCode="_(* #,##0_);_(* \(#,##0\);_(* &quot;-&quot;??_);_(@_)"/>
  </numFmts>
  <fonts count="48">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sz val="10"/>
      <color theme="1"/>
      <name val="Arial"/>
      <family val="2"/>
    </font>
    <font>
      <sz val="11"/>
      <color theme="1"/>
      <name val="Calibri"/>
      <family val="2"/>
      <scheme val="minor"/>
    </font>
    <font>
      <sz val="11"/>
      <name val="Calibri"/>
      <family val="2"/>
      <scheme val="minor"/>
    </font>
    <font>
      <b/>
      <sz val="11"/>
      <color rgb="FFFF0000"/>
      <name val="Calibri"/>
      <family val="2"/>
      <scheme val="minor"/>
    </font>
    <font>
      <b/>
      <sz val="11"/>
      <name val="Calibri"/>
      <family val="2"/>
      <scheme val="minor"/>
    </font>
    <font>
      <sz val="10"/>
      <color theme="1"/>
      <name val="Calibri"/>
      <family val="2"/>
      <scheme val="minor"/>
    </font>
    <font>
      <sz val="10"/>
      <name val="Calibri"/>
      <family val="2"/>
      <scheme val="minor"/>
    </font>
    <font>
      <b/>
      <sz val="9"/>
      <color theme="1"/>
      <name val="Arial"/>
      <family val="2"/>
    </font>
    <font>
      <sz val="9"/>
      <color theme="1"/>
      <name val="Arial"/>
      <family val="2"/>
    </font>
    <font>
      <sz val="9"/>
      <name val="Arial"/>
      <family val="2"/>
    </font>
    <font>
      <sz val="12"/>
      <color theme="1"/>
      <name val="Calibri"/>
      <family val="2"/>
      <charset val="134"/>
      <scheme val="minor"/>
    </font>
    <font>
      <sz val="12"/>
      <color theme="1"/>
      <name val="Calibri"/>
      <family val="2"/>
      <scheme val="minor"/>
    </font>
    <font>
      <b/>
      <sz val="12"/>
      <color theme="1"/>
      <name val="Calibri"/>
      <family val="2"/>
      <scheme val="minor"/>
    </font>
    <font>
      <sz val="11"/>
      <color rgb="FF000000"/>
      <name val="Calibri"/>
      <family val="2"/>
      <scheme val="minor"/>
    </font>
    <font>
      <sz val="11"/>
      <color theme="0"/>
      <name val="Calibri"/>
      <family val="2"/>
      <scheme val="minor"/>
    </font>
    <font>
      <sz val="11"/>
      <color rgb="FF191919"/>
      <name val="AkzidenzGroteskBE"/>
    </font>
    <font>
      <b/>
      <u/>
      <sz val="11"/>
      <color rgb="FF000000"/>
      <name val="Calibri"/>
      <family val="2"/>
    </font>
    <font>
      <sz val="11"/>
      <color rgb="FF000000"/>
      <name val="Calibri"/>
      <family val="2"/>
    </font>
    <font>
      <b/>
      <sz val="11"/>
      <color rgb="FF000000"/>
      <name val="Calibri"/>
      <family val="2"/>
    </font>
    <font>
      <i/>
      <sz val="11"/>
      <color rgb="FF000000"/>
      <name val="Calibri"/>
      <family val="2"/>
    </font>
    <font>
      <sz val="11"/>
      <color theme="1"/>
      <name val="Calibri"/>
      <family val="2"/>
      <charset val="134"/>
    </font>
    <font>
      <b/>
      <sz val="11"/>
      <color rgb="FF000000"/>
      <name val="Times New Roman"/>
      <family val="1"/>
    </font>
    <font>
      <sz val="11"/>
      <color rgb="FF000000"/>
      <name val="Times New Roman"/>
      <family val="1"/>
    </font>
    <font>
      <vertAlign val="superscript"/>
      <sz val="11"/>
      <color rgb="FF000000"/>
      <name val="Times New Roman"/>
      <family val="1"/>
    </font>
    <font>
      <sz val="11"/>
      <color rgb="FF191919"/>
      <name val="Times New Roman"/>
      <family val="1"/>
    </font>
    <font>
      <b/>
      <sz val="10"/>
      <color theme="1"/>
      <name val="Arial"/>
      <family val="2"/>
    </font>
    <font>
      <sz val="10"/>
      <name val="Arial"/>
      <family val="2"/>
    </font>
    <font>
      <sz val="11"/>
      <name val="Times New Roman"/>
      <family val="1"/>
    </font>
    <font>
      <b/>
      <sz val="10"/>
      <name val="Arial"/>
      <family val="2"/>
    </font>
    <font>
      <b/>
      <sz val="14"/>
      <color theme="1"/>
      <name val="Calibri"/>
      <family val="2"/>
      <scheme val="minor"/>
    </font>
    <font>
      <sz val="8"/>
      <name val="Calibri"/>
      <family val="2"/>
      <scheme val="minor"/>
    </font>
    <font>
      <b/>
      <sz val="11"/>
      <color theme="0"/>
      <name val="Calibri"/>
      <family val="2"/>
      <scheme val="minor"/>
    </font>
    <font>
      <i/>
      <sz val="10"/>
      <name val="Calibri"/>
      <family val="2"/>
      <scheme val="minor"/>
    </font>
    <font>
      <b/>
      <sz val="12"/>
      <color theme="1"/>
      <name val="ArialMT"/>
    </font>
    <font>
      <sz val="12"/>
      <color theme="1"/>
      <name val="ArialMT"/>
    </font>
    <font>
      <sz val="12"/>
      <name val="ArialMT"/>
      <family val="2"/>
    </font>
    <font>
      <sz val="12"/>
      <color rgb="FFFF0000"/>
      <name val="ArialMT"/>
      <family val="2"/>
    </font>
    <font>
      <sz val="12"/>
      <color rgb="FFFF0000"/>
      <name val="ArialMT"/>
    </font>
    <font>
      <sz val="12"/>
      <name val="ArialMT"/>
    </font>
    <font>
      <i/>
      <sz val="12"/>
      <color theme="1"/>
      <name val="ArialMT"/>
    </font>
    <font>
      <i/>
      <sz val="12"/>
      <color rgb="FFFF0000"/>
      <name val="ArialMT"/>
    </font>
    <font>
      <b/>
      <sz val="10"/>
      <name val="Calibri"/>
      <family val="2"/>
      <scheme val="minor"/>
    </font>
    <font>
      <sz val="10"/>
      <color rgb="FFFF0000"/>
      <name val="Calibri"/>
      <family val="2"/>
      <scheme val="minor"/>
    </font>
    <font>
      <sz val="9"/>
      <color theme="1"/>
      <name val="Ariel"/>
    </font>
  </fonts>
  <fills count="2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8"/>
      </patternFill>
    </fill>
    <fill>
      <patternFill patternType="solid">
        <fgColor theme="0" tint="-0.34998626667073579"/>
        <bgColor indexed="64"/>
      </patternFill>
    </fill>
    <fill>
      <patternFill patternType="solid">
        <fgColor rgb="FFAEAAAA"/>
        <bgColor rgb="FF000000"/>
      </patternFill>
    </fill>
    <fill>
      <patternFill patternType="solid">
        <fgColor rgb="FFFFFF00"/>
        <bgColor rgb="FF000000"/>
      </patternFill>
    </fill>
    <fill>
      <patternFill patternType="solid">
        <fgColor rgb="FF00B050"/>
        <bgColor rgb="FF000000"/>
      </patternFill>
    </fill>
    <fill>
      <patternFill patternType="solid">
        <fgColor rgb="FFF2F2F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0"/>
        <bgColor indexed="64"/>
      </patternFill>
    </fill>
    <fill>
      <patternFill patternType="solid">
        <fgColor rgb="FF92D050"/>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7" tint="-0.249977111117893"/>
        <bgColor indexed="64"/>
      </patternFill>
    </fill>
    <fill>
      <patternFill patternType="solid">
        <fgColor theme="6" tint="0.39997558519241921"/>
        <bgColor indexed="64"/>
      </patternFill>
    </fill>
    <fill>
      <patternFill patternType="solid">
        <fgColor theme="4" tint="0.39997558519241921"/>
        <bgColor indexed="64"/>
      </patternFill>
    </fill>
  </fills>
  <borders count="39">
    <border>
      <left/>
      <right/>
      <top/>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style="medium">
        <color auto="1"/>
      </left>
      <right/>
      <top/>
      <bottom/>
      <diagonal/>
    </border>
    <border>
      <left style="thin">
        <color auto="1"/>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medium">
        <color indexed="64"/>
      </right>
      <top style="medium">
        <color indexed="64"/>
      </top>
      <bottom style="thin">
        <color indexed="64"/>
      </bottom>
      <diagonal/>
    </border>
  </borders>
  <cellStyleXfs count="17">
    <xf numFmtId="0" fontId="0" fillId="0" borderId="0"/>
    <xf numFmtId="0" fontId="3" fillId="0" borderId="0"/>
    <xf numFmtId="43" fontId="3" fillId="0" borderId="0" applyFont="0" applyFill="0" applyBorder="0" applyAlignment="0" applyProtection="0"/>
    <xf numFmtId="0" fontId="3" fillId="0" borderId="0"/>
    <xf numFmtId="164" fontId="5" fillId="0" borderId="0" applyFont="0" applyFill="0" applyBorder="0" applyAlignment="0" applyProtection="0"/>
    <xf numFmtId="0" fontId="3" fillId="0" borderId="0"/>
    <xf numFmtId="0" fontId="14" fillId="0" borderId="0"/>
    <xf numFmtId="43" fontId="15" fillId="0" borderId="0" applyFont="0" applyFill="0" applyBorder="0" applyAlignment="0" applyProtection="0"/>
    <xf numFmtId="0" fontId="18" fillId="5" borderId="0" applyNumberFormat="0" applyBorder="0" applyAlignment="0" applyProtection="0"/>
    <xf numFmtId="0" fontId="30" fillId="0" borderId="0"/>
    <xf numFmtId="43" fontId="3" fillId="0" borderId="0" applyFont="0" applyFill="0" applyBorder="0" applyAlignment="0" applyProtection="0"/>
    <xf numFmtId="43" fontId="3"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cellStyleXfs>
  <cellXfs count="530">
    <xf numFmtId="0" fontId="0" fillId="0" borderId="0" xfId="0"/>
    <xf numFmtId="0" fontId="0" fillId="0" borderId="0" xfId="0" applyAlignment="1">
      <alignment vertical="top" wrapText="1"/>
    </xf>
    <xf numFmtId="3" fontId="0" fillId="0" borderId="0" xfId="0" applyNumberFormat="1"/>
    <xf numFmtId="0" fontId="0" fillId="0" borderId="0" xfId="0" applyAlignment="1">
      <alignment horizontal="left" vertical="top" wrapText="1"/>
    </xf>
    <xf numFmtId="0" fontId="1" fillId="0" borderId="0" xfId="0" applyFont="1" applyAlignment="1">
      <alignment vertical="top" wrapText="1"/>
    </xf>
    <xf numFmtId="0" fontId="9" fillId="0" borderId="0" xfId="0" applyFont="1"/>
    <xf numFmtId="0" fontId="2" fillId="0" borderId="0" xfId="0" applyFont="1"/>
    <xf numFmtId="0" fontId="1" fillId="0" borderId="0" xfId="0" applyFont="1" applyAlignment="1">
      <alignment horizontal="left" vertical="top" wrapText="1"/>
    </xf>
    <xf numFmtId="0" fontId="1" fillId="0" borderId="0" xfId="1" applyFont="1" applyAlignment="1">
      <alignment horizontal="left" vertical="top" wrapText="1"/>
    </xf>
    <xf numFmtId="0" fontId="2" fillId="0" borderId="0" xfId="0" applyFont="1" applyAlignment="1">
      <alignment vertical="top"/>
    </xf>
    <xf numFmtId="0" fontId="0" fillId="0" borderId="0" xfId="0" applyAlignment="1">
      <alignment wrapText="1"/>
    </xf>
    <xf numFmtId="0" fontId="0" fillId="0" borderId="0" xfId="0" applyAlignment="1">
      <alignment vertical="top"/>
    </xf>
    <xf numFmtId="43" fontId="2" fillId="0" borderId="0" xfId="0" applyNumberFormat="1" applyFont="1"/>
    <xf numFmtId="43" fontId="0" fillId="0" borderId="0" xfId="0" applyNumberFormat="1"/>
    <xf numFmtId="0" fontId="14" fillId="0" borderId="0" xfId="6"/>
    <xf numFmtId="0" fontId="14" fillId="0" borderId="0" xfId="6" applyAlignment="1">
      <alignment wrapText="1"/>
    </xf>
    <xf numFmtId="43" fontId="14" fillId="0" borderId="0" xfId="7" applyFont="1"/>
    <xf numFmtId="43" fontId="16" fillId="0" borderId="0" xfId="7" applyFont="1"/>
    <xf numFmtId="0" fontId="0" fillId="0" borderId="0" xfId="0" applyAlignment="1">
      <alignment horizontal="left" vertical="top"/>
    </xf>
    <xf numFmtId="0" fontId="1" fillId="0" borderId="0" xfId="0" applyFont="1" applyAlignment="1">
      <alignment horizontal="left" vertical="top"/>
    </xf>
    <xf numFmtId="0" fontId="19" fillId="0" borderId="0" xfId="0" applyFont="1" applyAlignment="1">
      <alignment horizontal="left" vertical="center" indent="1"/>
    </xf>
    <xf numFmtId="0" fontId="21" fillId="0" borderId="0" xfId="0" applyFont="1"/>
    <xf numFmtId="0" fontId="22" fillId="0" borderId="12" xfId="0" applyFont="1" applyBorder="1" applyAlignment="1">
      <alignment horizontal="center" vertical="center"/>
    </xf>
    <xf numFmtId="0" fontId="22" fillId="0" borderId="9" xfId="0" applyFont="1" applyBorder="1" applyAlignment="1">
      <alignment horizontal="center" vertical="center"/>
    </xf>
    <xf numFmtId="0" fontId="21" fillId="0" borderId="15" xfId="0" applyFont="1" applyBorder="1" applyAlignment="1">
      <alignment horizontal="center" vertical="center"/>
    </xf>
    <xf numFmtId="0" fontId="23" fillId="0" borderId="10" xfId="0" applyFont="1" applyBorder="1" applyAlignment="1">
      <alignment horizontal="center" vertical="center"/>
    </xf>
    <xf numFmtId="43" fontId="23" fillId="0" borderId="10" xfId="4" applyNumberFormat="1" applyFont="1" applyFill="1" applyBorder="1" applyAlignment="1">
      <alignment horizontal="left"/>
    </xf>
    <xf numFmtId="43" fontId="23" fillId="0" borderId="10" xfId="0" applyNumberFormat="1" applyFont="1" applyBorder="1" applyAlignment="1">
      <alignment horizontal="center" vertical="center"/>
    </xf>
    <xf numFmtId="0" fontId="23" fillId="0" borderId="10" xfId="0" applyFont="1" applyBorder="1" applyAlignment="1">
      <alignment horizontal="center" vertical="center" wrapText="1"/>
    </xf>
    <xf numFmtId="0" fontId="21" fillId="0" borderId="10" xfId="0" applyFont="1" applyBorder="1" applyAlignment="1">
      <alignment horizontal="center" vertical="center"/>
    </xf>
    <xf numFmtId="43" fontId="21" fillId="0" borderId="10" xfId="4" applyNumberFormat="1" applyFont="1" applyFill="1" applyBorder="1" applyAlignment="1">
      <alignment horizontal="left"/>
    </xf>
    <xf numFmtId="0" fontId="21" fillId="0" borderId="21" xfId="0" applyFont="1" applyBorder="1" applyAlignment="1">
      <alignment vertical="center"/>
    </xf>
    <xf numFmtId="0" fontId="22" fillId="0" borderId="18" xfId="0" applyFont="1" applyBorder="1" applyAlignment="1">
      <alignment horizontal="center" vertical="center"/>
    </xf>
    <xf numFmtId="0" fontId="21" fillId="0" borderId="18" xfId="0" applyFont="1" applyBorder="1" applyAlignment="1">
      <alignment vertical="center"/>
    </xf>
    <xf numFmtId="43" fontId="21" fillId="0" borderId="18" xfId="0" applyNumberFormat="1" applyFont="1" applyBorder="1" applyAlignment="1">
      <alignment horizontal="center" vertical="center"/>
    </xf>
    <xf numFmtId="43" fontId="23" fillId="0" borderId="15" xfId="0" applyNumberFormat="1" applyFont="1" applyBorder="1" applyAlignment="1">
      <alignment horizontal="center" vertical="center"/>
    </xf>
    <xf numFmtId="0" fontId="24" fillId="0" borderId="0" xfId="0" applyFont="1"/>
    <xf numFmtId="0" fontId="25" fillId="0" borderId="12" xfId="0" applyFont="1" applyBorder="1" applyAlignment="1">
      <alignment vertical="center" wrapText="1"/>
    </xf>
    <xf numFmtId="0" fontId="25" fillId="0" borderId="9" xfId="0" applyFont="1" applyBorder="1" applyAlignment="1">
      <alignment vertical="center" wrapText="1"/>
    </xf>
    <xf numFmtId="0" fontId="25" fillId="0" borderId="13" xfId="0" applyFont="1" applyBorder="1" applyAlignment="1">
      <alignment horizontal="right" vertical="center" wrapText="1"/>
    </xf>
    <xf numFmtId="0" fontId="25" fillId="0" borderId="9" xfId="0" applyFont="1" applyBorder="1" applyAlignment="1">
      <alignment horizontal="right" vertical="center" wrapText="1"/>
    </xf>
    <xf numFmtId="0" fontId="26" fillId="0" borderId="16" xfId="0" applyFont="1" applyBorder="1" applyAlignment="1">
      <alignment vertical="center" wrapText="1"/>
    </xf>
    <xf numFmtId="0" fontId="26" fillId="0" borderId="16" xfId="0" applyFont="1" applyBorder="1" applyAlignment="1">
      <alignment horizontal="left" vertical="center" wrapText="1"/>
    </xf>
    <xf numFmtId="0" fontId="28" fillId="0" borderId="0" xfId="0" applyFont="1" applyAlignment="1">
      <alignment wrapText="1"/>
    </xf>
    <xf numFmtId="0" fontId="24" fillId="0" borderId="16" xfId="0" applyFont="1" applyBorder="1" applyAlignment="1">
      <alignment vertical="top" wrapText="1"/>
    </xf>
    <xf numFmtId="0" fontId="24" fillId="0" borderId="10" xfId="0" applyFont="1" applyBorder="1" applyAlignment="1">
      <alignment vertical="top" wrapText="1"/>
    </xf>
    <xf numFmtId="0" fontId="26" fillId="0" borderId="10" xfId="0" applyFont="1" applyBorder="1" applyAlignment="1">
      <alignment vertical="center" wrapText="1"/>
    </xf>
    <xf numFmtId="0" fontId="19" fillId="0" borderId="0" xfId="0" applyFont="1"/>
    <xf numFmtId="0" fontId="26" fillId="0" borderId="10" xfId="0" applyFont="1" applyBorder="1" applyAlignment="1">
      <alignment vertical="top" wrapText="1"/>
    </xf>
    <xf numFmtId="0" fontId="25" fillId="8" borderId="16" xfId="0" applyFont="1" applyFill="1" applyBorder="1" applyAlignment="1">
      <alignment vertical="center" wrapText="1"/>
    </xf>
    <xf numFmtId="0" fontId="25" fillId="8" borderId="10" xfId="0" applyFont="1" applyFill="1" applyBorder="1" applyAlignment="1">
      <alignment vertical="center" wrapText="1"/>
    </xf>
    <xf numFmtId="43" fontId="25" fillId="8" borderId="10" xfId="4" applyNumberFormat="1" applyFont="1" applyFill="1" applyBorder="1" applyAlignment="1">
      <alignment vertical="center" wrapText="1"/>
    </xf>
    <xf numFmtId="167" fontId="1" fillId="0" borderId="0" xfId="0" applyNumberFormat="1" applyFont="1" applyAlignment="1">
      <alignment vertical="top"/>
    </xf>
    <xf numFmtId="0" fontId="1" fillId="0" borderId="0" xfId="0" applyFont="1" applyAlignment="1">
      <alignment vertical="top"/>
    </xf>
    <xf numFmtId="43" fontId="0" fillId="0" borderId="0" xfId="7" applyFont="1"/>
    <xf numFmtId="0" fontId="0" fillId="4" borderId="2" xfId="0" applyFill="1" applyBorder="1"/>
    <xf numFmtId="3" fontId="29" fillId="10" borderId="12" xfId="14" applyNumberFormat="1" applyFont="1" applyFill="1" applyBorder="1" applyAlignment="1">
      <alignment horizontal="right" vertical="center" wrapText="1"/>
    </xf>
    <xf numFmtId="0" fontId="11" fillId="10" borderId="12" xfId="14" applyFont="1" applyFill="1" applyBorder="1" applyAlignment="1">
      <alignment horizontal="center" vertical="center" wrapText="1"/>
    </xf>
    <xf numFmtId="3" fontId="4" fillId="0" borderId="12" xfId="14" applyNumberFormat="1" applyFont="1" applyBorder="1" applyAlignment="1">
      <alignment vertical="center" wrapText="1"/>
    </xf>
    <xf numFmtId="3" fontId="6" fillId="3" borderId="0" xfId="9" applyNumberFormat="1" applyFont="1" applyFill="1" applyAlignment="1">
      <alignment vertical="top"/>
    </xf>
    <xf numFmtId="0" fontId="8" fillId="3" borderId="2" xfId="9" applyFont="1" applyFill="1" applyBorder="1" applyAlignment="1">
      <alignment vertical="top"/>
    </xf>
    <xf numFmtId="0" fontId="30" fillId="0" borderId="0" xfId="9"/>
    <xf numFmtId="0" fontId="8" fillId="0" borderId="2" xfId="9" applyFont="1" applyBorder="1" applyAlignment="1">
      <alignment vertical="top"/>
    </xf>
    <xf numFmtId="0" fontId="6" fillId="0" borderId="2" xfId="9" applyFont="1" applyBorder="1" applyAlignment="1">
      <alignment vertical="top"/>
    </xf>
    <xf numFmtId="0" fontId="6" fillId="0" borderId="2" xfId="9" applyFont="1" applyBorder="1" applyAlignment="1">
      <alignment vertical="top" wrapText="1"/>
    </xf>
    <xf numFmtId="0" fontId="8" fillId="0" borderId="2" xfId="9" applyFont="1" applyBorder="1" applyAlignment="1">
      <alignment horizontal="left" vertical="top"/>
    </xf>
    <xf numFmtId="0" fontId="6" fillId="0" borderId="2" xfId="9" applyFont="1" applyBorder="1" applyAlignment="1">
      <alignment horizontal="left" vertical="top"/>
    </xf>
    <xf numFmtId="3" fontId="6" fillId="0" borderId="2" xfId="10" applyNumberFormat="1" applyFont="1" applyBorder="1" applyAlignment="1">
      <alignment vertical="top"/>
    </xf>
    <xf numFmtId="3" fontId="6" fillId="0" borderId="2" xfId="9" applyNumberFormat="1" applyFont="1" applyBorder="1" applyAlignment="1">
      <alignment vertical="top"/>
    </xf>
    <xf numFmtId="3" fontId="8" fillId="0" borderId="2" xfId="9" applyNumberFormat="1" applyFont="1" applyBorder="1" applyAlignment="1">
      <alignment vertical="top"/>
    </xf>
    <xf numFmtId="0" fontId="8" fillId="4" borderId="2" xfId="9" applyFont="1" applyFill="1" applyBorder="1" applyAlignment="1">
      <alignment vertical="top" wrapText="1"/>
    </xf>
    <xf numFmtId="0" fontId="8" fillId="4" borderId="2" xfId="9" applyFont="1" applyFill="1" applyBorder="1" applyAlignment="1">
      <alignment vertical="top"/>
    </xf>
    <xf numFmtId="0" fontId="8" fillId="4" borderId="2" xfId="9" applyFont="1" applyFill="1" applyBorder="1" applyAlignment="1">
      <alignment horizontal="center" vertical="top" wrapText="1"/>
    </xf>
    <xf numFmtId="3" fontId="6" fillId="0" borderId="0" xfId="9" applyNumberFormat="1" applyFont="1" applyAlignment="1">
      <alignment vertical="top"/>
    </xf>
    <xf numFmtId="3" fontId="8" fillId="4" borderId="2" xfId="10" applyNumberFormat="1" applyFont="1" applyFill="1" applyBorder="1" applyAlignment="1">
      <alignment vertical="top"/>
    </xf>
    <xf numFmtId="168" fontId="6" fillId="0" borderId="2" xfId="9" applyNumberFormat="1" applyFont="1" applyBorder="1" applyAlignment="1">
      <alignment vertical="top"/>
    </xf>
    <xf numFmtId="3" fontId="6" fillId="0" borderId="2" xfId="11" applyNumberFormat="1" applyFont="1" applyBorder="1" applyAlignment="1">
      <alignment vertical="top"/>
    </xf>
    <xf numFmtId="3" fontId="8" fillId="4" borderId="2" xfId="11" applyNumberFormat="1" applyFont="1" applyFill="1" applyBorder="1" applyAlignment="1">
      <alignment vertical="top"/>
    </xf>
    <xf numFmtId="0" fontId="8" fillId="0" borderId="2" xfId="1" applyFont="1" applyBorder="1"/>
    <xf numFmtId="0" fontId="6" fillId="0" borderId="2" xfId="1" applyFont="1" applyBorder="1"/>
    <xf numFmtId="0" fontId="31" fillId="0" borderId="2" xfId="1" applyFont="1" applyBorder="1"/>
    <xf numFmtId="3" fontId="6" fillId="0" borderId="0" xfId="9" applyNumberFormat="1" applyFont="1"/>
    <xf numFmtId="4" fontId="6" fillId="0" borderId="2" xfId="9" applyNumberFormat="1" applyFont="1" applyBorder="1" applyAlignment="1">
      <alignment vertical="top"/>
    </xf>
    <xf numFmtId="0" fontId="32" fillId="0" borderId="2" xfId="9" applyFont="1" applyBorder="1"/>
    <xf numFmtId="3" fontId="32" fillId="4" borderId="2" xfId="9" applyNumberFormat="1" applyFont="1" applyFill="1" applyBorder="1"/>
    <xf numFmtId="0" fontId="3" fillId="0" borderId="2" xfId="9" applyFont="1" applyBorder="1"/>
    <xf numFmtId="0" fontId="32" fillId="4" borderId="2" xfId="9" applyFont="1" applyFill="1" applyBorder="1"/>
    <xf numFmtId="0" fontId="11" fillId="10" borderId="23" xfId="14" applyFont="1" applyFill="1" applyBorder="1" applyAlignment="1">
      <alignment horizontal="center" vertical="center" wrapText="1"/>
    </xf>
    <xf numFmtId="2" fontId="30" fillId="0" borderId="0" xfId="9" applyNumberFormat="1"/>
    <xf numFmtId="0" fontId="0" fillId="0" borderId="2" xfId="0" applyBorder="1"/>
    <xf numFmtId="0" fontId="0" fillId="0" borderId="2" xfId="0" applyBorder="1" applyAlignment="1">
      <alignment vertical="top"/>
    </xf>
    <xf numFmtId="0" fontId="0" fillId="0" borderId="2" xfId="0" applyBorder="1" applyAlignment="1">
      <alignment horizontal="left" vertical="top"/>
    </xf>
    <xf numFmtId="0" fontId="6" fillId="3" borderId="2" xfId="0" quotePrefix="1" applyFont="1" applyFill="1" applyBorder="1" applyAlignment="1">
      <alignment vertical="top" wrapText="1"/>
    </xf>
    <xf numFmtId="0" fontId="0" fillId="3" borderId="2" xfId="0" applyFill="1" applyBorder="1" applyAlignment="1">
      <alignment vertical="top"/>
    </xf>
    <xf numFmtId="0" fontId="0" fillId="3" borderId="2" xfId="0" applyFill="1" applyBorder="1" applyAlignment="1">
      <alignment vertical="top" wrapText="1"/>
    </xf>
    <xf numFmtId="0" fontId="0" fillId="0" borderId="2" xfId="0" applyBorder="1" applyAlignment="1">
      <alignment vertical="top" wrapText="1"/>
    </xf>
    <xf numFmtId="167" fontId="0" fillId="0" borderId="2" xfId="0" applyNumberFormat="1" applyBorder="1" applyAlignment="1">
      <alignment vertical="top"/>
    </xf>
    <xf numFmtId="167" fontId="0" fillId="3" borderId="2" xfId="0" applyNumberFormat="1" applyFill="1" applyBorder="1" applyAlignment="1">
      <alignment vertical="top"/>
    </xf>
    <xf numFmtId="167" fontId="0" fillId="0" borderId="2" xfId="0" applyNumberFormat="1" applyBorder="1" applyAlignment="1">
      <alignment vertical="top" wrapText="1"/>
    </xf>
    <xf numFmtId="0" fontId="0" fillId="6" borderId="2" xfId="0" applyFill="1" applyBorder="1" applyAlignment="1">
      <alignment horizontal="left" vertical="top" wrapText="1"/>
    </xf>
    <xf numFmtId="0" fontId="0" fillId="0" borderId="2" xfId="0" applyBorder="1" applyAlignment="1">
      <alignment horizontal="left" vertical="top" wrapText="1"/>
    </xf>
    <xf numFmtId="1" fontId="0" fillId="0" borderId="0" xfId="0" applyNumberFormat="1"/>
    <xf numFmtId="1" fontId="2" fillId="0" borderId="0" xfId="0" applyNumberFormat="1" applyFont="1" applyAlignment="1">
      <alignment horizontal="left" vertical="top" wrapText="1"/>
    </xf>
    <xf numFmtId="0" fontId="11" fillId="0" borderId="12" xfId="14" applyFont="1" applyBorder="1" applyAlignment="1">
      <alignment vertical="top" wrapText="1"/>
    </xf>
    <xf numFmtId="0" fontId="13" fillId="0" borderId="2" xfId="9" applyFont="1" applyBorder="1" applyAlignment="1">
      <alignment horizontal="left" vertical="top"/>
    </xf>
    <xf numFmtId="0" fontId="12" fillId="0" borderId="2" xfId="0" applyFont="1" applyBorder="1" applyAlignment="1">
      <alignment horizontal="left" vertical="top" wrapText="1"/>
    </xf>
    <xf numFmtId="0" fontId="32" fillId="0" borderId="0" xfId="9" applyFont="1"/>
    <xf numFmtId="3" fontId="32" fillId="0" borderId="0" xfId="9" applyNumberFormat="1" applyFont="1"/>
    <xf numFmtId="3" fontId="30" fillId="0" borderId="0" xfId="9" applyNumberFormat="1"/>
    <xf numFmtId="0" fontId="12" fillId="0" borderId="12" xfId="14" applyFont="1" applyBorder="1" applyAlignment="1">
      <alignment vertical="top" wrapText="1"/>
    </xf>
    <xf numFmtId="169" fontId="6" fillId="3" borderId="2" xfId="0" quotePrefix="1" applyNumberFormat="1" applyFont="1" applyFill="1" applyBorder="1" applyAlignment="1">
      <alignment vertical="top" wrapText="1"/>
    </xf>
    <xf numFmtId="169" fontId="6" fillId="0" borderId="2" xfId="0" quotePrefix="1" applyNumberFormat="1" applyFont="1" applyBorder="1" applyAlignment="1">
      <alignment vertical="top" wrapText="1"/>
    </xf>
    <xf numFmtId="170" fontId="9" fillId="0" borderId="0" xfId="0" applyNumberFormat="1" applyFont="1"/>
    <xf numFmtId="0" fontId="6" fillId="0" borderId="2" xfId="0" applyFont="1" applyBorder="1" applyAlignment="1">
      <alignment vertical="top"/>
    </xf>
    <xf numFmtId="0" fontId="6" fillId="0" borderId="2" xfId="0" applyFont="1" applyBorder="1" applyAlignment="1">
      <alignment horizontal="left" vertical="top"/>
    </xf>
    <xf numFmtId="9" fontId="0" fillId="15" borderId="0" xfId="15" applyFont="1" applyFill="1"/>
    <xf numFmtId="9" fontId="0" fillId="0" borderId="0" xfId="15" applyFont="1" applyFill="1"/>
    <xf numFmtId="166" fontId="2" fillId="16" borderId="0" xfId="13" applyNumberFormat="1" applyFont="1" applyFill="1"/>
    <xf numFmtId="0" fontId="4" fillId="0" borderId="0" xfId="0" applyFont="1" applyAlignment="1">
      <alignment horizontal="left" vertical="top" wrapText="1"/>
    </xf>
    <xf numFmtId="166" fontId="0" fillId="16" borderId="0" xfId="13" applyNumberFormat="1" applyFont="1" applyFill="1"/>
    <xf numFmtId="166" fontId="0" fillId="0" borderId="0" xfId="13" applyNumberFormat="1" applyFont="1"/>
    <xf numFmtId="0" fontId="4" fillId="0" borderId="0" xfId="0" applyFont="1"/>
    <xf numFmtId="0" fontId="18" fillId="17" borderId="0" xfId="0" applyFont="1" applyFill="1"/>
    <xf numFmtId="0" fontId="35" fillId="17" borderId="0" xfId="0" applyFont="1" applyFill="1"/>
    <xf numFmtId="0" fontId="35" fillId="17" borderId="0" xfId="0" applyFont="1" applyFill="1" applyAlignment="1">
      <alignment horizontal="left"/>
    </xf>
    <xf numFmtId="2" fontId="0" fillId="0" borderId="0" xfId="0" applyNumberFormat="1"/>
    <xf numFmtId="0" fontId="2" fillId="16" borderId="0" xfId="0" applyFont="1" applyFill="1"/>
    <xf numFmtId="166" fontId="0" fillId="0" borderId="0" xfId="0" applyNumberFormat="1"/>
    <xf numFmtId="0" fontId="2" fillId="3" borderId="4" xfId="0" applyFont="1" applyFill="1" applyBorder="1" applyAlignment="1">
      <alignment horizontal="left" vertical="top" wrapText="1"/>
    </xf>
    <xf numFmtId="0" fontId="2" fillId="0" borderId="7" xfId="0" applyFont="1" applyBorder="1" applyAlignment="1">
      <alignment vertical="top" wrapText="1"/>
    </xf>
    <xf numFmtId="3" fontId="4" fillId="0" borderId="11" xfId="14" applyNumberFormat="1" applyFont="1" applyBorder="1" applyAlignment="1">
      <alignment vertical="center" wrapText="1"/>
    </xf>
    <xf numFmtId="170" fontId="2" fillId="0" borderId="2" xfId="0" applyNumberFormat="1" applyFont="1" applyBorder="1"/>
    <xf numFmtId="0" fontId="9" fillId="18" borderId="0" xfId="0" applyFont="1" applyFill="1"/>
    <xf numFmtId="169" fontId="0" fillId="0" borderId="2" xfId="0" applyNumberFormat="1" applyBorder="1" applyAlignment="1">
      <alignment vertical="top"/>
    </xf>
    <xf numFmtId="169" fontId="2" fillId="0" borderId="2" xfId="0" applyNumberFormat="1" applyFont="1" applyBorder="1" applyAlignment="1">
      <alignment vertical="top"/>
    </xf>
    <xf numFmtId="169" fontId="0" fillId="0" borderId="0" xfId="0" applyNumberFormat="1" applyAlignment="1">
      <alignment vertical="top"/>
    </xf>
    <xf numFmtId="0" fontId="9" fillId="0" borderId="0" xfId="0" applyFont="1" applyAlignment="1">
      <alignment wrapText="1"/>
    </xf>
    <xf numFmtId="167" fontId="0" fillId="3" borderId="2" xfId="0" applyNumberFormat="1" applyFill="1" applyBorder="1" applyAlignment="1">
      <alignment vertical="top" wrapText="1"/>
    </xf>
    <xf numFmtId="167" fontId="0" fillId="6" borderId="2" xfId="0" applyNumberFormat="1" applyFill="1" applyBorder="1" applyAlignment="1">
      <alignment vertical="top" wrapText="1"/>
    </xf>
    <xf numFmtId="167" fontId="0" fillId="0" borderId="0" xfId="0" applyNumberFormat="1" applyAlignment="1">
      <alignment vertical="top" wrapText="1"/>
    </xf>
    <xf numFmtId="167" fontId="1" fillId="0" borderId="0" xfId="0" applyNumberFormat="1" applyFont="1" applyAlignment="1">
      <alignment vertical="top" wrapText="1"/>
    </xf>
    <xf numFmtId="0" fontId="12" fillId="0" borderId="11" xfId="14" applyFont="1" applyBorder="1" applyAlignment="1">
      <alignment vertical="top" wrapText="1"/>
    </xf>
    <xf numFmtId="0" fontId="13" fillId="0" borderId="12" xfId="14" applyFont="1" applyBorder="1" applyAlignment="1">
      <alignment vertical="top" wrapText="1"/>
    </xf>
    <xf numFmtId="0" fontId="2" fillId="0" borderId="0" xfId="0" applyFont="1" applyAlignment="1">
      <alignment horizontal="left" vertical="top" wrapText="1"/>
    </xf>
    <xf numFmtId="169" fontId="2" fillId="0" borderId="0" xfId="0" applyNumberFormat="1" applyFont="1" applyAlignment="1">
      <alignment horizontal="left" vertical="top" wrapText="1"/>
    </xf>
    <xf numFmtId="3" fontId="0" fillId="0" borderId="0" xfId="0" applyNumberFormat="1" applyAlignment="1">
      <alignment vertical="top"/>
    </xf>
    <xf numFmtId="169" fontId="0" fillId="0" borderId="2" xfId="0" applyNumberFormat="1" applyBorder="1" applyAlignment="1">
      <alignment vertical="top" wrapText="1"/>
    </xf>
    <xf numFmtId="169" fontId="0" fillId="3" borderId="2" xfId="0" applyNumberFormat="1" applyFill="1" applyBorder="1" applyAlignment="1">
      <alignment vertical="top"/>
    </xf>
    <xf numFmtId="169" fontId="2" fillId="3" borderId="2" xfId="0" applyNumberFormat="1" applyFont="1" applyFill="1" applyBorder="1" applyAlignment="1">
      <alignment vertical="top"/>
    </xf>
    <xf numFmtId="169" fontId="2" fillId="3" borderId="0" xfId="0" applyNumberFormat="1" applyFont="1" applyFill="1" applyAlignment="1">
      <alignment vertical="top"/>
    </xf>
    <xf numFmtId="0" fontId="0" fillId="0" borderId="8" xfId="0" applyBorder="1" applyAlignment="1">
      <alignment vertical="top"/>
    </xf>
    <xf numFmtId="169" fontId="2" fillId="13" borderId="2" xfId="0" applyNumberFormat="1" applyFont="1" applyFill="1" applyBorder="1" applyAlignment="1">
      <alignment vertical="top"/>
    </xf>
    <xf numFmtId="0" fontId="0" fillId="0" borderId="1" xfId="0" applyBorder="1" applyAlignment="1">
      <alignment vertical="top"/>
    </xf>
    <xf numFmtId="169" fontId="2" fillId="0" borderId="0" xfId="0" applyNumberFormat="1" applyFont="1" applyAlignment="1">
      <alignment vertical="top"/>
    </xf>
    <xf numFmtId="169" fontId="2" fillId="3" borderId="4" xfId="0" applyNumberFormat="1" applyFont="1" applyFill="1" applyBorder="1" applyAlignment="1">
      <alignment vertical="top"/>
    </xf>
    <xf numFmtId="169" fontId="2" fillId="3" borderId="5" xfId="0" applyNumberFormat="1" applyFont="1" applyFill="1" applyBorder="1" applyAlignment="1">
      <alignment vertical="top"/>
    </xf>
    <xf numFmtId="169" fontId="1" fillId="0" borderId="0" xfId="0" applyNumberFormat="1" applyFont="1" applyAlignment="1">
      <alignment vertical="top"/>
    </xf>
    <xf numFmtId="0" fontId="0" fillId="6" borderId="2" xfId="0" applyFill="1" applyBorder="1" applyAlignment="1">
      <alignment vertical="top"/>
    </xf>
    <xf numFmtId="167" fontId="0" fillId="6" borderId="2" xfId="0" applyNumberFormat="1" applyFill="1" applyBorder="1" applyAlignment="1">
      <alignment vertical="top"/>
    </xf>
    <xf numFmtId="169" fontId="0" fillId="6" borderId="2" xfId="0" applyNumberFormat="1" applyFill="1" applyBorder="1" applyAlignment="1">
      <alignment vertical="top"/>
    </xf>
    <xf numFmtId="169" fontId="2" fillId="6" borderId="2" xfId="0" applyNumberFormat="1" applyFont="1" applyFill="1" applyBorder="1" applyAlignment="1">
      <alignment vertical="top"/>
    </xf>
    <xf numFmtId="169" fontId="2" fillId="6" borderId="0" xfId="0" applyNumberFormat="1" applyFont="1" applyFill="1" applyAlignment="1">
      <alignment vertical="top"/>
    </xf>
    <xf numFmtId="3" fontId="1" fillId="0" borderId="0" xfId="0" applyNumberFormat="1" applyFont="1" applyAlignment="1">
      <alignment vertical="top"/>
    </xf>
    <xf numFmtId="1" fontId="0" fillId="0" borderId="0" xfId="0" applyNumberFormat="1" applyAlignment="1">
      <alignment vertical="top"/>
    </xf>
    <xf numFmtId="169" fontId="2" fillId="14" borderId="2" xfId="0" applyNumberFormat="1" applyFont="1" applyFill="1" applyBorder="1" applyAlignment="1">
      <alignment vertical="top"/>
    </xf>
    <xf numFmtId="169" fontId="0" fillId="0" borderId="0" xfId="0" applyNumberFormat="1" applyAlignment="1">
      <alignment vertical="top" wrapText="1"/>
    </xf>
    <xf numFmtId="167" fontId="0" fillId="0" borderId="0" xfId="0" applyNumberFormat="1" applyAlignment="1">
      <alignment vertical="top"/>
    </xf>
    <xf numFmtId="3" fontId="2" fillId="0" borderId="0" xfId="0" applyNumberFormat="1" applyFont="1" applyAlignment="1">
      <alignment vertical="top"/>
    </xf>
    <xf numFmtId="0" fontId="17" fillId="0" borderId="0" xfId="0" applyFont="1" applyAlignment="1">
      <alignment horizontal="left" vertical="top" wrapText="1"/>
    </xf>
    <xf numFmtId="165" fontId="6" fillId="0" borderId="0" xfId="2" applyNumberFormat="1" applyFont="1" applyFill="1" applyBorder="1" applyAlignment="1">
      <alignment horizontal="right" vertical="top" wrapText="1"/>
    </xf>
    <xf numFmtId="165" fontId="6" fillId="0" borderId="0" xfId="1" applyNumberFormat="1" applyFont="1" applyAlignment="1">
      <alignment horizontal="right" vertical="top" wrapText="1"/>
    </xf>
    <xf numFmtId="3" fontId="6" fillId="0" borderId="0" xfId="2" applyNumberFormat="1" applyFont="1" applyFill="1" applyBorder="1" applyAlignment="1">
      <alignment horizontal="right" vertical="top" wrapText="1"/>
    </xf>
    <xf numFmtId="3" fontId="6" fillId="0" borderId="0" xfId="1" applyNumberFormat="1" applyFont="1" applyAlignment="1">
      <alignment horizontal="right" vertical="top" wrapText="1"/>
    </xf>
    <xf numFmtId="0" fontId="7" fillId="0" borderId="0" xfId="1" applyFont="1" applyAlignment="1">
      <alignment vertical="top"/>
    </xf>
    <xf numFmtId="0" fontId="7" fillId="0" borderId="0" xfId="1" applyFont="1" applyAlignment="1">
      <alignment horizontal="center" vertical="top"/>
    </xf>
    <xf numFmtId="166" fontId="7" fillId="0" borderId="0" xfId="2" applyNumberFormat="1" applyFont="1" applyFill="1" applyBorder="1" applyAlignment="1">
      <alignment vertical="top"/>
    </xf>
    <xf numFmtId="165" fontId="7" fillId="0" borderId="0" xfId="2" applyNumberFormat="1" applyFont="1" applyFill="1" applyBorder="1" applyAlignment="1">
      <alignment horizontal="right" vertical="top" wrapText="1"/>
    </xf>
    <xf numFmtId="166" fontId="7" fillId="0" borderId="0" xfId="2" applyNumberFormat="1" applyFont="1" applyFill="1" applyBorder="1" applyAlignment="1">
      <alignment horizontal="right" vertical="top" wrapText="1"/>
    </xf>
    <xf numFmtId="4" fontId="1" fillId="0" borderId="0" xfId="0" applyNumberFormat="1" applyFont="1" applyAlignment="1">
      <alignment vertical="top"/>
    </xf>
    <xf numFmtId="0" fontId="7" fillId="0" borderId="0" xfId="0" applyFont="1" applyAlignment="1">
      <alignment vertical="top"/>
    </xf>
    <xf numFmtId="0" fontId="1" fillId="0" borderId="0" xfId="1" applyFont="1" applyAlignment="1">
      <alignment vertical="top"/>
    </xf>
    <xf numFmtId="0" fontId="1" fillId="0" borderId="0" xfId="1" applyFont="1" applyAlignment="1">
      <alignment horizontal="center" vertical="top"/>
    </xf>
    <xf numFmtId="166" fontId="7" fillId="0" borderId="0" xfId="2" applyNumberFormat="1" applyFont="1" applyFill="1" applyBorder="1" applyAlignment="1">
      <alignment horizontal="right" vertical="top"/>
    </xf>
    <xf numFmtId="165" fontId="7" fillId="0" borderId="0" xfId="2" applyNumberFormat="1" applyFont="1" applyFill="1" applyBorder="1" applyAlignment="1">
      <alignment horizontal="right" vertical="top"/>
    </xf>
    <xf numFmtId="0" fontId="37" fillId="0" borderId="18" xfId="0" applyFont="1" applyBorder="1"/>
    <xf numFmtId="0" fontId="37" fillId="0" borderId="18" xfId="0" applyFont="1" applyBorder="1" applyAlignment="1">
      <alignment horizontal="right"/>
    </xf>
    <xf numFmtId="172" fontId="37" fillId="0" borderId="18" xfId="0" applyNumberFormat="1" applyFont="1" applyBorder="1" applyAlignment="1">
      <alignment horizontal="right"/>
    </xf>
    <xf numFmtId="37" fontId="0" fillId="0" borderId="0" xfId="0" applyNumberFormat="1"/>
    <xf numFmtId="0" fontId="37" fillId="12" borderId="0" xfId="0" applyFont="1" applyFill="1"/>
    <xf numFmtId="0" fontId="0" fillId="12" borderId="0" xfId="0" applyFill="1"/>
    <xf numFmtId="37" fontId="0" fillId="12" borderId="0" xfId="0" applyNumberFormat="1" applyFill="1"/>
    <xf numFmtId="0" fontId="38" fillId="12" borderId="0" xfId="0" applyFont="1" applyFill="1"/>
    <xf numFmtId="173" fontId="38" fillId="12" borderId="0" xfId="0" applyNumberFormat="1" applyFont="1" applyFill="1"/>
    <xf numFmtId="37" fontId="38" fillId="0" borderId="0" xfId="0" applyNumberFormat="1" applyFont="1"/>
    <xf numFmtId="0" fontId="38" fillId="0" borderId="0" xfId="0" applyFont="1"/>
    <xf numFmtId="173" fontId="0" fillId="12" borderId="0" xfId="0" applyNumberFormat="1" applyFill="1"/>
    <xf numFmtId="173" fontId="39" fillId="12" borderId="0" xfId="0" applyNumberFormat="1" applyFont="1" applyFill="1"/>
    <xf numFmtId="173" fontId="40" fillId="12" borderId="0" xfId="0" applyNumberFormat="1" applyFont="1" applyFill="1"/>
    <xf numFmtId="173" fontId="0" fillId="12" borderId="8" xfId="0" applyNumberFormat="1" applyFill="1" applyBorder="1"/>
    <xf numFmtId="173" fontId="40" fillId="12" borderId="8" xfId="0" applyNumberFormat="1" applyFont="1" applyFill="1" applyBorder="1"/>
    <xf numFmtId="173" fontId="39" fillId="12" borderId="8" xfId="0" applyNumberFormat="1" applyFont="1" applyFill="1" applyBorder="1"/>
    <xf numFmtId="173" fontId="38" fillId="12" borderId="8" xfId="0" applyNumberFormat="1" applyFont="1" applyFill="1" applyBorder="1"/>
    <xf numFmtId="173" fontId="37" fillId="12" borderId="0" xfId="0" applyNumberFormat="1" applyFont="1" applyFill="1"/>
    <xf numFmtId="37" fontId="37" fillId="0" borderId="0" xfId="0" applyNumberFormat="1" applyFont="1"/>
    <xf numFmtId="0" fontId="37" fillId="0" borderId="0" xfId="0" applyFont="1"/>
    <xf numFmtId="173" fontId="0" fillId="0" borderId="0" xfId="0" applyNumberFormat="1"/>
    <xf numFmtId="0" fontId="37" fillId="13" borderId="0" xfId="0" applyFont="1" applyFill="1"/>
    <xf numFmtId="173" fontId="37" fillId="13" borderId="0" xfId="0" applyNumberFormat="1" applyFont="1" applyFill="1"/>
    <xf numFmtId="0" fontId="0" fillId="13" borderId="0" xfId="0" applyFill="1"/>
    <xf numFmtId="173" fontId="0" fillId="13" borderId="0" xfId="0" applyNumberFormat="1" applyFill="1"/>
    <xf numFmtId="0" fontId="38" fillId="13" borderId="0" xfId="0" applyFont="1" applyFill="1"/>
    <xf numFmtId="173" fontId="38" fillId="13" borderId="0" xfId="0" applyNumberFormat="1" applyFont="1" applyFill="1"/>
    <xf numFmtId="173" fontId="41" fillId="13" borderId="0" xfId="0" applyNumberFormat="1" applyFont="1" applyFill="1"/>
    <xf numFmtId="173" fontId="42" fillId="13" borderId="0" xfId="0" applyNumberFormat="1" applyFont="1" applyFill="1"/>
    <xf numFmtId="173" fontId="38" fillId="13" borderId="8" xfId="0" applyNumberFormat="1" applyFont="1" applyFill="1" applyBorder="1"/>
    <xf numFmtId="0" fontId="43" fillId="13" borderId="0" xfId="0" applyFont="1" applyFill="1"/>
    <xf numFmtId="173" fontId="43" fillId="13" borderId="0" xfId="0" applyNumberFormat="1" applyFont="1" applyFill="1"/>
    <xf numFmtId="0" fontId="43" fillId="0" borderId="0" xfId="0" applyFont="1"/>
    <xf numFmtId="9" fontId="44" fillId="13" borderId="0" xfId="15" applyFont="1" applyFill="1" applyBorder="1"/>
    <xf numFmtId="9" fontId="43" fillId="13" borderId="0" xfId="15" applyFont="1" applyFill="1" applyBorder="1"/>
    <xf numFmtId="173" fontId="43" fillId="13" borderId="8" xfId="0" applyNumberFormat="1" applyFont="1" applyFill="1" applyBorder="1"/>
    <xf numFmtId="173" fontId="44" fillId="13" borderId="0" xfId="0" applyNumberFormat="1" applyFont="1" applyFill="1"/>
    <xf numFmtId="173" fontId="37" fillId="13" borderId="4" xfId="0" applyNumberFormat="1" applyFont="1" applyFill="1" applyBorder="1"/>
    <xf numFmtId="0" fontId="37" fillId="20" borderId="0" xfId="0" applyFont="1" applyFill="1"/>
    <xf numFmtId="173" fontId="37" fillId="20" borderId="0" xfId="0" applyNumberFormat="1" applyFont="1" applyFill="1"/>
    <xf numFmtId="0" fontId="0" fillId="20" borderId="0" xfId="0" applyFill="1"/>
    <xf numFmtId="173" fontId="0" fillId="20" borderId="0" xfId="0" applyNumberFormat="1" applyFill="1"/>
    <xf numFmtId="173" fontId="40" fillId="20" borderId="0" xfId="0" applyNumberFormat="1" applyFont="1" applyFill="1"/>
    <xf numFmtId="173" fontId="39" fillId="20" borderId="0" xfId="0" applyNumberFormat="1" applyFont="1" applyFill="1"/>
    <xf numFmtId="173" fontId="0" fillId="20" borderId="8" xfId="0" applyNumberFormat="1" applyFill="1" applyBorder="1"/>
    <xf numFmtId="173" fontId="39" fillId="20" borderId="8" xfId="0" applyNumberFormat="1" applyFont="1" applyFill="1" applyBorder="1"/>
    <xf numFmtId="0" fontId="37" fillId="21" borderId="0" xfId="0" applyFont="1" applyFill="1"/>
    <xf numFmtId="0" fontId="0" fillId="21" borderId="0" xfId="0" applyFill="1"/>
    <xf numFmtId="173" fontId="0" fillId="21" borderId="0" xfId="0" applyNumberFormat="1" applyFill="1"/>
    <xf numFmtId="0" fontId="38" fillId="21" borderId="0" xfId="0" applyFont="1" applyFill="1"/>
    <xf numFmtId="173" fontId="40" fillId="21" borderId="0" xfId="0" applyNumberFormat="1" applyFont="1" applyFill="1"/>
    <xf numFmtId="174" fontId="40" fillId="21" borderId="0" xfId="0" applyNumberFormat="1" applyFont="1" applyFill="1"/>
    <xf numFmtId="173" fontId="0" fillId="21" borderId="8" xfId="0" applyNumberFormat="1" applyFill="1" applyBorder="1"/>
    <xf numFmtId="173" fontId="39" fillId="21" borderId="0" xfId="0" applyNumberFormat="1" applyFont="1" applyFill="1"/>
    <xf numFmtId="173" fontId="37" fillId="21" borderId="4" xfId="0" applyNumberFormat="1" applyFont="1" applyFill="1" applyBorder="1"/>
    <xf numFmtId="0" fontId="37" fillId="22" borderId="0" xfId="0" applyFont="1" applyFill="1"/>
    <xf numFmtId="173" fontId="37" fillId="22" borderId="0" xfId="0" applyNumberFormat="1" applyFont="1" applyFill="1"/>
    <xf numFmtId="0" fontId="0" fillId="22" borderId="0" xfId="0" applyFill="1"/>
    <xf numFmtId="173" fontId="0" fillId="22" borderId="0" xfId="0" applyNumberFormat="1" applyFill="1"/>
    <xf numFmtId="0" fontId="38" fillId="22" borderId="0" xfId="0" applyFont="1" applyFill="1"/>
    <xf numFmtId="173" fontId="38" fillId="22" borderId="0" xfId="0" applyNumberFormat="1" applyFont="1" applyFill="1"/>
    <xf numFmtId="0" fontId="37" fillId="23" borderId="0" xfId="0" applyFont="1" applyFill="1"/>
    <xf numFmtId="173" fontId="37" fillId="23" borderId="0" xfId="0" applyNumberFormat="1" applyFont="1" applyFill="1"/>
    <xf numFmtId="0" fontId="0" fillId="23" borderId="0" xfId="0" applyFill="1"/>
    <xf numFmtId="173" fontId="0" fillId="23" borderId="0" xfId="0" applyNumberFormat="1" applyFill="1"/>
    <xf numFmtId="0" fontId="38" fillId="23" borderId="0" xfId="0" applyFont="1" applyFill="1"/>
    <xf numFmtId="173" fontId="38" fillId="23" borderId="0" xfId="0" applyNumberFormat="1" applyFont="1" applyFill="1"/>
    <xf numFmtId="173" fontId="40" fillId="23" borderId="0" xfId="0" applyNumberFormat="1" applyFont="1" applyFill="1"/>
    <xf numFmtId="173" fontId="0" fillId="23" borderId="8" xfId="0" applyNumberFormat="1" applyFill="1" applyBorder="1"/>
    <xf numFmtId="173" fontId="38" fillId="23" borderId="8" xfId="0" applyNumberFormat="1" applyFont="1" applyFill="1" applyBorder="1"/>
    <xf numFmtId="173" fontId="39" fillId="23" borderId="0" xfId="0" applyNumberFormat="1" applyFont="1" applyFill="1"/>
    <xf numFmtId="173" fontId="37" fillId="23" borderId="4" xfId="0" applyNumberFormat="1" applyFont="1" applyFill="1" applyBorder="1"/>
    <xf numFmtId="0" fontId="37" fillId="24" borderId="0" xfId="0" applyFont="1" applyFill="1"/>
    <xf numFmtId="173" fontId="37" fillId="24" borderId="0" xfId="0" applyNumberFormat="1" applyFont="1" applyFill="1"/>
    <xf numFmtId="0" fontId="0" fillId="24" borderId="0" xfId="0" applyFill="1"/>
    <xf numFmtId="173" fontId="0" fillId="24" borderId="0" xfId="0" applyNumberFormat="1" applyFill="1"/>
    <xf numFmtId="173" fontId="37" fillId="24" borderId="8" xfId="0" applyNumberFormat="1" applyFont="1" applyFill="1" applyBorder="1"/>
    <xf numFmtId="0" fontId="0" fillId="19" borderId="0" xfId="0" applyFill="1"/>
    <xf numFmtId="173" fontId="0" fillId="19" borderId="0" xfId="0" applyNumberFormat="1" applyFill="1"/>
    <xf numFmtId="37" fontId="0" fillId="19" borderId="0" xfId="0" applyNumberFormat="1" applyFill="1"/>
    <xf numFmtId="0" fontId="9" fillId="0" borderId="0" xfId="0" applyFont="1" applyAlignment="1">
      <alignment vertical="top"/>
    </xf>
    <xf numFmtId="0" fontId="37" fillId="19" borderId="0" xfId="0" applyFont="1" applyFill="1"/>
    <xf numFmtId="173" fontId="37" fillId="19" borderId="0" xfId="0" applyNumberFormat="1" applyFont="1" applyFill="1"/>
    <xf numFmtId="0" fontId="0" fillId="15" borderId="0" xfId="0" applyFill="1" applyAlignment="1">
      <alignment vertical="top"/>
    </xf>
    <xf numFmtId="173" fontId="40" fillId="19" borderId="0" xfId="0" applyNumberFormat="1" applyFont="1" applyFill="1"/>
    <xf numFmtId="0" fontId="38" fillId="19" borderId="0" xfId="0" applyFont="1" applyFill="1"/>
    <xf numFmtId="173" fontId="38" fillId="19" borderId="8" xfId="0" applyNumberFormat="1" applyFont="1" applyFill="1" applyBorder="1"/>
    <xf numFmtId="37" fontId="38" fillId="19" borderId="0" xfId="0" applyNumberFormat="1" applyFont="1" applyFill="1"/>
    <xf numFmtId="173" fontId="0" fillId="19" borderId="8" xfId="0" applyNumberFormat="1" applyFill="1" applyBorder="1"/>
    <xf numFmtId="173" fontId="37" fillId="19" borderId="4" xfId="0" applyNumberFormat="1" applyFont="1" applyFill="1" applyBorder="1"/>
    <xf numFmtId="37" fontId="37" fillId="19" borderId="0" xfId="0" applyNumberFormat="1" applyFont="1" applyFill="1"/>
    <xf numFmtId="0" fontId="9" fillId="2" borderId="0" xfId="0" applyFont="1" applyFill="1"/>
    <xf numFmtId="173" fontId="38" fillId="19" borderId="0" xfId="0" applyNumberFormat="1" applyFont="1" applyFill="1"/>
    <xf numFmtId="0" fontId="43" fillId="19" borderId="0" xfId="0" applyFont="1" applyFill="1"/>
    <xf numFmtId="173" fontId="43" fillId="19" borderId="0" xfId="0" applyNumberFormat="1" applyFont="1" applyFill="1"/>
    <xf numFmtId="0" fontId="2" fillId="0" borderId="0" xfId="0" applyFont="1" applyAlignment="1">
      <alignment vertical="top" wrapText="1"/>
    </xf>
    <xf numFmtId="3" fontId="0" fillId="0" borderId="2" xfId="0" applyNumberFormat="1" applyBorder="1" applyAlignment="1">
      <alignment horizontal="right" vertical="top" wrapText="1"/>
    </xf>
    <xf numFmtId="3" fontId="2" fillId="0" borderId="2" xfId="0" applyNumberFormat="1" applyFont="1" applyBorder="1" applyAlignment="1">
      <alignment horizontal="right" vertical="top" wrapText="1"/>
    </xf>
    <xf numFmtId="0" fontId="2" fillId="0" borderId="2" xfId="0" applyFont="1" applyBorder="1" applyAlignment="1">
      <alignment horizontal="left" vertical="top" wrapText="1"/>
    </xf>
    <xf numFmtId="0" fontId="8" fillId="0" borderId="2" xfId="0" applyFont="1" applyBorder="1" applyAlignment="1">
      <alignment horizontal="left" vertical="top" wrapText="1"/>
    </xf>
    <xf numFmtId="173" fontId="43" fillId="0" borderId="0" xfId="0" applyNumberFormat="1" applyFont="1"/>
    <xf numFmtId="3" fontId="30" fillId="0" borderId="2" xfId="9" applyNumberFormat="1" applyBorder="1"/>
    <xf numFmtId="171" fontId="2" fillId="0" borderId="0" xfId="15" applyNumberFormat="1" applyFont="1" applyFill="1" applyBorder="1" applyAlignment="1">
      <alignment vertical="top"/>
    </xf>
    <xf numFmtId="170" fontId="9" fillId="18" borderId="0" xfId="0" applyNumberFormat="1" applyFont="1" applyFill="1"/>
    <xf numFmtId="169" fontId="8" fillId="0" borderId="0" xfId="0" applyNumberFormat="1" applyFont="1" applyAlignment="1">
      <alignment vertical="top"/>
    </xf>
    <xf numFmtId="169" fontId="2" fillId="0" borderId="23" xfId="0" applyNumberFormat="1" applyFont="1" applyBorder="1" applyAlignment="1">
      <alignment vertical="top"/>
    </xf>
    <xf numFmtId="169" fontId="2" fillId="13" borderId="3" xfId="0" applyNumberFormat="1" applyFont="1" applyFill="1" applyBorder="1" applyAlignment="1">
      <alignment vertical="top"/>
    </xf>
    <xf numFmtId="169" fontId="2" fillId="0" borderId="7" xfId="0" applyNumberFormat="1" applyFont="1" applyBorder="1" applyAlignment="1">
      <alignment vertical="top"/>
    </xf>
    <xf numFmtId="0" fontId="6" fillId="0" borderId="2" xfId="0" quotePrefix="1" applyFont="1" applyBorder="1" applyAlignment="1">
      <alignment vertical="top" wrapText="1"/>
    </xf>
    <xf numFmtId="0" fontId="6" fillId="0" borderId="0" xfId="0" quotePrefix="1" applyFont="1" applyAlignment="1">
      <alignment vertical="top" wrapText="1"/>
    </xf>
    <xf numFmtId="0" fontId="17" fillId="0" borderId="0" xfId="0" applyFont="1" applyAlignment="1">
      <alignment vertical="top"/>
    </xf>
    <xf numFmtId="0" fontId="8" fillId="0" borderId="0" xfId="2" applyNumberFormat="1" applyFont="1" applyFill="1" applyBorder="1" applyAlignment="1">
      <alignment horizontal="left" vertical="top" wrapText="1"/>
    </xf>
    <xf numFmtId="0" fontId="8" fillId="15" borderId="2" xfId="9" applyFont="1" applyFill="1" applyBorder="1" applyAlignment="1">
      <alignment vertical="top" wrapText="1"/>
    </xf>
    <xf numFmtId="3" fontId="6" fillId="15" borderId="2" xfId="9" applyNumberFormat="1" applyFont="1" applyFill="1" applyBorder="1" applyAlignment="1">
      <alignment vertical="top"/>
    </xf>
    <xf numFmtId="169" fontId="2" fillId="25" borderId="2" xfId="0" applyNumberFormat="1" applyFont="1" applyFill="1" applyBorder="1" applyAlignment="1">
      <alignment vertical="top"/>
    </xf>
    <xf numFmtId="0" fontId="11" fillId="0" borderId="15" xfId="14" applyFont="1" applyBorder="1" applyAlignment="1">
      <alignment horizontal="left" vertical="top" wrapText="1"/>
    </xf>
    <xf numFmtId="0" fontId="11" fillId="10" borderId="0" xfId="14" applyFont="1" applyFill="1" applyAlignment="1">
      <alignment horizontal="center" vertical="center" wrapText="1"/>
    </xf>
    <xf numFmtId="3" fontId="4" fillId="0" borderId="0" xfId="14" applyNumberFormat="1" applyFont="1" applyAlignment="1">
      <alignment vertical="center" wrapText="1"/>
    </xf>
    <xf numFmtId="0" fontId="6" fillId="0" borderId="2" xfId="0" applyFont="1" applyBorder="1" applyAlignment="1">
      <alignment horizontal="left" vertical="top" wrapText="1"/>
    </xf>
    <xf numFmtId="0" fontId="0" fillId="0" borderId="5" xfId="0" applyBorder="1" applyAlignment="1">
      <alignment vertical="top" wrapText="1"/>
    </xf>
    <xf numFmtId="0" fontId="2" fillId="0" borderId="2" xfId="0" applyFont="1" applyBorder="1" applyAlignment="1">
      <alignment vertical="top" wrapText="1"/>
    </xf>
    <xf numFmtId="0" fontId="2" fillId="0" borderId="5" xfId="0" applyFont="1" applyBorder="1" applyAlignment="1">
      <alignment vertical="top" wrapText="1"/>
    </xf>
    <xf numFmtId="0" fontId="0" fillId="0" borderId="3" xfId="0" applyBorder="1" applyAlignment="1">
      <alignment vertical="top" wrapText="1"/>
    </xf>
    <xf numFmtId="0" fontId="0" fillId="0" borderId="5" xfId="0" applyBorder="1" applyAlignment="1">
      <alignment vertical="top"/>
    </xf>
    <xf numFmtId="0" fontId="10" fillId="0" borderId="2" xfId="0" applyFont="1" applyBorder="1" applyAlignment="1">
      <alignment wrapText="1"/>
    </xf>
    <xf numFmtId="0" fontId="10" fillId="0" borderId="2" xfId="0" applyFont="1" applyBorder="1"/>
    <xf numFmtId="0" fontId="10" fillId="11" borderId="2" xfId="0" applyFont="1" applyFill="1" applyBorder="1" applyAlignment="1">
      <alignment horizontal="center" wrapText="1"/>
    </xf>
    <xf numFmtId="170" fontId="10" fillId="0" borderId="2" xfId="0" applyNumberFormat="1" applyFont="1" applyBorder="1"/>
    <xf numFmtId="170" fontId="10" fillId="0" borderId="2" xfId="0" applyNumberFormat="1" applyFont="1" applyBorder="1" applyAlignment="1">
      <alignment vertical="top"/>
    </xf>
    <xf numFmtId="4" fontId="0" fillId="0" borderId="0" xfId="0" applyNumberFormat="1"/>
    <xf numFmtId="167" fontId="0" fillId="0" borderId="1" xfId="0" applyNumberFormat="1" applyBorder="1" applyAlignment="1">
      <alignment vertical="top" wrapText="1"/>
    </xf>
    <xf numFmtId="167" fontId="0" fillId="0" borderId="1" xfId="0" applyNumberFormat="1" applyBorder="1" applyAlignment="1">
      <alignment vertical="top"/>
    </xf>
    <xf numFmtId="0" fontId="18" fillId="0" borderId="1" xfId="8" applyFill="1" applyBorder="1" applyAlignment="1">
      <alignment horizontal="left" vertical="top" wrapText="1"/>
    </xf>
    <xf numFmtId="0" fontId="2" fillId="14" borderId="2" xfId="0" applyFont="1" applyFill="1" applyBorder="1" applyAlignment="1">
      <alignment horizontal="left" vertical="top" wrapText="1"/>
    </xf>
    <xf numFmtId="0" fontId="2" fillId="25" borderId="2" xfId="0" applyFont="1" applyFill="1" applyBorder="1" applyAlignment="1">
      <alignment horizontal="left" vertical="top" wrapText="1"/>
    </xf>
    <xf numFmtId="0" fontId="10" fillId="18" borderId="0" xfId="0" applyFont="1" applyFill="1"/>
    <xf numFmtId="0" fontId="9" fillId="11" borderId="0" xfId="0" applyFont="1" applyFill="1"/>
    <xf numFmtId="0" fontId="6" fillId="0" borderId="3" xfId="0" applyFont="1" applyBorder="1" applyAlignment="1">
      <alignment vertical="top" wrapText="1"/>
    </xf>
    <xf numFmtId="0" fontId="0" fillId="0" borderId="5" xfId="0" applyBorder="1" applyAlignment="1">
      <alignment horizontal="left" vertical="top"/>
    </xf>
    <xf numFmtId="169" fontId="0" fillId="0" borderId="0" xfId="0" applyNumberFormat="1" applyAlignment="1">
      <alignment horizontal="left" vertical="top" wrapText="1"/>
    </xf>
    <xf numFmtId="3" fontId="3" fillId="0" borderId="0" xfId="9" applyNumberFormat="1" applyFont="1"/>
    <xf numFmtId="170" fontId="10" fillId="18" borderId="0" xfId="0" applyNumberFormat="1" applyFont="1" applyFill="1"/>
    <xf numFmtId="0" fontId="10" fillId="4" borderId="2" xfId="0" applyFont="1" applyFill="1" applyBorder="1" applyAlignment="1">
      <alignment wrapText="1"/>
    </xf>
    <xf numFmtId="0" fontId="10" fillId="4" borderId="2" xfId="0" applyFont="1" applyFill="1" applyBorder="1"/>
    <xf numFmtId="170" fontId="10" fillId="4" borderId="2" xfId="0" applyNumberFormat="1" applyFont="1" applyFill="1" applyBorder="1"/>
    <xf numFmtId="0" fontId="10" fillId="3" borderId="2" xfId="0" applyFont="1" applyFill="1" applyBorder="1" applyAlignment="1">
      <alignment vertical="top" wrapText="1"/>
    </xf>
    <xf numFmtId="0" fontId="2" fillId="13" borderId="8" xfId="0" applyFont="1" applyFill="1" applyBorder="1" applyAlignment="1">
      <alignment vertical="top" wrapText="1"/>
    </xf>
    <xf numFmtId="0" fontId="0" fillId="0" borderId="1" xfId="0" applyBorder="1" applyAlignment="1">
      <alignment horizontal="left" vertical="top" wrapText="1"/>
    </xf>
    <xf numFmtId="0" fontId="0" fillId="0" borderId="1" xfId="0" applyBorder="1" applyAlignment="1">
      <alignment vertical="top" wrapText="1"/>
    </xf>
    <xf numFmtId="175" fontId="2" fillId="0" borderId="0" xfId="0" applyNumberFormat="1" applyFont="1" applyAlignment="1">
      <alignment vertical="top"/>
    </xf>
    <xf numFmtId="0" fontId="45" fillId="0" borderId="2" xfId="0" applyFont="1" applyBorder="1"/>
    <xf numFmtId="0" fontId="10" fillId="0" borderId="2" xfId="0" applyFont="1" applyBorder="1" applyAlignment="1">
      <alignment vertical="top" wrapText="1"/>
    </xf>
    <xf numFmtId="0" fontId="10" fillId="0" borderId="0" xfId="0" applyFont="1"/>
    <xf numFmtId="0" fontId="10" fillId="0" borderId="2" xfId="0" applyFont="1" applyBorder="1" applyAlignment="1">
      <alignment horizontal="left" vertical="top" wrapText="1"/>
    </xf>
    <xf numFmtId="0" fontId="10" fillId="0" borderId="2" xfId="0" applyFont="1" applyBorder="1" applyAlignment="1">
      <alignment vertical="top"/>
    </xf>
    <xf numFmtId="0" fontId="10" fillId="0" borderId="2" xfId="0" quotePrefix="1" applyFont="1" applyBorder="1" applyAlignment="1">
      <alignment vertical="top" wrapText="1"/>
    </xf>
    <xf numFmtId="0" fontId="33" fillId="0" borderId="0" xfId="0" applyFont="1" applyAlignment="1">
      <alignment vertical="top"/>
    </xf>
    <xf numFmtId="0" fontId="6" fillId="0" borderId="2" xfId="0" applyFont="1" applyBorder="1" applyAlignment="1">
      <alignment vertical="top" wrapText="1"/>
    </xf>
    <xf numFmtId="167" fontId="0" fillId="0" borderId="2" xfId="0" applyNumberFormat="1" applyBorder="1" applyAlignment="1">
      <alignment horizontal="left" vertical="top" wrapText="1"/>
    </xf>
    <xf numFmtId="167" fontId="0" fillId="0" borderId="1" xfId="0" applyNumberFormat="1" applyBorder="1" applyAlignment="1">
      <alignment horizontal="left" vertical="top" wrapText="1"/>
    </xf>
    <xf numFmtId="0" fontId="0" fillId="0" borderId="7" xfId="0" applyBorder="1" applyAlignment="1">
      <alignment vertical="top"/>
    </xf>
    <xf numFmtId="167" fontId="0" fillId="0" borderId="5" xfId="0" applyNumberFormat="1" applyBorder="1" applyAlignment="1">
      <alignment vertical="top"/>
    </xf>
    <xf numFmtId="169" fontId="6" fillId="0" borderId="2" xfId="0" applyNumberFormat="1" applyFont="1" applyBorder="1" applyAlignment="1">
      <alignment vertical="top" wrapText="1"/>
    </xf>
    <xf numFmtId="169" fontId="6" fillId="0" borderId="2" xfId="2" applyNumberFormat="1" applyFont="1" applyFill="1" applyBorder="1" applyAlignment="1">
      <alignment horizontal="right" vertical="top" wrapText="1"/>
    </xf>
    <xf numFmtId="167" fontId="6" fillId="0" borderId="2" xfId="0" applyNumberFormat="1" applyFont="1" applyBorder="1" applyAlignment="1">
      <alignment vertical="top" wrapText="1"/>
    </xf>
    <xf numFmtId="169" fontId="2" fillId="0" borderId="2" xfId="0" applyNumberFormat="1" applyFont="1" applyBorder="1" applyAlignment="1">
      <alignment horizontal="left" vertical="top" wrapText="1"/>
    </xf>
    <xf numFmtId="169" fontId="0" fillId="0" borderId="2" xfId="0" applyNumberFormat="1" applyBorder="1" applyAlignment="1">
      <alignment horizontal="left" vertical="top" wrapText="1"/>
    </xf>
    <xf numFmtId="0" fontId="0" fillId="0" borderId="26" xfId="0" applyBorder="1" applyAlignment="1">
      <alignment horizontal="left" vertical="top" wrapText="1"/>
    </xf>
    <xf numFmtId="0" fontId="0" fillId="0" borderId="4" xfId="0" applyBorder="1" applyAlignment="1">
      <alignment horizontal="left" vertical="top" wrapText="1"/>
    </xf>
    <xf numFmtId="0" fontId="2" fillId="16" borderId="2" xfId="0" applyFont="1" applyFill="1" applyBorder="1" applyAlignment="1">
      <alignment vertical="top" wrapText="1"/>
    </xf>
    <xf numFmtId="0" fontId="2" fillId="16" borderId="4" xfId="0" applyFont="1" applyFill="1" applyBorder="1" applyAlignment="1">
      <alignment vertical="top" wrapText="1"/>
    </xf>
    <xf numFmtId="0" fontId="2" fillId="16" borderId="5" xfId="0" applyFont="1" applyFill="1" applyBorder="1" applyAlignment="1">
      <alignment vertical="top" wrapText="1"/>
    </xf>
    <xf numFmtId="169" fontId="2" fillId="16" borderId="2" xfId="0" applyNumberFormat="1" applyFont="1" applyFill="1" applyBorder="1" applyAlignment="1">
      <alignment vertical="top"/>
    </xf>
    <xf numFmtId="169" fontId="2" fillId="16" borderId="2" xfId="0" applyNumberFormat="1" applyFont="1" applyFill="1" applyBorder="1" applyAlignment="1">
      <alignment horizontal="left" vertical="top" wrapText="1"/>
    </xf>
    <xf numFmtId="169" fontId="2" fillId="16" borderId="1" xfId="0" applyNumberFormat="1" applyFont="1" applyFill="1" applyBorder="1" applyAlignment="1">
      <alignment vertical="top"/>
    </xf>
    <xf numFmtId="169" fontId="8" fillId="16" borderId="2" xfId="0" applyNumberFormat="1" applyFont="1" applyFill="1" applyBorder="1" applyAlignment="1">
      <alignment vertical="top"/>
    </xf>
    <xf numFmtId="0" fontId="2" fillId="16" borderId="2" xfId="0" applyFont="1" applyFill="1" applyBorder="1" applyAlignment="1">
      <alignment vertical="top"/>
    </xf>
    <xf numFmtId="0" fontId="8" fillId="16" borderId="2" xfId="1" applyFont="1" applyFill="1" applyBorder="1" applyAlignment="1">
      <alignment horizontal="center" vertical="top" wrapText="1"/>
    </xf>
    <xf numFmtId="0" fontId="8" fillId="16" borderId="2" xfId="2" applyNumberFormat="1" applyFont="1" applyFill="1" applyBorder="1" applyAlignment="1">
      <alignment horizontal="center" vertical="top" wrapText="1"/>
    </xf>
    <xf numFmtId="0" fontId="8" fillId="16" borderId="2" xfId="2" applyNumberFormat="1" applyFont="1" applyFill="1" applyBorder="1" applyAlignment="1">
      <alignment horizontal="left" vertical="top" wrapText="1"/>
    </xf>
    <xf numFmtId="167" fontId="0" fillId="0" borderId="3" xfId="0" applyNumberFormat="1" applyBorder="1" applyAlignment="1">
      <alignment vertical="top" wrapText="1"/>
    </xf>
    <xf numFmtId="169" fontId="6" fillId="16" borderId="2" xfId="0" applyNumberFormat="1" applyFont="1" applyFill="1" applyBorder="1" applyAlignment="1">
      <alignment vertical="top" wrapText="1"/>
    </xf>
    <xf numFmtId="9" fontId="2" fillId="0" borderId="0" xfId="15" applyFont="1" applyAlignment="1">
      <alignment vertical="top"/>
    </xf>
    <xf numFmtId="169" fontId="2" fillId="27" borderId="2" xfId="0" applyNumberFormat="1" applyFont="1" applyFill="1" applyBorder="1" applyAlignment="1">
      <alignment vertical="top"/>
    </xf>
    <xf numFmtId="0" fontId="0" fillId="18" borderId="0" xfId="0" applyFill="1" applyAlignment="1">
      <alignment vertical="top"/>
    </xf>
    <xf numFmtId="10" fontId="2" fillId="18" borderId="0" xfId="15" applyNumberFormat="1" applyFont="1" applyFill="1" applyBorder="1" applyAlignment="1">
      <alignment vertical="top"/>
    </xf>
    <xf numFmtId="169" fontId="0" fillId="18" borderId="0" xfId="0" applyNumberFormat="1" applyFill="1" applyAlignment="1">
      <alignment vertical="top"/>
    </xf>
    <xf numFmtId="0" fontId="11" fillId="0" borderId="14" xfId="14" applyFont="1" applyBorder="1" applyAlignment="1">
      <alignment horizontal="left" vertical="top" wrapText="1"/>
    </xf>
    <xf numFmtId="10" fontId="0" fillId="18" borderId="0" xfId="15" applyNumberFormat="1" applyFont="1" applyFill="1" applyAlignment="1">
      <alignment vertical="top" wrapText="1"/>
    </xf>
    <xf numFmtId="0" fontId="46" fillId="3" borderId="2" xfId="0" applyFont="1" applyFill="1" applyBorder="1"/>
    <xf numFmtId="170" fontId="46" fillId="3" borderId="2" xfId="0" applyNumberFormat="1" applyFont="1" applyFill="1" applyBorder="1"/>
    <xf numFmtId="167" fontId="0" fillId="0" borderId="3" xfId="0" applyNumberFormat="1" applyBorder="1" applyAlignment="1">
      <alignment vertical="top"/>
    </xf>
    <xf numFmtId="0" fontId="47" fillId="0" borderId="1" xfId="0" applyFont="1" applyBorder="1" applyAlignment="1">
      <alignment horizontal="left" vertical="top" wrapText="1"/>
    </xf>
    <xf numFmtId="0" fontId="2" fillId="0" borderId="29" xfId="0" applyFont="1" applyBorder="1" applyAlignment="1">
      <alignment horizontal="left" vertical="top" wrapText="1"/>
    </xf>
    <xf numFmtId="0" fontId="0" fillId="0" borderId="29" xfId="0" applyBorder="1" applyAlignment="1">
      <alignment horizontal="left" vertical="top" wrapText="1"/>
    </xf>
    <xf numFmtId="0" fontId="6" fillId="0" borderId="3" xfId="0" quotePrefix="1" applyFont="1" applyBorder="1" applyAlignment="1">
      <alignment vertical="top" wrapText="1"/>
    </xf>
    <xf numFmtId="169" fontId="2" fillId="0" borderId="0" xfId="15" applyNumberFormat="1" applyFont="1" applyAlignment="1">
      <alignment vertical="top"/>
    </xf>
    <xf numFmtId="167" fontId="6" fillId="0" borderId="2" xfId="0" applyNumberFormat="1" applyFont="1" applyBorder="1" applyAlignment="1">
      <alignment horizontal="left" vertical="top" wrapText="1"/>
    </xf>
    <xf numFmtId="167" fontId="6" fillId="0" borderId="2" xfId="0" applyNumberFormat="1" applyFont="1" applyBorder="1" applyAlignment="1">
      <alignment vertical="top"/>
    </xf>
    <xf numFmtId="0" fontId="6" fillId="18" borderId="2" xfId="0" quotePrefix="1" applyFont="1" applyFill="1" applyBorder="1" applyAlignment="1">
      <alignment vertical="top" wrapText="1"/>
    </xf>
    <xf numFmtId="169" fontId="6" fillId="0" borderId="2" xfId="0" applyNumberFormat="1" applyFont="1" applyBorder="1" applyAlignment="1">
      <alignment vertical="top"/>
    </xf>
    <xf numFmtId="169" fontId="8" fillId="0" borderId="2" xfId="0" applyNumberFormat="1" applyFont="1" applyBorder="1" applyAlignment="1">
      <alignment vertical="top"/>
    </xf>
    <xf numFmtId="167" fontId="6" fillId="0" borderId="3" xfId="0" applyNumberFormat="1" applyFont="1" applyBorder="1" applyAlignment="1">
      <alignment vertical="top"/>
    </xf>
    <xf numFmtId="0" fontId="6" fillId="18" borderId="3" xfId="0" quotePrefix="1" applyFont="1" applyFill="1" applyBorder="1" applyAlignment="1">
      <alignment vertical="top" wrapText="1"/>
    </xf>
    <xf numFmtId="176" fontId="0" fillId="0" borderId="0" xfId="0" applyNumberFormat="1"/>
    <xf numFmtId="0" fontId="17" fillId="0" borderId="33" xfId="0" applyFont="1" applyBorder="1" applyAlignment="1">
      <alignment horizontal="left" vertical="top" wrapText="1"/>
    </xf>
    <xf numFmtId="0" fontId="0" fillId="0" borderId="34" xfId="0" applyBorder="1" applyAlignment="1">
      <alignment vertical="top"/>
    </xf>
    <xf numFmtId="0" fontId="0" fillId="0" borderId="33" xfId="0" applyBorder="1" applyAlignment="1">
      <alignment vertical="top"/>
    </xf>
    <xf numFmtId="169" fontId="0" fillId="0" borderId="34" xfId="0" applyNumberFormat="1" applyBorder="1" applyAlignment="1">
      <alignment vertical="top"/>
    </xf>
    <xf numFmtId="0" fontId="0" fillId="0" borderId="33" xfId="0" applyBorder="1" applyAlignment="1">
      <alignment horizontal="left" vertical="top" wrapText="1"/>
    </xf>
    <xf numFmtId="165" fontId="6" fillId="0" borderId="2" xfId="2" applyNumberFormat="1" applyFont="1" applyFill="1" applyBorder="1" applyAlignment="1">
      <alignment horizontal="right" vertical="top" wrapText="1"/>
    </xf>
    <xf numFmtId="0" fontId="33" fillId="0" borderId="35" xfId="0" applyFont="1" applyBorder="1" applyAlignment="1">
      <alignment horizontal="left" vertical="top" wrapText="1"/>
    </xf>
    <xf numFmtId="0" fontId="6" fillId="0" borderId="36" xfId="0" quotePrefix="1" applyFont="1" applyBorder="1" applyAlignment="1">
      <alignment vertical="top" wrapText="1"/>
    </xf>
    <xf numFmtId="165" fontId="6" fillId="0" borderId="36" xfId="2" applyNumberFormat="1" applyFont="1" applyFill="1" applyBorder="1" applyAlignment="1">
      <alignment horizontal="right" vertical="top" wrapText="1"/>
    </xf>
    <xf numFmtId="165" fontId="8" fillId="0" borderId="37" xfId="2" applyNumberFormat="1" applyFont="1" applyFill="1" applyBorder="1" applyAlignment="1">
      <alignment horizontal="right" vertical="top" wrapText="1"/>
    </xf>
    <xf numFmtId="0" fontId="8" fillId="16" borderId="2" xfId="0" applyFont="1" applyFill="1" applyBorder="1" applyAlignment="1">
      <alignment vertical="top"/>
    </xf>
    <xf numFmtId="167" fontId="6" fillId="0" borderId="7" xfId="0" applyNumberFormat="1" applyFont="1" applyBorder="1" applyAlignment="1">
      <alignment vertical="top" wrapText="1"/>
    </xf>
    <xf numFmtId="0" fontId="6" fillId="0" borderId="0" xfId="0" applyFont="1" applyAlignment="1">
      <alignment vertical="top"/>
    </xf>
    <xf numFmtId="167" fontId="6" fillId="0" borderId="29" xfId="0" applyNumberFormat="1" applyFont="1" applyBorder="1" applyAlignment="1">
      <alignment horizontal="left" vertical="top" wrapText="1"/>
    </xf>
    <xf numFmtId="167" fontId="6" fillId="0" borderId="0" xfId="0" applyNumberFormat="1" applyFont="1" applyAlignment="1">
      <alignment vertical="top"/>
    </xf>
    <xf numFmtId="170" fontId="6" fillId="0" borderId="0" xfId="0" applyNumberFormat="1" applyFont="1" applyAlignment="1">
      <alignment vertical="top" wrapText="1"/>
    </xf>
    <xf numFmtId="3" fontId="29" fillId="0" borderId="12" xfId="14" applyNumberFormat="1" applyFont="1" applyBorder="1" applyAlignment="1">
      <alignment horizontal="right" vertical="center" wrapText="1"/>
    </xf>
    <xf numFmtId="3" fontId="29" fillId="0" borderId="0" xfId="14" applyNumberFormat="1" applyFont="1" applyAlignment="1">
      <alignment horizontal="right" vertical="center" wrapText="1"/>
    </xf>
    <xf numFmtId="3" fontId="4" fillId="0" borderId="38" xfId="14" applyNumberFormat="1" applyFont="1" applyBorder="1" applyAlignment="1">
      <alignment vertical="center" wrapText="1"/>
    </xf>
    <xf numFmtId="177" fontId="0" fillId="0" borderId="0" xfId="4" applyNumberFormat="1" applyFont="1" applyAlignment="1">
      <alignment vertical="top"/>
    </xf>
    <xf numFmtId="0" fontId="2" fillId="16" borderId="8" xfId="0" applyFont="1" applyFill="1" applyBorder="1" applyAlignment="1">
      <alignment horizontal="left" vertical="top" wrapText="1"/>
    </xf>
    <xf numFmtId="0" fontId="2" fillId="16" borderId="26" xfId="0" applyFont="1" applyFill="1" applyBorder="1" applyAlignment="1">
      <alignment horizontal="left" vertical="top" wrapText="1"/>
    </xf>
    <xf numFmtId="0" fontId="0" fillId="16" borderId="4" xfId="0" applyFill="1" applyBorder="1" applyAlignment="1">
      <alignment horizontal="left" vertical="top"/>
    </xf>
    <xf numFmtId="0" fontId="0" fillId="16" borderId="5" xfId="0" applyFill="1" applyBorder="1" applyAlignment="1">
      <alignment horizontal="left" vertical="top"/>
    </xf>
    <xf numFmtId="0" fontId="2" fillId="14" borderId="2" xfId="0" applyFont="1" applyFill="1" applyBorder="1" applyAlignment="1">
      <alignment horizontal="left" vertical="top" wrapText="1"/>
    </xf>
    <xf numFmtId="0" fontId="2" fillId="25" borderId="2" xfId="0" applyFont="1" applyFill="1" applyBorder="1" applyAlignment="1">
      <alignment horizontal="left" vertical="top" wrapText="1"/>
    </xf>
    <xf numFmtId="0" fontId="2" fillId="0" borderId="0" xfId="0" applyFont="1" applyAlignment="1">
      <alignment horizontal="left" vertical="top"/>
    </xf>
    <xf numFmtId="0" fontId="2" fillId="0" borderId="27" xfId="0" applyFont="1" applyBorder="1" applyAlignment="1">
      <alignment horizontal="left" vertical="top"/>
    </xf>
    <xf numFmtId="0" fontId="2" fillId="13" borderId="0" xfId="0" applyFont="1" applyFill="1" applyAlignment="1">
      <alignment horizontal="left" vertical="top" wrapText="1"/>
    </xf>
    <xf numFmtId="0" fontId="2" fillId="13" borderId="27" xfId="0" applyFont="1" applyFill="1" applyBorder="1" applyAlignment="1">
      <alignment horizontal="left" vertical="top" wrapText="1"/>
    </xf>
    <xf numFmtId="167" fontId="0" fillId="0" borderId="1" xfId="0" applyNumberFormat="1" applyBorder="1" applyAlignment="1">
      <alignment horizontal="left" vertical="top"/>
    </xf>
    <xf numFmtId="167" fontId="0" fillId="0" borderId="6" xfId="0" applyNumberFormat="1" applyBorder="1" applyAlignment="1">
      <alignment horizontal="left" vertical="top"/>
    </xf>
    <xf numFmtId="0" fontId="33" fillId="0" borderId="30" xfId="0" applyFont="1" applyBorder="1" applyAlignment="1">
      <alignment horizontal="center" vertical="top" wrapText="1"/>
    </xf>
    <xf numFmtId="0" fontId="33" fillId="0" borderId="31" xfId="0" applyFont="1" applyBorder="1" applyAlignment="1">
      <alignment horizontal="center" vertical="top" wrapText="1"/>
    </xf>
    <xf numFmtId="0" fontId="33" fillId="0" borderId="32" xfId="0" applyFont="1" applyBorder="1" applyAlignment="1">
      <alignment horizontal="center" vertical="top" wrapText="1"/>
    </xf>
    <xf numFmtId="0" fontId="6" fillId="0" borderId="1" xfId="0" applyFont="1" applyBorder="1" applyAlignment="1">
      <alignment horizontal="left" vertical="top" wrapText="1"/>
    </xf>
    <xf numFmtId="0" fontId="2" fillId="16" borderId="3" xfId="0" applyFont="1" applyFill="1" applyBorder="1" applyAlignment="1">
      <alignment horizontal="left" vertical="top" wrapText="1"/>
    </xf>
    <xf numFmtId="0" fontId="0" fillId="0" borderId="2" xfId="0" applyBorder="1" applyAlignment="1">
      <alignment horizontal="left" vertical="top" wrapText="1"/>
    </xf>
    <xf numFmtId="0" fontId="2" fillId="16" borderId="4" xfId="0" applyFont="1" applyFill="1" applyBorder="1" applyAlignment="1">
      <alignment horizontal="left" vertical="top" wrapText="1"/>
    </xf>
    <xf numFmtId="0" fontId="2" fillId="16" borderId="5" xfId="0" applyFont="1" applyFill="1" applyBorder="1" applyAlignment="1">
      <alignment horizontal="left" vertical="top" wrapText="1"/>
    </xf>
    <xf numFmtId="0" fontId="0" fillId="26" borderId="2" xfId="0" applyFill="1" applyBorder="1" applyAlignment="1">
      <alignment vertical="top" wrapText="1"/>
    </xf>
    <xf numFmtId="0" fontId="0" fillId="0" borderId="2" xfId="0" applyBorder="1" applyAlignment="1">
      <alignment vertical="top" wrapText="1"/>
    </xf>
    <xf numFmtId="0" fontId="0" fillId="0" borderId="1" xfId="0" applyBorder="1" applyAlignment="1">
      <alignment horizontal="left" vertical="top" wrapText="1"/>
    </xf>
    <xf numFmtId="0" fontId="0" fillId="0" borderId="7" xfId="0" applyBorder="1" applyAlignment="1">
      <alignment horizontal="left" vertical="top" wrapText="1"/>
    </xf>
    <xf numFmtId="0" fontId="2" fillId="0" borderId="1"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26"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167" fontId="0" fillId="0" borderId="6" xfId="0" applyNumberFormat="1" applyBorder="1" applyAlignment="1">
      <alignment horizontal="left" vertical="top" wrapText="1"/>
    </xf>
    <xf numFmtId="0" fontId="2" fillId="0" borderId="8" xfId="0" applyFont="1" applyBorder="1" applyAlignment="1">
      <alignment vertical="top" wrapText="1"/>
    </xf>
    <xf numFmtId="0" fontId="2" fillId="0" borderId="0" xfId="0" applyFont="1" applyAlignment="1">
      <alignment vertical="top" wrapText="1"/>
    </xf>
    <xf numFmtId="0" fontId="0" fillId="0" borderId="0" xfId="0" applyAlignment="1">
      <alignment vertical="top" wrapText="1"/>
    </xf>
    <xf numFmtId="0" fontId="0" fillId="0" borderId="24" xfId="0" applyBorder="1" applyAlignment="1">
      <alignment vertical="top" wrapText="1"/>
    </xf>
    <xf numFmtId="0" fontId="2" fillId="0" borderId="1" xfId="0" applyFont="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167" fontId="0" fillId="0" borderId="1" xfId="0" applyNumberFormat="1" applyBorder="1" applyAlignment="1">
      <alignment horizontal="left" vertical="top" wrapText="1"/>
    </xf>
    <xf numFmtId="0" fontId="2" fillId="13" borderId="3" xfId="0" applyFont="1" applyFill="1" applyBorder="1" applyAlignment="1">
      <alignment horizontal="left" vertical="top" wrapText="1"/>
    </xf>
    <xf numFmtId="167" fontId="0" fillId="0" borderId="2" xfId="0" applyNumberFormat="1" applyBorder="1" applyAlignment="1">
      <alignment horizontal="left" vertical="top" wrapText="1"/>
    </xf>
    <xf numFmtId="167" fontId="0" fillId="0" borderId="7" xfId="0" applyNumberFormat="1" applyBorder="1" applyAlignment="1">
      <alignment horizontal="left" vertical="top" wrapText="1"/>
    </xf>
    <xf numFmtId="167" fontId="6" fillId="0" borderId="2" xfId="0" applyNumberFormat="1" applyFont="1" applyBorder="1" applyAlignment="1">
      <alignment horizontal="left" vertical="top" wrapText="1"/>
    </xf>
    <xf numFmtId="0" fontId="0" fillId="0" borderId="27" xfId="0" applyBorder="1" applyAlignment="1">
      <alignment vertical="top"/>
    </xf>
    <xf numFmtId="0" fontId="0" fillId="0" borderId="28" xfId="0" applyBorder="1" applyAlignment="1">
      <alignment vertical="top"/>
    </xf>
    <xf numFmtId="169" fontId="6" fillId="0" borderId="1" xfId="0" applyNumberFormat="1" applyFont="1" applyBorder="1" applyAlignment="1">
      <alignment horizontal="left" vertical="top" wrapText="1"/>
    </xf>
    <xf numFmtId="169" fontId="6" fillId="0" borderId="7" xfId="0" applyNumberFormat="1" applyFont="1" applyBorder="1" applyAlignment="1">
      <alignment horizontal="left" vertical="top" wrapText="1"/>
    </xf>
    <xf numFmtId="167" fontId="6" fillId="0" borderId="25" xfId="0" applyNumberFormat="1" applyFont="1" applyBorder="1" applyAlignment="1">
      <alignment horizontal="left" vertical="top" wrapText="1"/>
    </xf>
    <xf numFmtId="167" fontId="6" fillId="0" borderId="23" xfId="0" applyNumberFormat="1" applyFont="1" applyBorder="1" applyAlignment="1">
      <alignment horizontal="left" vertical="top" wrapText="1"/>
    </xf>
    <xf numFmtId="167" fontId="6" fillId="0" borderId="29" xfId="0" applyNumberFormat="1" applyFont="1" applyBorder="1" applyAlignment="1">
      <alignment horizontal="left" vertical="top" wrapText="1"/>
    </xf>
    <xf numFmtId="0" fontId="2" fillId="16" borderId="25" xfId="0" applyFont="1" applyFill="1" applyBorder="1" applyAlignment="1">
      <alignment horizontal="left" vertical="top" wrapText="1"/>
    </xf>
    <xf numFmtId="0" fontId="0" fillId="0" borderId="1" xfId="0" applyBorder="1" applyAlignment="1">
      <alignment vertical="top" wrapText="1"/>
    </xf>
    <xf numFmtId="0" fontId="2" fillId="0" borderId="0" xfId="0" applyFont="1" applyAlignment="1">
      <alignment horizontal="left" vertical="top" wrapText="1"/>
    </xf>
    <xf numFmtId="0" fontId="2" fillId="0" borderId="2" xfId="0" applyFont="1" applyBorder="1" applyAlignment="1">
      <alignment vertical="top" wrapText="1"/>
    </xf>
    <xf numFmtId="167" fontId="6" fillId="0" borderId="1" xfId="0" applyNumberFormat="1" applyFont="1" applyBorder="1" applyAlignment="1">
      <alignment horizontal="left" vertical="top" wrapText="1"/>
    </xf>
    <xf numFmtId="167" fontId="6" fillId="0" borderId="6" xfId="0" applyNumberFormat="1" applyFont="1" applyBorder="1" applyAlignment="1">
      <alignment horizontal="left" vertical="top" wrapText="1"/>
    </xf>
    <xf numFmtId="167" fontId="6" fillId="0" borderId="7" xfId="0" applyNumberFormat="1" applyFont="1" applyBorder="1" applyAlignment="1">
      <alignment horizontal="left" vertical="top" wrapText="1"/>
    </xf>
    <xf numFmtId="167" fontId="6" fillId="0" borderId="1" xfId="0" applyNumberFormat="1" applyFont="1" applyBorder="1" applyAlignment="1">
      <alignment vertical="top" wrapText="1"/>
    </xf>
    <xf numFmtId="0" fontId="0" fillId="0" borderId="3" xfId="0" applyBorder="1" applyAlignment="1">
      <alignment horizontal="left" vertical="top" wrapText="1"/>
    </xf>
    <xf numFmtId="0" fontId="8" fillId="0" borderId="1" xfId="0" applyFont="1" applyBorder="1" applyAlignment="1">
      <alignment horizontal="left" vertical="top" wrapText="1"/>
    </xf>
    <xf numFmtId="0" fontId="45" fillId="0" borderId="2" xfId="0" applyFont="1" applyBorder="1" applyAlignment="1">
      <alignment horizontal="center" vertical="center"/>
    </xf>
    <xf numFmtId="0" fontId="11" fillId="10" borderId="12" xfId="14" applyFont="1" applyFill="1" applyBorder="1" applyAlignment="1">
      <alignment horizontal="center" vertical="center" wrapText="1"/>
    </xf>
    <xf numFmtId="0" fontId="11" fillId="0" borderId="11" xfId="14" applyFont="1" applyBorder="1" applyAlignment="1">
      <alignment horizontal="left" vertical="top" wrapText="1"/>
    </xf>
    <xf numFmtId="0" fontId="11" fillId="0" borderId="14" xfId="14" applyFont="1" applyBorder="1" applyAlignment="1">
      <alignment horizontal="left" vertical="top" wrapText="1"/>
    </xf>
    <xf numFmtId="0" fontId="11" fillId="0" borderId="15" xfId="14" applyFont="1" applyBorder="1" applyAlignment="1">
      <alignment horizontal="left" vertical="top" wrapText="1"/>
    </xf>
    <xf numFmtId="0" fontId="12" fillId="0" borderId="11" xfId="14" applyFont="1" applyBorder="1" applyAlignment="1">
      <alignment horizontal="left" vertical="top" wrapText="1"/>
    </xf>
    <xf numFmtId="0" fontId="12" fillId="0" borderId="15" xfId="14" applyFont="1" applyBorder="1" applyAlignment="1">
      <alignment horizontal="left" vertical="top" wrapText="1"/>
    </xf>
    <xf numFmtId="3" fontId="4" fillId="0" borderId="11" xfId="14" applyNumberFormat="1" applyFont="1" applyBorder="1" applyAlignment="1">
      <alignment horizontal="right" vertical="center" wrapText="1"/>
    </xf>
    <xf numFmtId="3" fontId="4" fillId="0" borderId="15" xfId="14" applyNumberFormat="1" applyFont="1" applyBorder="1" applyAlignment="1">
      <alignment horizontal="right" vertical="center" wrapText="1"/>
    </xf>
    <xf numFmtId="0" fontId="12" fillId="0" borderId="11" xfId="14" applyFont="1" applyBorder="1" applyAlignment="1">
      <alignment horizontal="center" vertical="top" wrapText="1"/>
    </xf>
    <xf numFmtId="0" fontId="12" fillId="0" borderId="15" xfId="14" applyFont="1" applyBorder="1" applyAlignment="1">
      <alignment horizontal="center" vertical="top" wrapText="1"/>
    </xf>
    <xf numFmtId="3" fontId="4" fillId="0" borderId="11" xfId="14" applyNumberFormat="1" applyFont="1" applyBorder="1" applyAlignment="1">
      <alignment horizontal="center" vertical="center" wrapText="1"/>
    </xf>
    <xf numFmtId="3" fontId="4" fillId="0" borderId="15" xfId="14" applyNumberFormat="1" applyFont="1" applyBorder="1" applyAlignment="1">
      <alignment horizontal="center" vertical="center" wrapText="1"/>
    </xf>
    <xf numFmtId="0" fontId="8" fillId="4" borderId="2" xfId="9" applyFont="1" applyFill="1" applyBorder="1" applyAlignment="1">
      <alignment horizontal="right" vertical="top"/>
    </xf>
    <xf numFmtId="0" fontId="8" fillId="3" borderId="2" xfId="9" applyFont="1" applyFill="1" applyBorder="1" applyAlignment="1">
      <alignment horizontal="left" vertical="top"/>
    </xf>
    <xf numFmtId="0" fontId="12" fillId="0" borderId="2" xfId="0" applyFont="1" applyBorder="1" applyAlignment="1">
      <alignment horizontal="left" vertical="top" wrapText="1"/>
    </xf>
    <xf numFmtId="0" fontId="11" fillId="0" borderId="2" xfId="0" applyFont="1" applyBorder="1" applyAlignment="1">
      <alignment horizontal="left" vertical="top" wrapText="1"/>
    </xf>
    <xf numFmtId="0" fontId="12" fillId="0" borderId="1" xfId="0" applyFont="1" applyBorder="1" applyAlignment="1">
      <alignment horizontal="left" vertical="top" wrapText="1"/>
    </xf>
    <xf numFmtId="0" fontId="12" fillId="0" borderId="6" xfId="0" applyFont="1" applyBorder="1" applyAlignment="1">
      <alignment horizontal="left" vertical="top" wrapText="1"/>
    </xf>
    <xf numFmtId="0" fontId="12" fillId="0" borderId="7" xfId="0" applyFont="1" applyBorder="1" applyAlignment="1">
      <alignment horizontal="left" vertical="top" wrapText="1"/>
    </xf>
    <xf numFmtId="0" fontId="4" fillId="0" borderId="0" xfId="0" applyFont="1" applyAlignment="1">
      <alignment horizontal="left" vertical="top"/>
    </xf>
    <xf numFmtId="0" fontId="4" fillId="0" borderId="0" xfId="0" applyFont="1" applyAlignment="1">
      <alignment horizontal="left" vertical="top" wrapText="1"/>
    </xf>
    <xf numFmtId="0" fontId="4" fillId="0" borderId="0" xfId="0" applyFont="1" applyAlignment="1">
      <alignment horizontal="center" vertical="top"/>
    </xf>
    <xf numFmtId="0" fontId="4" fillId="0" borderId="0" xfId="0" applyFont="1" applyAlignment="1">
      <alignment horizontal="center" vertical="top" wrapText="1"/>
    </xf>
    <xf numFmtId="0" fontId="20" fillId="0" borderId="18" xfId="0" applyFont="1" applyBorder="1" applyAlignment="1">
      <alignment horizontal="center" vertical="center"/>
    </xf>
    <xf numFmtId="0" fontId="26" fillId="0" borderId="11" xfId="0" applyFont="1" applyBorder="1" applyAlignment="1">
      <alignment vertical="center" wrapText="1"/>
    </xf>
    <xf numFmtId="0" fontId="26" fillId="0" borderId="14" xfId="0" applyFont="1" applyBorder="1" applyAlignment="1">
      <alignment vertical="center" wrapText="1"/>
    </xf>
    <xf numFmtId="0" fontId="26" fillId="0" borderId="15" xfId="0" applyFont="1" applyBorder="1" applyAlignment="1">
      <alignment vertical="center" wrapText="1"/>
    </xf>
    <xf numFmtId="0" fontId="26" fillId="0" borderId="14" xfId="0" applyFont="1" applyBorder="1" applyAlignment="1">
      <alignment horizontal="center" vertical="center" wrapText="1"/>
    </xf>
    <xf numFmtId="0" fontId="27" fillId="0" borderId="11" xfId="0" applyFont="1" applyBorder="1" applyAlignment="1">
      <alignment vertical="center" wrapText="1"/>
    </xf>
    <xf numFmtId="0" fontId="27" fillId="0" borderId="14" xfId="0" applyFont="1" applyBorder="1" applyAlignment="1">
      <alignment vertical="center" wrapText="1"/>
    </xf>
    <xf numFmtId="0" fontId="27" fillId="0" borderId="15" xfId="0" applyFont="1" applyBorder="1" applyAlignment="1">
      <alignment vertical="center" wrapText="1"/>
    </xf>
    <xf numFmtId="4" fontId="25" fillId="9" borderId="11" xfId="0" applyNumberFormat="1" applyFont="1" applyFill="1" applyBorder="1" applyAlignment="1">
      <alignment vertical="center" wrapText="1"/>
    </xf>
    <xf numFmtId="4" fontId="25" fillId="9" borderId="15" xfId="0" applyNumberFormat="1" applyFont="1" applyFill="1" applyBorder="1" applyAlignment="1">
      <alignment vertical="center" wrapText="1"/>
    </xf>
    <xf numFmtId="0" fontId="25" fillId="9" borderId="21" xfId="0" applyFont="1" applyFill="1" applyBorder="1" applyAlignment="1">
      <alignment vertical="center" wrapText="1"/>
    </xf>
    <xf numFmtId="0" fontId="25" fillId="9" borderId="18" xfId="0" applyFont="1" applyFill="1" applyBorder="1" applyAlignment="1">
      <alignment vertical="center" wrapText="1"/>
    </xf>
    <xf numFmtId="0" fontId="25" fillId="9" borderId="10" xfId="0" applyFont="1" applyFill="1" applyBorder="1" applyAlignment="1">
      <alignment vertical="center" wrapText="1"/>
    </xf>
    <xf numFmtId="0" fontId="25" fillId="7" borderId="19" xfId="0" applyFont="1" applyFill="1" applyBorder="1" applyAlignment="1">
      <alignment vertical="center" wrapText="1"/>
    </xf>
    <xf numFmtId="0" fontId="25" fillId="7" borderId="20" xfId="0" applyFont="1" applyFill="1" applyBorder="1" applyAlignment="1">
      <alignment vertical="center" wrapText="1"/>
    </xf>
    <xf numFmtId="0" fontId="25" fillId="7" borderId="17" xfId="0" applyFont="1" applyFill="1" applyBorder="1" applyAlignment="1">
      <alignment vertical="center" wrapText="1"/>
    </xf>
    <xf numFmtId="4" fontId="25" fillId="7" borderId="11" xfId="0" applyNumberFormat="1" applyFont="1" applyFill="1" applyBorder="1" applyAlignment="1">
      <alignment vertical="center" wrapText="1"/>
    </xf>
    <xf numFmtId="4" fontId="25" fillId="7" borderId="15" xfId="0" applyNumberFormat="1" applyFont="1" applyFill="1" applyBorder="1" applyAlignment="1">
      <alignment vertical="center" wrapText="1"/>
    </xf>
    <xf numFmtId="0" fontId="25" fillId="7" borderId="21" xfId="0" applyFont="1" applyFill="1" applyBorder="1" applyAlignment="1">
      <alignment vertical="center" wrapText="1"/>
    </xf>
    <xf numFmtId="0" fontId="25" fillId="7" borderId="18" xfId="0" applyFont="1" applyFill="1" applyBorder="1" applyAlignment="1">
      <alignment vertical="center" wrapText="1"/>
    </xf>
    <xf numFmtId="0" fontId="25" fillId="7" borderId="10" xfId="0" applyFont="1" applyFill="1" applyBorder="1" applyAlignment="1">
      <alignment vertical="center" wrapText="1"/>
    </xf>
    <xf numFmtId="0" fontId="25" fillId="8" borderId="19" xfId="0" applyFont="1" applyFill="1" applyBorder="1" applyAlignment="1">
      <alignment vertical="center" wrapText="1"/>
    </xf>
    <xf numFmtId="0" fontId="25" fillId="8" borderId="17" xfId="0" applyFont="1" applyFill="1" applyBorder="1" applyAlignment="1">
      <alignment vertical="center" wrapText="1"/>
    </xf>
    <xf numFmtId="0" fontId="25" fillId="8" borderId="11" xfId="0" applyFont="1" applyFill="1" applyBorder="1" applyAlignment="1">
      <alignment vertical="center" wrapText="1"/>
    </xf>
    <xf numFmtId="0" fontId="25" fillId="8" borderId="15" xfId="0" applyFont="1" applyFill="1" applyBorder="1" applyAlignment="1">
      <alignment vertical="center" wrapText="1"/>
    </xf>
    <xf numFmtId="0" fontId="25" fillId="8" borderId="21" xfId="0" applyFont="1" applyFill="1" applyBorder="1" applyAlignment="1">
      <alignment vertical="center" wrapText="1"/>
    </xf>
    <xf numFmtId="0" fontId="25" fillId="8" borderId="10" xfId="0" applyFont="1" applyFill="1" applyBorder="1" applyAlignment="1">
      <alignment vertical="center" wrapText="1"/>
    </xf>
    <xf numFmtId="0" fontId="25" fillId="9" borderId="19" xfId="0" applyFont="1" applyFill="1" applyBorder="1" applyAlignment="1">
      <alignment vertical="center" wrapText="1"/>
    </xf>
    <xf numFmtId="0" fontId="25" fillId="9" borderId="20" xfId="0" applyFont="1" applyFill="1" applyBorder="1" applyAlignment="1">
      <alignment vertical="center" wrapText="1"/>
    </xf>
    <xf numFmtId="0" fontId="25" fillId="9" borderId="17" xfId="0" applyFont="1" applyFill="1" applyBorder="1" applyAlignment="1">
      <alignment vertical="center" wrapText="1"/>
    </xf>
    <xf numFmtId="0" fontId="22" fillId="0" borderId="18" xfId="0" applyFont="1" applyBorder="1" applyAlignment="1">
      <alignment horizontal="center" vertical="center"/>
    </xf>
    <xf numFmtId="4" fontId="25" fillId="9" borderId="14" xfId="0" applyNumberFormat="1" applyFont="1" applyFill="1" applyBorder="1" applyAlignment="1">
      <alignment vertical="center" wrapText="1"/>
    </xf>
    <xf numFmtId="0" fontId="25" fillId="9" borderId="22" xfId="0" applyFont="1" applyFill="1" applyBorder="1" applyAlignment="1">
      <alignment vertical="center" wrapText="1"/>
    </xf>
    <xf numFmtId="0" fontId="25" fillId="9" borderId="0" xfId="0" applyFont="1" applyFill="1" applyAlignment="1">
      <alignment vertical="center" wrapText="1"/>
    </xf>
    <xf numFmtId="0" fontId="25" fillId="9" borderId="16" xfId="0" applyFont="1" applyFill="1" applyBorder="1" applyAlignment="1">
      <alignment vertical="center" wrapText="1"/>
    </xf>
    <xf numFmtId="0" fontId="21" fillId="0" borderId="20" xfId="0" applyFont="1" applyBorder="1" applyAlignment="1">
      <alignment vertical="center"/>
    </xf>
  </cellXfs>
  <cellStyles count="17">
    <cellStyle name="Accent5" xfId="8" builtinId="45"/>
    <cellStyle name="Comma" xfId="4" builtinId="3"/>
    <cellStyle name="Comma 2" xfId="2" xr:uid="{00000000-0005-0000-0000-000002000000}"/>
    <cellStyle name="Comma 2 2" xfId="11" xr:uid="{00000000-0005-0000-0000-000003000000}"/>
    <cellStyle name="Comma 3" xfId="7" xr:uid="{00000000-0005-0000-0000-000004000000}"/>
    <cellStyle name="Comma 3 2" xfId="12" xr:uid="{00000000-0005-0000-0000-000005000000}"/>
    <cellStyle name="Comma 4" xfId="13" xr:uid="{00000000-0005-0000-0000-000006000000}"/>
    <cellStyle name="Comma 5" xfId="10" xr:uid="{00000000-0005-0000-0000-000007000000}"/>
    <cellStyle name="Comma 6" xfId="16" xr:uid="{5515E741-AC0C-43E9-B05A-A55A161D1942}"/>
    <cellStyle name="Normal" xfId="0" builtinId="0"/>
    <cellStyle name="Normal 2" xfId="1" xr:uid="{00000000-0005-0000-0000-000009000000}"/>
    <cellStyle name="Normal 3" xfId="5" xr:uid="{00000000-0005-0000-0000-00000A000000}"/>
    <cellStyle name="Normal 4" xfId="6" xr:uid="{00000000-0005-0000-0000-00000B000000}"/>
    <cellStyle name="Normal 5" xfId="3" xr:uid="{00000000-0005-0000-0000-00000C000000}"/>
    <cellStyle name="Normal 6" xfId="14" xr:uid="{00000000-0005-0000-0000-00000D000000}"/>
    <cellStyle name="Normal 7" xfId="9" xr:uid="{00000000-0005-0000-0000-00000E000000}"/>
    <cellStyle name="Percent" xfId="1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O287"/>
  <sheetViews>
    <sheetView topLeftCell="C1" zoomScale="40" zoomScaleNormal="40" workbookViewId="0">
      <selection activeCell="D56" sqref="D56:D61"/>
    </sheetView>
  </sheetViews>
  <sheetFormatPr defaultColWidth="9.1796875" defaultRowHeight="14.5"/>
  <cols>
    <col min="1" max="1" width="32.1796875" style="1" customWidth="1"/>
    <col min="2" max="2" width="37.81640625" style="11" customWidth="1"/>
    <col min="3" max="3" width="53.81640625" style="11" customWidth="1"/>
    <col min="4" max="4" width="60.1796875" style="1" customWidth="1"/>
    <col min="5" max="6" width="10.1796875" style="11" customWidth="1"/>
    <col min="7" max="7" width="40" style="11" customWidth="1"/>
    <col min="8" max="8" width="22.54296875" style="11" customWidth="1"/>
    <col min="9" max="9" width="17.81640625" style="11" customWidth="1"/>
    <col min="10" max="13" width="18" style="11" customWidth="1"/>
    <col min="14" max="14" width="16.81640625" style="11" customWidth="1"/>
    <col min="15" max="15" width="17.1796875" style="11" customWidth="1"/>
    <col min="16" max="16" width="19.1796875" style="9" bestFit="1" customWidth="1"/>
    <col min="17" max="17" width="19.1796875" style="9" customWidth="1"/>
    <col min="18" max="18" width="22.54296875" style="11" customWidth="1"/>
    <col min="19" max="19" width="17.1796875" style="11" customWidth="1"/>
    <col min="20" max="20" width="12.1796875" style="11" customWidth="1"/>
    <col min="21" max="21" width="18.453125" style="11" customWidth="1"/>
    <col min="22" max="27" width="0" style="11" hidden="1" customWidth="1"/>
    <col min="28" max="28" width="35.7265625" style="11" customWidth="1"/>
    <col min="29" max="30" width="14.7265625" style="11" customWidth="1"/>
    <col min="31" max="31" width="15.453125" style="11" customWidth="1"/>
    <col min="32" max="32" width="16.26953125" style="11" customWidth="1"/>
    <col min="33" max="33" width="14" style="11" customWidth="1"/>
    <col min="34" max="34" width="9.1796875" style="11"/>
    <col min="35" max="35" width="15.7265625" style="11" customWidth="1"/>
    <col min="36" max="36" width="22" style="11" customWidth="1"/>
    <col min="37" max="16384" width="9.1796875" style="11"/>
  </cols>
  <sheetData>
    <row r="1" spans="1:20" ht="18.5">
      <c r="B1" s="341" t="s">
        <v>0</v>
      </c>
    </row>
    <row r="2" spans="1:20" ht="29">
      <c r="B2" s="341" t="s">
        <v>1</v>
      </c>
      <c r="O2" s="145"/>
      <c r="Q2" s="9" t="s">
        <v>2</v>
      </c>
      <c r="R2" s="280" t="s">
        <v>3</v>
      </c>
      <c r="S2" s="280" t="s">
        <v>4</v>
      </c>
      <c r="T2" s="280" t="s">
        <v>5</v>
      </c>
    </row>
    <row r="3" spans="1:20">
      <c r="I3" s="145"/>
      <c r="J3" s="145"/>
      <c r="K3" s="145"/>
      <c r="L3" s="145"/>
      <c r="M3" s="145"/>
      <c r="N3" s="145"/>
      <c r="O3" s="145"/>
      <c r="P3" s="145"/>
      <c r="Q3" s="145"/>
    </row>
    <row r="4" spans="1:20" s="9" customFormat="1" ht="29">
      <c r="A4" s="354" t="s">
        <v>6</v>
      </c>
      <c r="B4" s="400" t="s">
        <v>7</v>
      </c>
      <c r="C4" s="362" t="s">
        <v>8</v>
      </c>
      <c r="D4" s="362" t="s">
        <v>9</v>
      </c>
      <c r="E4" s="362" t="s">
        <v>10</v>
      </c>
      <c r="F4" s="362" t="s">
        <v>11</v>
      </c>
      <c r="G4" s="362" t="s">
        <v>12</v>
      </c>
      <c r="H4" s="362" t="s">
        <v>13</v>
      </c>
      <c r="I4" s="363" t="s">
        <v>14</v>
      </c>
      <c r="J4" s="363" t="s">
        <v>15</v>
      </c>
      <c r="K4" s="363" t="s">
        <v>16</v>
      </c>
      <c r="L4" s="363" t="s">
        <v>17</v>
      </c>
      <c r="M4" s="363" t="s">
        <v>18</v>
      </c>
      <c r="N4" s="363" t="s">
        <v>19</v>
      </c>
      <c r="O4" s="361" t="s">
        <v>20</v>
      </c>
      <c r="P4" s="364" t="s">
        <v>21</v>
      </c>
      <c r="Q4" s="296"/>
    </row>
    <row r="5" spans="1:20" ht="42" customHeight="1">
      <c r="A5" s="463" t="s">
        <v>22</v>
      </c>
      <c r="B5" s="469" t="s">
        <v>23</v>
      </c>
      <c r="C5" s="464" t="s">
        <v>24</v>
      </c>
      <c r="D5" s="464" t="s">
        <v>25</v>
      </c>
      <c r="E5" s="383" t="s">
        <v>26</v>
      </c>
      <c r="F5" s="383" t="s">
        <v>27</v>
      </c>
      <c r="G5" s="342" t="s">
        <v>28</v>
      </c>
      <c r="H5" s="293" t="s">
        <v>29</v>
      </c>
      <c r="I5" s="133">
        <f>'Notes and Assumptions'!G3</f>
        <v>57358</v>
      </c>
      <c r="J5" s="133">
        <f>'Notes and Assumptions'!H3</f>
        <v>57358</v>
      </c>
      <c r="K5" s="133">
        <f>'Notes and Assumptions'!I3</f>
        <v>57358</v>
      </c>
      <c r="L5" s="133">
        <f>'Notes and Assumptions'!J3</f>
        <v>57358</v>
      </c>
      <c r="M5" s="133">
        <f>'Notes and Assumptions'!K3</f>
        <v>57358</v>
      </c>
      <c r="N5" s="133">
        <f>'Notes and Assumptions'!L3</f>
        <v>0</v>
      </c>
      <c r="O5" s="133">
        <f>'Notes and Assumptions'!M3</f>
        <v>0</v>
      </c>
      <c r="P5" s="134">
        <f t="shared" ref="P5:P11" si="0">SUM(I5:O5)</f>
        <v>286790</v>
      </c>
      <c r="Q5" s="153"/>
      <c r="R5" s="135"/>
      <c r="S5" s="135"/>
      <c r="T5" s="11">
        <v>2.1</v>
      </c>
    </row>
    <row r="6" spans="1:20">
      <c r="A6" s="463"/>
      <c r="B6" s="469"/>
      <c r="C6" s="464"/>
      <c r="D6" s="465"/>
      <c r="E6" s="383" t="s">
        <v>26</v>
      </c>
      <c r="F6" s="383" t="s">
        <v>27</v>
      </c>
      <c r="G6" s="342" t="s">
        <v>30</v>
      </c>
      <c r="H6" s="293" t="s">
        <v>31</v>
      </c>
      <c r="I6" s="133">
        <f>'Notes and Assumptions'!G4</f>
        <v>96000</v>
      </c>
      <c r="J6" s="133">
        <f>'Notes and Assumptions'!H4</f>
        <v>0</v>
      </c>
      <c r="K6" s="133">
        <f>'Notes and Assumptions'!I4</f>
        <v>0</v>
      </c>
      <c r="L6" s="133">
        <f>'Notes and Assumptions'!J4</f>
        <v>0</v>
      </c>
      <c r="M6" s="133">
        <f>'Notes and Assumptions'!K4</f>
        <v>0</v>
      </c>
      <c r="N6" s="133">
        <f>'Notes and Assumptions'!L4</f>
        <v>0</v>
      </c>
      <c r="O6" s="133">
        <f>'Notes and Assumptions'!M4</f>
        <v>0</v>
      </c>
      <c r="P6" s="134">
        <f t="shared" si="0"/>
        <v>96000</v>
      </c>
      <c r="Q6" s="153"/>
      <c r="R6" s="135"/>
      <c r="S6" s="135"/>
      <c r="T6" s="11">
        <v>2.1</v>
      </c>
    </row>
    <row r="7" spans="1:20">
      <c r="A7" s="463"/>
      <c r="B7" s="469"/>
      <c r="C7" s="464"/>
      <c r="D7" s="465"/>
      <c r="E7" s="383" t="s">
        <v>26</v>
      </c>
      <c r="F7" s="383" t="s">
        <v>27</v>
      </c>
      <c r="G7" s="113" t="s">
        <v>32</v>
      </c>
      <c r="H7" s="293" t="s">
        <v>33</v>
      </c>
      <c r="I7" s="133">
        <f>'Notes and Assumptions'!G5</f>
        <v>72000</v>
      </c>
      <c r="J7" s="133">
        <f>'Notes and Assumptions'!H5</f>
        <v>0</v>
      </c>
      <c r="K7" s="133">
        <f>'Notes and Assumptions'!I5</f>
        <v>0</v>
      </c>
      <c r="L7" s="133">
        <f>'Notes and Assumptions'!J5</f>
        <v>0</v>
      </c>
      <c r="M7" s="133">
        <f>'Notes and Assumptions'!K5</f>
        <v>0</v>
      </c>
      <c r="N7" s="133">
        <f>'Notes and Assumptions'!L5</f>
        <v>0</v>
      </c>
      <c r="O7" s="133">
        <f>'Notes and Assumptions'!M5</f>
        <v>0</v>
      </c>
      <c r="P7" s="134">
        <f t="shared" si="0"/>
        <v>72000</v>
      </c>
      <c r="Q7" s="153"/>
      <c r="R7" s="135"/>
      <c r="S7" s="135"/>
      <c r="T7" s="11">
        <v>2.1</v>
      </c>
    </row>
    <row r="8" spans="1:20">
      <c r="A8" s="463"/>
      <c r="B8" s="469"/>
      <c r="C8" s="464"/>
      <c r="D8" s="465"/>
      <c r="E8" s="383" t="s">
        <v>26</v>
      </c>
      <c r="F8" s="383" t="s">
        <v>27</v>
      </c>
      <c r="G8" s="342" t="s">
        <v>34</v>
      </c>
      <c r="H8" s="293" t="s">
        <v>35</v>
      </c>
      <c r="I8" s="133">
        <f>'Notes and Assumptions'!G6</f>
        <v>19200</v>
      </c>
      <c r="J8" s="133">
        <f>'Notes and Assumptions'!H6</f>
        <v>0</v>
      </c>
      <c r="K8" s="133">
        <f>'Notes and Assumptions'!I6</f>
        <v>0</v>
      </c>
      <c r="L8" s="133">
        <f>'Notes and Assumptions'!J6</f>
        <v>0</v>
      </c>
      <c r="M8" s="133">
        <f>'Notes and Assumptions'!K6</f>
        <v>0</v>
      </c>
      <c r="N8" s="133">
        <f>'Notes and Assumptions'!L6</f>
        <v>0</v>
      </c>
      <c r="O8" s="133">
        <f>'Notes and Assumptions'!M6</f>
        <v>0</v>
      </c>
      <c r="P8" s="134">
        <f t="shared" si="0"/>
        <v>19200</v>
      </c>
      <c r="Q8" s="153"/>
      <c r="R8" s="135"/>
      <c r="S8" s="135"/>
      <c r="T8" s="11">
        <v>2.1</v>
      </c>
    </row>
    <row r="9" spans="1:20">
      <c r="A9" s="463"/>
      <c r="B9" s="469"/>
      <c r="C9" s="464"/>
      <c r="D9" s="465"/>
      <c r="E9" s="383" t="s">
        <v>26</v>
      </c>
      <c r="F9" s="383" t="s">
        <v>27</v>
      </c>
      <c r="G9" s="342" t="s">
        <v>34</v>
      </c>
      <c r="H9" s="293" t="s">
        <v>36</v>
      </c>
      <c r="I9" s="133">
        <f>'Notes and Assumptions'!G7</f>
        <v>31050</v>
      </c>
      <c r="J9" s="133">
        <f>'Notes and Assumptions'!H7</f>
        <v>0</v>
      </c>
      <c r="K9" s="133">
        <f>'Notes and Assumptions'!I7</f>
        <v>0</v>
      </c>
      <c r="L9" s="133">
        <f>'Notes and Assumptions'!J7</f>
        <v>0</v>
      </c>
      <c r="M9" s="133">
        <f>'Notes and Assumptions'!K7</f>
        <v>0</v>
      </c>
      <c r="N9" s="133">
        <f>'Notes and Assumptions'!L7</f>
        <v>0</v>
      </c>
      <c r="O9" s="133">
        <f>'Notes and Assumptions'!M7</f>
        <v>0</v>
      </c>
      <c r="P9" s="134">
        <f t="shared" si="0"/>
        <v>31050</v>
      </c>
      <c r="Q9" s="153"/>
      <c r="R9" s="135"/>
      <c r="S9" s="135"/>
      <c r="T9" s="11">
        <v>2.1</v>
      </c>
    </row>
    <row r="10" spans="1:20">
      <c r="A10" s="463"/>
      <c r="B10" s="469"/>
      <c r="C10" s="464"/>
      <c r="D10" s="465"/>
      <c r="E10" s="383" t="s">
        <v>37</v>
      </c>
      <c r="F10" s="383" t="s">
        <v>27</v>
      </c>
      <c r="G10" s="342" t="s">
        <v>38</v>
      </c>
      <c r="H10" s="293" t="s">
        <v>39</v>
      </c>
      <c r="I10" s="133">
        <f>'Co-financing Summary'!D15/2</f>
        <v>44486.476164151078</v>
      </c>
      <c r="K10" s="133">
        <f>'Notes and Assumptions'!I9</f>
        <v>0</v>
      </c>
      <c r="L10" s="133">
        <f>'Notes and Assumptions'!J9</f>
        <v>0</v>
      </c>
      <c r="M10" s="133">
        <f>'Notes and Assumptions'!K9</f>
        <v>0</v>
      </c>
      <c r="N10" s="133">
        <f>'Notes and Assumptions'!L9</f>
        <v>0</v>
      </c>
      <c r="O10" s="133">
        <f>'Notes and Assumptions'!M9</f>
        <v>0</v>
      </c>
      <c r="P10" s="134">
        <f t="shared" si="0"/>
        <v>44486.476164151078</v>
      </c>
      <c r="Q10" s="153"/>
      <c r="R10" s="135"/>
      <c r="S10" s="135"/>
      <c r="T10" s="11">
        <v>2.1</v>
      </c>
    </row>
    <row r="11" spans="1:20">
      <c r="A11" s="463"/>
      <c r="B11" s="469"/>
      <c r="C11" s="464"/>
      <c r="D11" s="466"/>
      <c r="E11" s="383" t="s">
        <v>26</v>
      </c>
      <c r="F11" s="383" t="s">
        <v>27</v>
      </c>
      <c r="G11" s="114" t="s">
        <v>40</v>
      </c>
      <c r="H11" s="293" t="s">
        <v>41</v>
      </c>
      <c r="I11" s="133">
        <f>'Notes and Assumptions'!$G$9</f>
        <v>120000</v>
      </c>
      <c r="J11" s="133">
        <f>'Notes and Assumptions'!H9</f>
        <v>0</v>
      </c>
      <c r="K11" s="133">
        <f>'Notes and Assumptions'!I9</f>
        <v>0</v>
      </c>
      <c r="L11" s="133">
        <f>'Notes and Assumptions'!J9</f>
        <v>0</v>
      </c>
      <c r="M11" s="133">
        <f>'Notes and Assumptions'!K9</f>
        <v>0</v>
      </c>
      <c r="N11" s="133">
        <f>'Notes and Assumptions'!L9</f>
        <v>0</v>
      </c>
      <c r="O11" s="133">
        <f>'Notes and Assumptions'!M9</f>
        <v>0</v>
      </c>
      <c r="P11" s="134">
        <f t="shared" si="0"/>
        <v>120000</v>
      </c>
      <c r="Q11" s="153"/>
      <c r="R11" s="135"/>
      <c r="S11" s="135"/>
      <c r="T11" s="11">
        <v>2.1</v>
      </c>
    </row>
    <row r="12" spans="1:20" ht="32.15" customHeight="1">
      <c r="A12" s="463"/>
      <c r="B12" s="469"/>
      <c r="C12" s="464"/>
      <c r="D12" s="464" t="s">
        <v>42</v>
      </c>
      <c r="E12" s="383" t="s">
        <v>26</v>
      </c>
      <c r="F12" s="383" t="s">
        <v>27</v>
      </c>
      <c r="G12" s="342" t="s">
        <v>43</v>
      </c>
      <c r="H12" s="293" t="s">
        <v>44</v>
      </c>
      <c r="I12" s="133">
        <f>'Notes and Assumptions'!G10</f>
        <v>0</v>
      </c>
      <c r="J12" s="133">
        <f>'Notes and Assumptions'!H10</f>
        <v>0</v>
      </c>
      <c r="K12" s="133">
        <f>'Notes and Assumptions'!I10</f>
        <v>0</v>
      </c>
      <c r="L12" s="133">
        <f>'Notes and Assumptions'!J10</f>
        <v>0</v>
      </c>
      <c r="M12" s="133">
        <f>'Notes and Assumptions'!K10</f>
        <v>0</v>
      </c>
      <c r="N12" s="133">
        <f>'Notes and Assumptions'!L10</f>
        <v>0</v>
      </c>
      <c r="O12" s="133">
        <f>'Notes and Assumptions'!M10</f>
        <v>0</v>
      </c>
      <c r="P12" s="134">
        <f t="shared" ref="P12:P18" si="1">SUM(I12:O12)</f>
        <v>0</v>
      </c>
      <c r="Q12" s="153"/>
      <c r="R12" s="135"/>
      <c r="S12" s="135"/>
      <c r="T12" s="11">
        <v>2.1</v>
      </c>
    </row>
    <row r="13" spans="1:20">
      <c r="A13" s="463"/>
      <c r="B13" s="469"/>
      <c r="C13" s="464"/>
      <c r="D13" s="465"/>
      <c r="E13" s="383" t="s">
        <v>26</v>
      </c>
      <c r="F13" s="383" t="s">
        <v>27</v>
      </c>
      <c r="G13" s="342" t="s">
        <v>30</v>
      </c>
      <c r="H13" s="293" t="s">
        <v>45</v>
      </c>
      <c r="I13" s="133">
        <f>'Notes and Assumptions'!G11</f>
        <v>0</v>
      </c>
      <c r="J13" s="133">
        <f>'Notes and Assumptions'!H11</f>
        <v>96000</v>
      </c>
      <c r="K13" s="133">
        <f>'Notes and Assumptions'!I11</f>
        <v>0</v>
      </c>
      <c r="L13" s="133">
        <f>'Notes and Assumptions'!J11</f>
        <v>0</v>
      </c>
      <c r="M13" s="133">
        <f>'Notes and Assumptions'!K11</f>
        <v>0</v>
      </c>
      <c r="N13" s="133">
        <f>'Notes and Assumptions'!L11</f>
        <v>0</v>
      </c>
      <c r="O13" s="133">
        <f>'Notes and Assumptions'!M11</f>
        <v>0</v>
      </c>
      <c r="P13" s="134">
        <f t="shared" si="1"/>
        <v>96000</v>
      </c>
      <c r="Q13" s="153"/>
      <c r="R13" s="135"/>
      <c r="S13" s="135"/>
      <c r="T13" s="11">
        <v>2.1</v>
      </c>
    </row>
    <row r="14" spans="1:20">
      <c r="A14" s="463"/>
      <c r="B14" s="469"/>
      <c r="C14" s="464"/>
      <c r="D14" s="465"/>
      <c r="E14" s="383" t="s">
        <v>26</v>
      </c>
      <c r="F14" s="383" t="s">
        <v>27</v>
      </c>
      <c r="G14" s="113" t="s">
        <v>32</v>
      </c>
      <c r="H14" s="293" t="s">
        <v>46</v>
      </c>
      <c r="I14" s="133">
        <f>'Notes and Assumptions'!G12</f>
        <v>0</v>
      </c>
      <c r="J14" s="133">
        <f>'Notes and Assumptions'!H12</f>
        <v>24000</v>
      </c>
      <c r="K14" s="133">
        <f>'Notes and Assumptions'!I12</f>
        <v>0</v>
      </c>
      <c r="L14" s="133">
        <f>'Notes and Assumptions'!J12</f>
        <v>0</v>
      </c>
      <c r="M14" s="133">
        <f>'Notes and Assumptions'!K12</f>
        <v>0</v>
      </c>
      <c r="N14" s="133">
        <f>'Notes and Assumptions'!L12</f>
        <v>0</v>
      </c>
      <c r="O14" s="133">
        <f>'Notes and Assumptions'!M12</f>
        <v>0</v>
      </c>
      <c r="P14" s="134">
        <f t="shared" si="1"/>
        <v>24000</v>
      </c>
      <c r="Q14" s="153"/>
      <c r="R14" s="135"/>
      <c r="S14" s="135"/>
      <c r="T14" s="11">
        <v>2.1</v>
      </c>
    </row>
    <row r="15" spans="1:20">
      <c r="A15" s="463"/>
      <c r="B15" s="469"/>
      <c r="C15" s="464"/>
      <c r="D15" s="465"/>
      <c r="E15" s="383" t="s">
        <v>26</v>
      </c>
      <c r="F15" s="383" t="s">
        <v>27</v>
      </c>
      <c r="G15" s="342" t="s">
        <v>34</v>
      </c>
      <c r="H15" s="293" t="s">
        <v>47</v>
      </c>
      <c r="I15" s="133">
        <f>'Notes and Assumptions'!G13</f>
        <v>0</v>
      </c>
      <c r="J15" s="133">
        <f>'Notes and Assumptions'!H13</f>
        <v>19200</v>
      </c>
      <c r="K15" s="133">
        <f>'Notes and Assumptions'!I13</f>
        <v>0</v>
      </c>
      <c r="L15" s="133">
        <f>'Notes and Assumptions'!J13</f>
        <v>0</v>
      </c>
      <c r="M15" s="133">
        <f>'Notes and Assumptions'!K13</f>
        <v>0</v>
      </c>
      <c r="N15" s="133">
        <f>'Notes and Assumptions'!L13</f>
        <v>0</v>
      </c>
      <c r="O15" s="133">
        <f>'Notes and Assumptions'!M13</f>
        <v>0</v>
      </c>
      <c r="P15" s="134">
        <f t="shared" si="1"/>
        <v>19200</v>
      </c>
      <c r="Q15" s="153"/>
      <c r="R15" s="135"/>
      <c r="S15" s="135"/>
      <c r="T15" s="11">
        <v>2.1</v>
      </c>
    </row>
    <row r="16" spans="1:20" ht="30" customHeight="1">
      <c r="A16" s="463"/>
      <c r="B16" s="469"/>
      <c r="C16" s="464"/>
      <c r="D16" s="465"/>
      <c r="E16" s="383" t="s">
        <v>26</v>
      </c>
      <c r="F16" s="383" t="s">
        <v>27</v>
      </c>
      <c r="G16" s="342" t="s">
        <v>34</v>
      </c>
      <c r="H16" s="293" t="s">
        <v>48</v>
      </c>
      <c r="I16" s="133">
        <f>'Notes and Assumptions'!G14</f>
        <v>0</v>
      </c>
      <c r="J16" s="133">
        <f>'Notes and Assumptions'!H14</f>
        <v>31050</v>
      </c>
      <c r="K16" s="133">
        <f>'Notes and Assumptions'!I14</f>
        <v>0</v>
      </c>
      <c r="L16" s="133">
        <f>'Notes and Assumptions'!J14</f>
        <v>0</v>
      </c>
      <c r="M16" s="133">
        <f>'Notes and Assumptions'!K14</f>
        <v>0</v>
      </c>
      <c r="N16" s="133">
        <f>'Notes and Assumptions'!L14</f>
        <v>0</v>
      </c>
      <c r="O16" s="133">
        <f>'Notes and Assumptions'!M14</f>
        <v>0</v>
      </c>
      <c r="P16" s="134">
        <f t="shared" si="1"/>
        <v>31050</v>
      </c>
      <c r="Q16" s="153"/>
      <c r="R16" s="135"/>
      <c r="S16" s="135"/>
      <c r="T16" s="11">
        <v>2.1</v>
      </c>
    </row>
    <row r="17" spans="1:20">
      <c r="A17" s="463"/>
      <c r="B17" s="469"/>
      <c r="C17" s="464"/>
      <c r="D17" s="465"/>
      <c r="E17" s="383" t="s">
        <v>37</v>
      </c>
      <c r="F17" s="383" t="s">
        <v>27</v>
      </c>
      <c r="G17" s="342" t="s">
        <v>38</v>
      </c>
      <c r="H17" s="293" t="s">
        <v>49</v>
      </c>
      <c r="I17" s="133">
        <f>'Notes and Assumptions'!G15</f>
        <v>0</v>
      </c>
      <c r="J17" s="133">
        <f>'Co-financing Summary'!D15/2</f>
        <v>44486.476164151078</v>
      </c>
      <c r="K17" s="133">
        <f>'Notes and Assumptions'!I15</f>
        <v>0</v>
      </c>
      <c r="L17" s="133">
        <f>'Notes and Assumptions'!J15</f>
        <v>0</v>
      </c>
      <c r="M17" s="133">
        <f>'Notes and Assumptions'!K15</f>
        <v>0</v>
      </c>
      <c r="N17" s="133">
        <f>'Notes and Assumptions'!L15</f>
        <v>0</v>
      </c>
      <c r="O17" s="133">
        <f>'Notes and Assumptions'!M15</f>
        <v>0</v>
      </c>
      <c r="P17" s="134">
        <f t="shared" si="1"/>
        <v>44486.476164151078</v>
      </c>
      <c r="Q17" s="153"/>
      <c r="R17" s="135"/>
      <c r="S17" s="135"/>
      <c r="T17" s="11">
        <v>2.1</v>
      </c>
    </row>
    <row r="18" spans="1:20">
      <c r="A18" s="463"/>
      <c r="B18" s="469"/>
      <c r="C18" s="464"/>
      <c r="D18" s="466"/>
      <c r="E18" s="383" t="s">
        <v>26</v>
      </c>
      <c r="F18" s="383" t="s">
        <v>27</v>
      </c>
      <c r="G18" s="114" t="s">
        <v>40</v>
      </c>
      <c r="H18" s="293" t="s">
        <v>50</v>
      </c>
      <c r="I18" s="133">
        <f>'Notes and Assumptions'!G16</f>
        <v>0</v>
      </c>
      <c r="J18" s="133">
        <f>'Notes and Assumptions'!H16</f>
        <v>60000</v>
      </c>
      <c r="K18" s="133">
        <f>'Notes and Assumptions'!I16</f>
        <v>0</v>
      </c>
      <c r="L18" s="133">
        <f>'Notes and Assumptions'!J16</f>
        <v>0</v>
      </c>
      <c r="M18" s="133">
        <f>'Notes and Assumptions'!K16</f>
        <v>0</v>
      </c>
      <c r="N18" s="133">
        <f>'Notes and Assumptions'!L16</f>
        <v>0</v>
      </c>
      <c r="O18" s="133">
        <f>'Notes and Assumptions'!M16</f>
        <v>0</v>
      </c>
      <c r="P18" s="134">
        <f t="shared" si="1"/>
        <v>60000</v>
      </c>
      <c r="Q18" s="153"/>
      <c r="R18" s="135"/>
      <c r="S18" s="135"/>
      <c r="T18" s="11">
        <v>2.1</v>
      </c>
    </row>
    <row r="19" spans="1:20">
      <c r="A19" s="463"/>
      <c r="B19" s="469"/>
      <c r="C19" s="401"/>
      <c r="D19" s="349"/>
      <c r="E19" s="383"/>
      <c r="F19" s="404"/>
      <c r="G19" s="402"/>
      <c r="H19" s="293"/>
      <c r="I19" s="133"/>
      <c r="J19" s="133"/>
      <c r="K19" s="133"/>
      <c r="L19" s="133"/>
      <c r="M19" s="133"/>
      <c r="N19" s="133"/>
      <c r="O19" s="133"/>
      <c r="P19" s="134"/>
      <c r="Q19" s="153">
        <f>SUM(P5:P18)</f>
        <v>944262.9523283022</v>
      </c>
      <c r="R19" s="153">
        <f>SUMIF(E5:E18,"GCF",P5:P18)</f>
        <v>855290</v>
      </c>
      <c r="S19" s="153">
        <f>SUMIF(E5:E18,"GoG",P5:P18)</f>
        <v>88972.952328302155</v>
      </c>
      <c r="T19" s="11">
        <v>2.1</v>
      </c>
    </row>
    <row r="20" spans="1:20" ht="30" customHeight="1">
      <c r="A20" s="463"/>
      <c r="B20" s="469"/>
      <c r="C20" s="464" t="s">
        <v>51</v>
      </c>
      <c r="D20" s="464" t="s">
        <v>52</v>
      </c>
      <c r="E20" s="383" t="s">
        <v>26</v>
      </c>
      <c r="F20" s="383" t="s">
        <v>27</v>
      </c>
      <c r="G20" s="342" t="s">
        <v>40</v>
      </c>
      <c r="H20" s="113" t="s">
        <v>53</v>
      </c>
      <c r="I20" s="133">
        <f>'Notes and Assumptions'!G17</f>
        <v>3598000</v>
      </c>
      <c r="J20" s="133">
        <f>'Notes and Assumptions'!H17</f>
        <v>3598000</v>
      </c>
      <c r="K20" s="133">
        <f>'Notes and Assumptions'!I17</f>
        <v>1799000</v>
      </c>
      <c r="L20" s="133">
        <f>'Notes and Assumptions'!J17</f>
        <v>0</v>
      </c>
      <c r="M20" s="133">
        <f>'Notes and Assumptions'!K17</f>
        <v>0</v>
      </c>
      <c r="N20" s="133">
        <f>'Notes and Assumptions'!L17</f>
        <v>0</v>
      </c>
      <c r="O20" s="133">
        <f>'Notes and Assumptions'!M17</f>
        <v>0</v>
      </c>
      <c r="P20" s="134">
        <f t="shared" ref="P20:P27" si="2">SUM(I20:O20)</f>
        <v>8995000</v>
      </c>
      <c r="Q20" s="153"/>
      <c r="R20" s="135"/>
      <c r="S20" s="135"/>
      <c r="T20" s="11">
        <v>2.2000000000000002</v>
      </c>
    </row>
    <row r="21" spans="1:20">
      <c r="A21" s="463"/>
      <c r="B21" s="469"/>
      <c r="C21" s="464"/>
      <c r="D21" s="465"/>
      <c r="E21" s="383" t="s">
        <v>26</v>
      </c>
      <c r="F21" s="383" t="s">
        <v>27</v>
      </c>
      <c r="G21" s="342" t="s">
        <v>34</v>
      </c>
      <c r="H21" s="113" t="s">
        <v>54</v>
      </c>
      <c r="I21" s="133">
        <f>'Notes and Assumptions'!G18</f>
        <v>12800</v>
      </c>
      <c r="J21" s="133">
        <f>'Notes and Assumptions'!H18</f>
        <v>12800</v>
      </c>
      <c r="K21" s="133">
        <f>'Notes and Assumptions'!I18</f>
        <v>12800</v>
      </c>
      <c r="L21" s="133">
        <f>'Notes and Assumptions'!J18</f>
        <v>12800</v>
      </c>
      <c r="M21" s="133">
        <f>'Notes and Assumptions'!K18</f>
        <v>12800</v>
      </c>
      <c r="N21" s="133">
        <f>'Notes and Assumptions'!L18</f>
        <v>0</v>
      </c>
      <c r="O21" s="133">
        <f>'Notes and Assumptions'!M18</f>
        <v>0</v>
      </c>
      <c r="P21" s="134">
        <f t="shared" si="2"/>
        <v>64000</v>
      </c>
      <c r="Q21" s="153"/>
      <c r="R21" s="135"/>
      <c r="S21" s="135"/>
      <c r="T21" s="11">
        <v>2.2000000000000002</v>
      </c>
    </row>
    <row r="22" spans="1:20">
      <c r="A22" s="463"/>
      <c r="B22" s="469"/>
      <c r="C22" s="464"/>
      <c r="D22" s="465"/>
      <c r="E22" s="383" t="s">
        <v>26</v>
      </c>
      <c r="F22" s="383" t="s">
        <v>27</v>
      </c>
      <c r="G22" s="113" t="s">
        <v>32</v>
      </c>
      <c r="H22" s="113" t="s">
        <v>55</v>
      </c>
      <c r="I22" s="133">
        <f>'Notes and Assumptions'!G19</f>
        <v>9600</v>
      </c>
      <c r="J22" s="133">
        <f>'Notes and Assumptions'!H19</f>
        <v>9600</v>
      </c>
      <c r="K22" s="133">
        <f>'Notes and Assumptions'!I19</f>
        <v>9600</v>
      </c>
      <c r="L22" s="133">
        <f>'Notes and Assumptions'!J19</f>
        <v>9600</v>
      </c>
      <c r="M22" s="133">
        <f>'Notes and Assumptions'!K19</f>
        <v>9600</v>
      </c>
      <c r="N22" s="133">
        <f>'Notes and Assumptions'!L19</f>
        <v>0</v>
      </c>
      <c r="O22" s="133">
        <f>'Notes and Assumptions'!M19</f>
        <v>0</v>
      </c>
      <c r="P22" s="134">
        <f t="shared" si="2"/>
        <v>48000</v>
      </c>
      <c r="Q22" s="153"/>
      <c r="R22" s="135"/>
      <c r="S22" s="135"/>
      <c r="T22" s="11">
        <v>2.2000000000000002</v>
      </c>
    </row>
    <row r="23" spans="1:20">
      <c r="A23" s="463"/>
      <c r="B23" s="469"/>
      <c r="C23" s="464"/>
      <c r="D23" s="465"/>
      <c r="E23" s="383" t="s">
        <v>37</v>
      </c>
      <c r="F23" s="383" t="s">
        <v>27</v>
      </c>
      <c r="G23" s="114" t="s">
        <v>38</v>
      </c>
      <c r="H23" s="113" t="s">
        <v>56</v>
      </c>
      <c r="I23" s="133">
        <f>'Co-financing Summary'!D16/7</f>
        <v>167796.54180438258</v>
      </c>
      <c r="J23" s="133">
        <f>'Co-financing Summary'!D16/7</f>
        <v>167796.54180438258</v>
      </c>
      <c r="K23" s="133">
        <f>'Co-financing Summary'!D16/7</f>
        <v>167796.54180438258</v>
      </c>
      <c r="L23" s="133">
        <f>'Co-financing Summary'!D16/7</f>
        <v>167796.54180438258</v>
      </c>
      <c r="M23" s="133">
        <f>'Co-financing Summary'!D16/7</f>
        <v>167796.54180438258</v>
      </c>
      <c r="N23" s="133">
        <f>'Co-financing Summary'!D16/7</f>
        <v>167796.54180438258</v>
      </c>
      <c r="O23" s="133">
        <f>'Co-financing Summary'!D16/7</f>
        <v>167796.54180438258</v>
      </c>
      <c r="P23" s="134">
        <f t="shared" si="2"/>
        <v>1174575.792630678</v>
      </c>
      <c r="Q23" s="153"/>
      <c r="R23" s="135"/>
      <c r="S23" s="135"/>
      <c r="T23" s="11">
        <v>2.2000000000000002</v>
      </c>
    </row>
    <row r="24" spans="1:20">
      <c r="A24" s="463"/>
      <c r="B24" s="469"/>
      <c r="C24" s="464"/>
      <c r="D24" s="465"/>
      <c r="E24" s="383" t="s">
        <v>57</v>
      </c>
      <c r="F24" s="383" t="s">
        <v>27</v>
      </c>
      <c r="G24" s="114" t="s">
        <v>59</v>
      </c>
      <c r="H24" s="113" t="s">
        <v>60</v>
      </c>
      <c r="I24" s="133">
        <f>'Co-financing Summary'!$D$17/7</f>
        <v>71428.499999999985</v>
      </c>
      <c r="J24" s="133">
        <f>'Co-financing Summary'!$D$17/7</f>
        <v>71428.499999999985</v>
      </c>
      <c r="K24" s="133">
        <f>'Co-financing Summary'!$D$17/7</f>
        <v>71428.499999999985</v>
      </c>
      <c r="L24" s="133">
        <f>'Co-financing Summary'!$D$17/7</f>
        <v>71428.499999999985</v>
      </c>
      <c r="M24" s="133">
        <f>'Co-financing Summary'!$D$17/7</f>
        <v>71428.499999999985</v>
      </c>
      <c r="N24" s="133">
        <f>'Co-financing Summary'!$D$17/7</f>
        <v>71428.499999999985</v>
      </c>
      <c r="O24" s="133">
        <f>'Co-financing Summary'!$D$17/7</f>
        <v>71428.499999999985</v>
      </c>
      <c r="P24" s="134">
        <f t="shared" si="2"/>
        <v>499999.49999999994</v>
      </c>
      <c r="Q24" s="153"/>
      <c r="R24" s="135"/>
      <c r="S24" s="135"/>
    </row>
    <row r="25" spans="1:20" ht="30" customHeight="1">
      <c r="A25" s="463"/>
      <c r="B25" s="469"/>
      <c r="C25" s="464"/>
      <c r="D25" s="465"/>
      <c r="E25" s="383" t="s">
        <v>26</v>
      </c>
      <c r="F25" s="383" t="s">
        <v>27</v>
      </c>
      <c r="G25" s="342" t="s">
        <v>43</v>
      </c>
      <c r="H25" s="113" t="s">
        <v>61</v>
      </c>
      <c r="I25" s="133">
        <f>'Notes and Assumptions'!G22</f>
        <v>60000</v>
      </c>
      <c r="J25" s="133">
        <f>'Notes and Assumptions'!H22</f>
        <v>60000</v>
      </c>
      <c r="K25" s="133">
        <f>'Notes and Assumptions'!I22</f>
        <v>60000</v>
      </c>
      <c r="L25" s="133">
        <f>'Notes and Assumptions'!J22</f>
        <v>60000</v>
      </c>
      <c r="M25" s="133">
        <f>'Notes and Assumptions'!K22</f>
        <v>60000</v>
      </c>
      <c r="N25" s="133">
        <f>'Notes and Assumptions'!L22</f>
        <v>0</v>
      </c>
      <c r="O25" s="133">
        <f>'Notes and Assumptions'!M22</f>
        <v>0</v>
      </c>
      <c r="P25" s="134">
        <f t="shared" si="2"/>
        <v>300000</v>
      </c>
      <c r="Q25" s="153"/>
      <c r="R25" s="135"/>
      <c r="S25" s="135"/>
      <c r="T25" s="11">
        <v>2.2000000000000002</v>
      </c>
    </row>
    <row r="26" spans="1:20">
      <c r="A26" s="463"/>
      <c r="B26" s="469"/>
      <c r="C26" s="464"/>
      <c r="D26" s="465"/>
      <c r="E26" s="383" t="s">
        <v>26</v>
      </c>
      <c r="F26" s="383" t="s">
        <v>27</v>
      </c>
      <c r="G26" s="113" t="s">
        <v>62</v>
      </c>
      <c r="H26" s="113" t="s">
        <v>63</v>
      </c>
      <c r="I26" s="133">
        <f>'Notes and Assumptions'!G23</f>
        <v>16000</v>
      </c>
      <c r="J26" s="133">
        <f>'Notes and Assumptions'!H23</f>
        <v>16000</v>
      </c>
      <c r="K26" s="133">
        <f>'Notes and Assumptions'!I23</f>
        <v>16000</v>
      </c>
      <c r="L26" s="133">
        <f>'Notes and Assumptions'!J23</f>
        <v>16000</v>
      </c>
      <c r="M26" s="133">
        <f>'Notes and Assumptions'!K23</f>
        <v>16000</v>
      </c>
      <c r="N26" s="133">
        <f>'Notes and Assumptions'!L23</f>
        <v>0</v>
      </c>
      <c r="O26" s="133">
        <f>'Notes and Assumptions'!M23</f>
        <v>0</v>
      </c>
      <c r="P26" s="134">
        <f t="shared" si="2"/>
        <v>80000</v>
      </c>
      <c r="Q26" s="153"/>
      <c r="R26" s="135"/>
      <c r="S26" s="135"/>
      <c r="T26" s="11">
        <v>2.2000000000000002</v>
      </c>
    </row>
    <row r="27" spans="1:20" ht="30" customHeight="1">
      <c r="A27" s="463"/>
      <c r="B27" s="469"/>
      <c r="C27" s="464"/>
      <c r="D27" s="465"/>
      <c r="E27" s="383" t="s">
        <v>26</v>
      </c>
      <c r="F27" s="383" t="s">
        <v>27</v>
      </c>
      <c r="G27" s="114" t="s">
        <v>34</v>
      </c>
      <c r="H27" s="113" t="s">
        <v>64</v>
      </c>
      <c r="I27" s="133">
        <f>'Notes and Assumptions'!G24</f>
        <v>10350</v>
      </c>
      <c r="J27" s="133">
        <f>'Notes and Assumptions'!H24</f>
        <v>20700</v>
      </c>
      <c r="K27" s="133">
        <f>'Notes and Assumptions'!I24</f>
        <v>10350</v>
      </c>
      <c r="L27" s="133">
        <f>'Notes and Assumptions'!J24</f>
        <v>10350</v>
      </c>
      <c r="M27" s="133">
        <f>'Notes and Assumptions'!K24</f>
        <v>10350</v>
      </c>
      <c r="N27" s="133">
        <f>'Notes and Assumptions'!L24</f>
        <v>0</v>
      </c>
      <c r="O27" s="133">
        <f>'Notes and Assumptions'!M24</f>
        <v>0</v>
      </c>
      <c r="P27" s="134">
        <f t="shared" si="2"/>
        <v>62100</v>
      </c>
      <c r="Q27" s="153"/>
      <c r="R27" s="135"/>
      <c r="S27" s="135"/>
      <c r="T27" s="11">
        <v>2.2000000000000002</v>
      </c>
    </row>
    <row r="28" spans="1:20">
      <c r="A28" s="463"/>
      <c r="B28" s="469"/>
      <c r="C28" s="464"/>
      <c r="D28" s="465"/>
      <c r="E28" s="383" t="s">
        <v>26</v>
      </c>
      <c r="F28" s="383" t="s">
        <v>27</v>
      </c>
      <c r="G28" s="342" t="s">
        <v>40</v>
      </c>
      <c r="H28" s="113" t="s">
        <v>65</v>
      </c>
      <c r="I28" s="133">
        <f>'Notes and Assumptions'!G25</f>
        <v>0</v>
      </c>
      <c r="J28" s="133">
        <f>'Notes and Assumptions'!H25</f>
        <v>0</v>
      </c>
      <c r="K28" s="133">
        <f>'Notes and Assumptions'!I25</f>
        <v>466666.66666666669</v>
      </c>
      <c r="L28" s="133">
        <f>'Notes and Assumptions'!J25</f>
        <v>466666.66666666669</v>
      </c>
      <c r="M28" s="133">
        <f>'Notes and Assumptions'!K25</f>
        <v>466666.66666666669</v>
      </c>
      <c r="N28" s="133">
        <f>'Notes and Assumptions'!L25</f>
        <v>0</v>
      </c>
      <c r="O28" s="133">
        <f>'Notes and Assumptions'!M25</f>
        <v>0</v>
      </c>
      <c r="P28" s="134">
        <f t="shared" ref="P28:P31" si="3">SUM(I28:O28)</f>
        <v>1400000</v>
      </c>
      <c r="Q28" s="153"/>
      <c r="R28" s="135"/>
      <c r="S28" s="135"/>
      <c r="T28" s="11">
        <v>2.2000000000000002</v>
      </c>
    </row>
    <row r="29" spans="1:20">
      <c r="A29" s="463"/>
      <c r="B29" s="469"/>
      <c r="C29" s="464"/>
      <c r="D29" s="466"/>
      <c r="E29" s="383" t="s">
        <v>26</v>
      </c>
      <c r="F29" s="383" t="s">
        <v>27</v>
      </c>
      <c r="G29" s="342" t="s">
        <v>40</v>
      </c>
      <c r="H29" s="113" t="s">
        <v>66</v>
      </c>
      <c r="I29" s="133">
        <f>'Notes and Assumptions'!G26</f>
        <v>0</v>
      </c>
      <c r="J29" s="133">
        <f>'Notes and Assumptions'!H26</f>
        <v>150000</v>
      </c>
      <c r="K29" s="133">
        <f>'Notes and Assumptions'!I26</f>
        <v>0</v>
      </c>
      <c r="L29" s="133">
        <f>'Notes and Assumptions'!J26</f>
        <v>0</v>
      </c>
      <c r="M29" s="133">
        <f>'Notes and Assumptions'!K26</f>
        <v>0</v>
      </c>
      <c r="N29" s="133">
        <f>'Notes and Assumptions'!L26</f>
        <v>0</v>
      </c>
      <c r="O29" s="133">
        <f>'Notes and Assumptions'!M26</f>
        <v>0</v>
      </c>
      <c r="P29" s="134">
        <f t="shared" si="3"/>
        <v>150000</v>
      </c>
      <c r="Q29" s="153"/>
      <c r="R29" s="135"/>
      <c r="S29" s="135"/>
      <c r="T29" s="11">
        <v>2.2000000000000002</v>
      </c>
    </row>
    <row r="30" spans="1:20" ht="30" customHeight="1">
      <c r="A30" s="463"/>
      <c r="B30" s="469"/>
      <c r="C30" s="464"/>
      <c r="D30" s="467" t="s">
        <v>67</v>
      </c>
      <c r="E30" s="383" t="s">
        <v>26</v>
      </c>
      <c r="F30" s="383" t="s">
        <v>27</v>
      </c>
      <c r="G30" s="342" t="s">
        <v>68</v>
      </c>
      <c r="H30" s="113" t="s">
        <v>69</v>
      </c>
      <c r="I30" s="133">
        <f>'Notes and Assumptions'!G27</f>
        <v>0</v>
      </c>
      <c r="J30" s="133">
        <f>'Notes and Assumptions'!H27</f>
        <v>30000</v>
      </c>
      <c r="K30" s="133">
        <f>'Notes and Assumptions'!I27</f>
        <v>30000</v>
      </c>
      <c r="L30" s="133">
        <f>'Notes and Assumptions'!J27</f>
        <v>30000</v>
      </c>
      <c r="M30" s="133">
        <f>'Notes and Assumptions'!K27</f>
        <v>30000</v>
      </c>
      <c r="N30" s="133">
        <f>'Notes and Assumptions'!L27</f>
        <v>0</v>
      </c>
      <c r="O30" s="133">
        <f>'Notes and Assumptions'!M27</f>
        <v>0</v>
      </c>
      <c r="P30" s="134">
        <f t="shared" si="3"/>
        <v>120000</v>
      </c>
      <c r="Q30" s="153"/>
      <c r="R30" s="135"/>
      <c r="S30" s="135"/>
      <c r="T30" s="11">
        <v>2.2000000000000002</v>
      </c>
    </row>
    <row r="31" spans="1:20">
      <c r="A31" s="463"/>
      <c r="B31" s="469"/>
      <c r="C31" s="464"/>
      <c r="D31" s="467"/>
      <c r="E31" s="383" t="s">
        <v>26</v>
      </c>
      <c r="F31" s="383" t="s">
        <v>27</v>
      </c>
      <c r="G31" s="114" t="s">
        <v>32</v>
      </c>
      <c r="H31" s="113" t="s">
        <v>70</v>
      </c>
      <c r="I31" s="133">
        <f>'Notes and Assumptions'!G28</f>
        <v>0</v>
      </c>
      <c r="J31" s="133">
        <f>'Notes and Assumptions'!H28</f>
        <v>18000</v>
      </c>
      <c r="K31" s="133">
        <f>'Notes and Assumptions'!I28</f>
        <v>18000</v>
      </c>
      <c r="L31" s="133">
        <f>'Notes and Assumptions'!J28</f>
        <v>18000</v>
      </c>
      <c r="M31" s="133">
        <f>'Notes and Assumptions'!K28</f>
        <v>18000</v>
      </c>
      <c r="N31" s="133">
        <f>'Notes and Assumptions'!L28</f>
        <v>0</v>
      </c>
      <c r="O31" s="133">
        <f>'Notes and Assumptions'!M28</f>
        <v>0</v>
      </c>
      <c r="P31" s="134">
        <f t="shared" si="3"/>
        <v>72000</v>
      </c>
      <c r="Q31" s="153"/>
      <c r="R31" s="135"/>
      <c r="S31" s="135"/>
      <c r="T31" s="11">
        <v>2.2000000000000002</v>
      </c>
    </row>
    <row r="32" spans="1:20">
      <c r="A32" s="463"/>
      <c r="B32" s="469"/>
      <c r="C32" s="383"/>
      <c r="D32" s="349"/>
      <c r="E32" s="383"/>
      <c r="F32" s="383"/>
      <c r="G32" s="342"/>
      <c r="H32" s="293"/>
      <c r="I32" s="133"/>
      <c r="J32" s="133"/>
      <c r="K32" s="133"/>
      <c r="L32" s="133"/>
      <c r="M32" s="133"/>
      <c r="N32" s="133"/>
      <c r="O32" s="133"/>
      <c r="P32" s="134"/>
      <c r="Q32" s="153">
        <f>SUM(P20:P31)</f>
        <v>12965675.292630678</v>
      </c>
      <c r="R32" s="153">
        <f>SUMIF(E20:E31,"GCF",P20:P31)</f>
        <v>11291100</v>
      </c>
      <c r="S32" s="153">
        <f>SUMIF(E20:E31,"GoG",P20:P31)</f>
        <v>1674575.292630678</v>
      </c>
      <c r="T32" s="11">
        <v>2.2000000000000002</v>
      </c>
    </row>
    <row r="33" spans="1:20" ht="35.15" customHeight="1">
      <c r="A33" s="463"/>
      <c r="B33" s="469"/>
      <c r="C33" s="464" t="s">
        <v>938</v>
      </c>
      <c r="D33" s="467" t="s">
        <v>71</v>
      </c>
      <c r="E33" s="383" t="s">
        <v>26</v>
      </c>
      <c r="F33" s="383" t="s">
        <v>27</v>
      </c>
      <c r="G33" s="342" t="s">
        <v>43</v>
      </c>
      <c r="H33" s="293" t="s">
        <v>72</v>
      </c>
      <c r="I33" s="133">
        <f>'Notes and Assumptions'!G29</f>
        <v>0</v>
      </c>
      <c r="J33" s="133">
        <f>'Notes and Assumptions'!H29</f>
        <v>0</v>
      </c>
      <c r="K33" s="133">
        <f>'Notes and Assumptions'!I29</f>
        <v>30000</v>
      </c>
      <c r="L33" s="133">
        <f>'Notes and Assumptions'!J29</f>
        <v>0</v>
      </c>
      <c r="M33" s="133">
        <f>'Notes and Assumptions'!K29</f>
        <v>0</v>
      </c>
      <c r="N33" s="133">
        <f>'Notes and Assumptions'!L29</f>
        <v>0</v>
      </c>
      <c r="O33" s="133">
        <f>'Notes and Assumptions'!M29</f>
        <v>0</v>
      </c>
      <c r="P33" s="134">
        <f>SUM(I33:O33)</f>
        <v>30000</v>
      </c>
      <c r="Q33" s="153"/>
      <c r="R33" s="135"/>
      <c r="S33" s="135"/>
      <c r="T33" s="11">
        <v>2.2999999999999998</v>
      </c>
    </row>
    <row r="34" spans="1:20">
      <c r="A34" s="463"/>
      <c r="B34" s="469"/>
      <c r="C34" s="464"/>
      <c r="D34" s="467"/>
      <c r="E34" s="383" t="s">
        <v>26</v>
      </c>
      <c r="F34" s="383" t="s">
        <v>27</v>
      </c>
      <c r="G34" s="114" t="s">
        <v>30</v>
      </c>
      <c r="H34" s="293" t="s">
        <v>73</v>
      </c>
      <c r="I34" s="133">
        <f>'Notes and Assumptions'!G30</f>
        <v>0</v>
      </c>
      <c r="J34" s="133">
        <f>'Notes and Assumptions'!H30</f>
        <v>0</v>
      </c>
      <c r="K34" s="133">
        <f>'Notes and Assumptions'!I30</f>
        <v>48000</v>
      </c>
      <c r="L34" s="133">
        <f>'Notes and Assumptions'!J30</f>
        <v>0</v>
      </c>
      <c r="M34" s="133">
        <f>'Notes and Assumptions'!K30</f>
        <v>0</v>
      </c>
      <c r="N34" s="133">
        <f>'Notes and Assumptions'!L30</f>
        <v>0</v>
      </c>
      <c r="O34" s="133">
        <f>'Notes and Assumptions'!M30</f>
        <v>0</v>
      </c>
      <c r="P34" s="134">
        <f>SUM(I34:O34)</f>
        <v>48000</v>
      </c>
      <c r="Q34" s="153"/>
      <c r="R34" s="135"/>
      <c r="S34" s="135"/>
      <c r="T34" s="11">
        <v>2.2999999999999998</v>
      </c>
    </row>
    <row r="35" spans="1:20">
      <c r="A35" s="463"/>
      <c r="B35" s="469"/>
      <c r="C35" s="464"/>
      <c r="D35" s="467"/>
      <c r="E35" s="383" t="s">
        <v>26</v>
      </c>
      <c r="F35" s="383" t="s">
        <v>27</v>
      </c>
      <c r="G35" s="342" t="s">
        <v>34</v>
      </c>
      <c r="H35" s="293" t="s">
        <v>74</v>
      </c>
      <c r="I35" s="133">
        <f>'Notes and Assumptions'!G31</f>
        <v>0</v>
      </c>
      <c r="J35" s="133">
        <f>'Notes and Assumptions'!H31</f>
        <v>0</v>
      </c>
      <c r="K35" s="133">
        <f>'Notes and Assumptions'!I31</f>
        <v>4800</v>
      </c>
      <c r="L35" s="133">
        <f>'Notes and Assumptions'!J31</f>
        <v>0</v>
      </c>
      <c r="M35" s="133">
        <f>'Notes and Assumptions'!K31</f>
        <v>0</v>
      </c>
      <c r="N35" s="133">
        <f>'Notes and Assumptions'!L31</f>
        <v>0</v>
      </c>
      <c r="O35" s="133">
        <f>'Notes and Assumptions'!M31</f>
        <v>0</v>
      </c>
      <c r="P35" s="134">
        <f>SUM(I35:O35)</f>
        <v>4800</v>
      </c>
      <c r="Q35" s="153"/>
      <c r="R35" s="135"/>
      <c r="S35" s="135"/>
      <c r="T35" s="11">
        <v>2.2999999999999998</v>
      </c>
    </row>
    <row r="36" spans="1:20">
      <c r="A36" s="463"/>
      <c r="B36" s="469"/>
      <c r="C36" s="464"/>
      <c r="D36" s="467"/>
      <c r="E36" s="383" t="s">
        <v>26</v>
      </c>
      <c r="F36" s="383" t="s">
        <v>27</v>
      </c>
      <c r="G36" s="342" t="s">
        <v>34</v>
      </c>
      <c r="H36" s="293" t="s">
        <v>75</v>
      </c>
      <c r="I36" s="133">
        <f>'Notes and Assumptions'!G32</f>
        <v>0</v>
      </c>
      <c r="J36" s="133">
        <f>'Notes and Assumptions'!H32</f>
        <v>0</v>
      </c>
      <c r="K36" s="133">
        <f>'Notes and Assumptions'!I32</f>
        <v>10300</v>
      </c>
      <c r="L36" s="133">
        <f>'Notes and Assumptions'!J32</f>
        <v>0</v>
      </c>
      <c r="M36" s="133">
        <f>'Notes and Assumptions'!K32</f>
        <v>0</v>
      </c>
      <c r="N36" s="133">
        <f>'Notes and Assumptions'!L32</f>
        <v>0</v>
      </c>
      <c r="O36" s="133">
        <f>'Notes and Assumptions'!M32</f>
        <v>0</v>
      </c>
      <c r="P36" s="134">
        <f>SUM(I36:O36)</f>
        <v>10300</v>
      </c>
      <c r="Q36" s="153"/>
      <c r="R36" s="135"/>
      <c r="S36" s="135"/>
      <c r="T36" s="11">
        <v>2.2999999999999998</v>
      </c>
    </row>
    <row r="37" spans="1:20">
      <c r="A37" s="463"/>
      <c r="B37" s="469"/>
      <c r="C37" s="464"/>
      <c r="D37" s="467"/>
      <c r="E37" s="383" t="s">
        <v>37</v>
      </c>
      <c r="F37" s="383" t="s">
        <v>27</v>
      </c>
      <c r="G37" s="114" t="s">
        <v>38</v>
      </c>
      <c r="H37" s="293" t="s">
        <v>76</v>
      </c>
      <c r="I37" s="133">
        <v>0</v>
      </c>
      <c r="J37" s="133">
        <f>'Co-financing Summary'!D18/2</f>
        <v>16259.365184807055</v>
      </c>
      <c r="K37" s="133">
        <f>'Co-financing Summary'!D18/2</f>
        <v>16259.365184807055</v>
      </c>
      <c r="L37" s="133">
        <v>0</v>
      </c>
      <c r="M37" s="133">
        <v>0</v>
      </c>
      <c r="N37" s="133">
        <v>0</v>
      </c>
      <c r="O37" s="133">
        <v>0</v>
      </c>
      <c r="P37" s="134">
        <f>SUM(I37:O37)</f>
        <v>32518.73036961411</v>
      </c>
      <c r="Q37" s="153"/>
      <c r="R37" s="135"/>
      <c r="S37" s="135"/>
      <c r="T37" s="11">
        <v>2.2999999999999998</v>
      </c>
    </row>
    <row r="38" spans="1:20" ht="33" customHeight="1">
      <c r="A38" s="463"/>
      <c r="B38" s="469"/>
      <c r="C38" s="464"/>
      <c r="D38" s="464" t="s">
        <v>77</v>
      </c>
      <c r="E38" s="383" t="s">
        <v>26</v>
      </c>
      <c r="F38" s="383" t="s">
        <v>27</v>
      </c>
      <c r="G38" s="342" t="s">
        <v>43</v>
      </c>
      <c r="H38" s="293" t="s">
        <v>78</v>
      </c>
      <c r="I38" s="133">
        <f>'Notes and Assumptions'!G34</f>
        <v>0</v>
      </c>
      <c r="J38" s="133">
        <f>'Notes and Assumptions'!H34</f>
        <v>0</v>
      </c>
      <c r="K38" s="133">
        <f>'Notes and Assumptions'!I34</f>
        <v>60000</v>
      </c>
      <c r="L38" s="133">
        <f>'Notes and Assumptions'!J34</f>
        <v>0</v>
      </c>
      <c r="M38" s="133">
        <f>'Notes and Assumptions'!K34</f>
        <v>0</v>
      </c>
      <c r="N38" s="133">
        <f>'Notes and Assumptions'!L34</f>
        <v>0</v>
      </c>
      <c r="O38" s="133">
        <f>'Notes and Assumptions'!M34</f>
        <v>0</v>
      </c>
      <c r="P38" s="134">
        <f t="shared" ref="P38:P42" si="4">SUM(I38:O38)</f>
        <v>60000</v>
      </c>
      <c r="Q38" s="153"/>
      <c r="R38" s="135"/>
      <c r="S38" s="135"/>
      <c r="T38" s="11">
        <v>2.2999999999999998</v>
      </c>
    </row>
    <row r="39" spans="1:20">
      <c r="A39" s="463"/>
      <c r="B39" s="469"/>
      <c r="C39" s="464"/>
      <c r="D39" s="465"/>
      <c r="E39" s="383" t="s">
        <v>26</v>
      </c>
      <c r="F39" s="383" t="s">
        <v>27</v>
      </c>
      <c r="G39" s="114" t="s">
        <v>30</v>
      </c>
      <c r="H39" s="293" t="s">
        <v>79</v>
      </c>
      <c r="I39" s="133">
        <f>'Notes and Assumptions'!G35</f>
        <v>0</v>
      </c>
      <c r="J39" s="133">
        <f>'Notes and Assumptions'!H35</f>
        <v>0</v>
      </c>
      <c r="K39" s="133">
        <f>'Notes and Assumptions'!I35</f>
        <v>32000</v>
      </c>
      <c r="L39" s="133">
        <f>'Notes and Assumptions'!J35</f>
        <v>0</v>
      </c>
      <c r="M39" s="133">
        <f>'Notes and Assumptions'!K35</f>
        <v>0</v>
      </c>
      <c r="N39" s="133">
        <f>'Notes and Assumptions'!L35</f>
        <v>0</v>
      </c>
      <c r="O39" s="133">
        <f>'Notes and Assumptions'!M35</f>
        <v>0</v>
      </c>
      <c r="P39" s="134">
        <f t="shared" si="4"/>
        <v>32000</v>
      </c>
      <c r="Q39" s="153"/>
      <c r="R39" s="135"/>
      <c r="S39" s="135"/>
      <c r="T39" s="11">
        <v>2.2999999999999998</v>
      </c>
    </row>
    <row r="40" spans="1:20">
      <c r="A40" s="463"/>
      <c r="B40" s="469"/>
      <c r="C40" s="464"/>
      <c r="D40" s="465"/>
      <c r="E40" s="383" t="s">
        <v>26</v>
      </c>
      <c r="F40" s="383" t="s">
        <v>27</v>
      </c>
      <c r="G40" s="114" t="s">
        <v>32</v>
      </c>
      <c r="H40" s="293" t="s">
        <v>80</v>
      </c>
      <c r="I40" s="133">
        <f>'Notes and Assumptions'!G36</f>
        <v>0</v>
      </c>
      <c r="J40" s="133">
        <f>'Notes and Assumptions'!H36</f>
        <v>0</v>
      </c>
      <c r="K40" s="133">
        <f>'Notes and Assumptions'!I36</f>
        <v>36000</v>
      </c>
      <c r="L40" s="133">
        <f>'Notes and Assumptions'!J36</f>
        <v>0</v>
      </c>
      <c r="M40" s="133">
        <f>'Notes and Assumptions'!K36</f>
        <v>0</v>
      </c>
      <c r="N40" s="133">
        <f>'Notes and Assumptions'!L36</f>
        <v>0</v>
      </c>
      <c r="O40" s="133">
        <f>'Notes and Assumptions'!M36</f>
        <v>0</v>
      </c>
      <c r="P40" s="134">
        <f t="shared" si="4"/>
        <v>36000</v>
      </c>
      <c r="Q40" s="153"/>
      <c r="R40" s="135"/>
      <c r="S40" s="135"/>
      <c r="T40" s="11">
        <v>2.2999999999999998</v>
      </c>
    </row>
    <row r="41" spans="1:20">
      <c r="A41" s="463"/>
      <c r="B41" s="469"/>
      <c r="C41" s="464"/>
      <c r="D41" s="465"/>
      <c r="E41" s="383" t="s">
        <v>26</v>
      </c>
      <c r="F41" s="383" t="s">
        <v>27</v>
      </c>
      <c r="G41" s="342" t="s">
        <v>34</v>
      </c>
      <c r="H41" s="293" t="s">
        <v>81</v>
      </c>
      <c r="I41" s="133">
        <f>'Notes and Assumptions'!G37</f>
        <v>0</v>
      </c>
      <c r="J41" s="133">
        <f>'Notes and Assumptions'!H37</f>
        <v>0</v>
      </c>
      <c r="K41" s="133">
        <f>'Notes and Assumptions'!I37</f>
        <v>6400</v>
      </c>
      <c r="L41" s="133">
        <f>'Notes and Assumptions'!J37</f>
        <v>0</v>
      </c>
      <c r="M41" s="133">
        <f>'Notes and Assumptions'!K37</f>
        <v>0</v>
      </c>
      <c r="N41" s="133">
        <f>'Notes and Assumptions'!L37</f>
        <v>0</v>
      </c>
      <c r="O41" s="133">
        <f>'Notes and Assumptions'!M37</f>
        <v>0</v>
      </c>
      <c r="P41" s="134">
        <f t="shared" si="4"/>
        <v>6400</v>
      </c>
      <c r="Q41" s="153"/>
      <c r="R41" s="135"/>
      <c r="S41" s="135"/>
      <c r="T41" s="11">
        <v>2.2999999999999998</v>
      </c>
    </row>
    <row r="42" spans="1:20">
      <c r="A42" s="463"/>
      <c r="B42" s="469"/>
      <c r="C42" s="464"/>
      <c r="D42" s="466"/>
      <c r="E42" s="383" t="s">
        <v>26</v>
      </c>
      <c r="F42" s="383" t="s">
        <v>27</v>
      </c>
      <c r="G42" s="342" t="s">
        <v>34</v>
      </c>
      <c r="H42" s="293" t="s">
        <v>82</v>
      </c>
      <c r="I42" s="133">
        <f>'Notes and Assumptions'!G38</f>
        <v>0</v>
      </c>
      <c r="J42" s="133">
        <f>'Notes and Assumptions'!H38</f>
        <v>0</v>
      </c>
      <c r="K42" s="133">
        <f>'Notes and Assumptions'!I38</f>
        <v>6350</v>
      </c>
      <c r="L42" s="133">
        <f>'Notes and Assumptions'!J38</f>
        <v>0</v>
      </c>
      <c r="M42" s="133">
        <f>'Notes and Assumptions'!K38</f>
        <v>0</v>
      </c>
      <c r="N42" s="133">
        <f>'Notes and Assumptions'!L38</f>
        <v>0</v>
      </c>
      <c r="O42" s="133">
        <f>'Notes and Assumptions'!M38</f>
        <v>0</v>
      </c>
      <c r="P42" s="134">
        <f t="shared" si="4"/>
        <v>6350</v>
      </c>
      <c r="Q42" s="153"/>
      <c r="R42" s="135"/>
      <c r="S42" s="135"/>
      <c r="T42" s="11">
        <v>2.2999999999999998</v>
      </c>
    </row>
    <row r="43" spans="1:20" ht="29">
      <c r="A43" s="463"/>
      <c r="B43" s="469"/>
      <c r="C43" s="464"/>
      <c r="D43" s="467" t="s">
        <v>83</v>
      </c>
      <c r="E43" s="383" t="s">
        <v>26</v>
      </c>
      <c r="F43" s="383" t="s">
        <v>27</v>
      </c>
      <c r="G43" s="342" t="s">
        <v>43</v>
      </c>
      <c r="H43" s="293" t="s">
        <v>84</v>
      </c>
      <c r="I43" s="133">
        <f>'Notes and Assumptions'!G39</f>
        <v>0</v>
      </c>
      <c r="J43" s="133">
        <f>'Notes and Assumptions'!H39</f>
        <v>0</v>
      </c>
      <c r="K43" s="133">
        <f>'Notes and Assumptions'!I39</f>
        <v>30000</v>
      </c>
      <c r="L43" s="133">
        <f>'Notes and Assumptions'!J39</f>
        <v>0</v>
      </c>
      <c r="M43" s="133">
        <f>'Notes and Assumptions'!K39</f>
        <v>0</v>
      </c>
      <c r="N43" s="133">
        <f>'Notes and Assumptions'!L39</f>
        <v>0</v>
      </c>
      <c r="O43" s="133">
        <f>'Notes and Assumptions'!M39</f>
        <v>0</v>
      </c>
      <c r="P43" s="134">
        <f t="shared" ref="P43:P49" si="5">SUM(I43:O43)</f>
        <v>30000</v>
      </c>
      <c r="Q43" s="153"/>
      <c r="R43" s="135"/>
      <c r="S43" s="135"/>
      <c r="T43" s="11">
        <v>2.2999999999999998</v>
      </c>
    </row>
    <row r="44" spans="1:20">
      <c r="A44" s="463"/>
      <c r="B44" s="469"/>
      <c r="C44" s="464"/>
      <c r="D44" s="467"/>
      <c r="E44" s="383" t="s">
        <v>26</v>
      </c>
      <c r="F44" s="383" t="s">
        <v>27</v>
      </c>
      <c r="G44" s="114" t="s">
        <v>30</v>
      </c>
      <c r="H44" s="293" t="s">
        <v>85</v>
      </c>
      <c r="I44" s="133">
        <f>'Notes and Assumptions'!G40</f>
        <v>0</v>
      </c>
      <c r="J44" s="133">
        <f>'Notes and Assumptions'!H40</f>
        <v>0</v>
      </c>
      <c r="K44" s="133">
        <f>'Notes and Assumptions'!I40</f>
        <v>16000</v>
      </c>
      <c r="L44" s="133">
        <f>'Notes and Assumptions'!J40</f>
        <v>0</v>
      </c>
      <c r="M44" s="133">
        <f>'Notes and Assumptions'!K40</f>
        <v>0</v>
      </c>
      <c r="N44" s="133">
        <f>'Notes and Assumptions'!L40</f>
        <v>0</v>
      </c>
      <c r="O44" s="133">
        <f>'Notes and Assumptions'!M40</f>
        <v>0</v>
      </c>
      <c r="P44" s="134">
        <f t="shared" si="5"/>
        <v>16000</v>
      </c>
      <c r="Q44" s="153"/>
      <c r="R44" s="135"/>
      <c r="S44" s="135"/>
      <c r="T44" s="11">
        <v>2.2999999999999998</v>
      </c>
    </row>
    <row r="45" spans="1:20">
      <c r="A45" s="463"/>
      <c r="B45" s="469"/>
      <c r="C45" s="464"/>
      <c r="D45" s="467"/>
      <c r="E45" s="383" t="s">
        <v>26</v>
      </c>
      <c r="F45" s="383" t="s">
        <v>27</v>
      </c>
      <c r="G45" s="114" t="s">
        <v>32</v>
      </c>
      <c r="H45" s="293" t="s">
        <v>86</v>
      </c>
      <c r="I45" s="133">
        <f>'Notes and Assumptions'!G41</f>
        <v>0</v>
      </c>
      <c r="J45" s="133">
        <f>'Notes and Assumptions'!H41</f>
        <v>0</v>
      </c>
      <c r="K45" s="133">
        <f>'Notes and Assumptions'!I41</f>
        <v>18000</v>
      </c>
      <c r="L45" s="133">
        <f>'Notes and Assumptions'!J41</f>
        <v>0</v>
      </c>
      <c r="M45" s="133">
        <f>'Notes and Assumptions'!K41</f>
        <v>0</v>
      </c>
      <c r="N45" s="133">
        <f>'Notes and Assumptions'!L41</f>
        <v>0</v>
      </c>
      <c r="O45" s="133">
        <f>'Notes and Assumptions'!M41</f>
        <v>0</v>
      </c>
      <c r="P45" s="134">
        <f t="shared" si="5"/>
        <v>18000</v>
      </c>
      <c r="Q45" s="153"/>
      <c r="R45" s="135"/>
      <c r="S45" s="135"/>
      <c r="T45" s="11">
        <v>2.2999999999999998</v>
      </c>
    </row>
    <row r="46" spans="1:20">
      <c r="A46" s="463"/>
      <c r="B46" s="469"/>
      <c r="C46" s="464"/>
      <c r="D46" s="467"/>
      <c r="E46" s="383" t="s">
        <v>26</v>
      </c>
      <c r="F46" s="383" t="s">
        <v>27</v>
      </c>
      <c r="G46" s="342" t="s">
        <v>34</v>
      </c>
      <c r="H46" s="293" t="s">
        <v>87</v>
      </c>
      <c r="I46" s="133">
        <f>'Notes and Assumptions'!G42</f>
        <v>0</v>
      </c>
      <c r="J46" s="133">
        <f>'Notes and Assumptions'!H42</f>
        <v>0</v>
      </c>
      <c r="K46" s="133">
        <f>'Notes and Assumptions'!I42</f>
        <v>9600</v>
      </c>
      <c r="L46" s="133">
        <f>'Notes and Assumptions'!J42</f>
        <v>0</v>
      </c>
      <c r="M46" s="133">
        <f>'Notes and Assumptions'!K42</f>
        <v>0</v>
      </c>
      <c r="N46" s="133">
        <f>'Notes and Assumptions'!L42</f>
        <v>0</v>
      </c>
      <c r="O46" s="133">
        <f>'Notes and Assumptions'!M42</f>
        <v>0</v>
      </c>
      <c r="P46" s="134">
        <f t="shared" si="5"/>
        <v>9600</v>
      </c>
      <c r="Q46" s="153"/>
      <c r="R46" s="135"/>
      <c r="S46" s="135"/>
      <c r="T46" s="11">
        <v>2.2999999999999998</v>
      </c>
    </row>
    <row r="47" spans="1:20">
      <c r="A47" s="463"/>
      <c r="B47" s="469"/>
      <c r="C47" s="464"/>
      <c r="D47" s="467"/>
      <c r="E47" s="383" t="s">
        <v>26</v>
      </c>
      <c r="F47" s="383" t="s">
        <v>27</v>
      </c>
      <c r="G47" s="342" t="s">
        <v>34</v>
      </c>
      <c r="H47" s="293" t="s">
        <v>88</v>
      </c>
      <c r="I47" s="133">
        <f>'Notes and Assumptions'!G43</f>
        <v>0</v>
      </c>
      <c r="J47" s="133">
        <f>'Notes and Assumptions'!H43</f>
        <v>0</v>
      </c>
      <c r="K47" s="133">
        <f>'Notes and Assumptions'!I43</f>
        <v>5150</v>
      </c>
      <c r="L47" s="133">
        <f>'Notes and Assumptions'!J43</f>
        <v>0</v>
      </c>
      <c r="M47" s="133">
        <f>'Notes and Assumptions'!K43</f>
        <v>0</v>
      </c>
      <c r="N47" s="133">
        <f>'Notes and Assumptions'!L43</f>
        <v>0</v>
      </c>
      <c r="O47" s="133">
        <f>'Notes and Assumptions'!M43</f>
        <v>0</v>
      </c>
      <c r="P47" s="134">
        <f t="shared" si="5"/>
        <v>5150</v>
      </c>
      <c r="Q47" s="153"/>
      <c r="R47" s="135"/>
      <c r="S47" s="135"/>
      <c r="T47" s="11">
        <v>2.2999999999999998</v>
      </c>
    </row>
    <row r="48" spans="1:20">
      <c r="A48" s="463"/>
      <c r="B48" s="469"/>
      <c r="C48" s="383"/>
      <c r="D48" s="349"/>
      <c r="E48" s="383"/>
      <c r="F48" s="383"/>
      <c r="G48" s="342"/>
      <c r="H48" s="293"/>
      <c r="I48" s="133"/>
      <c r="J48" s="133"/>
      <c r="K48" s="133"/>
      <c r="L48" s="133"/>
      <c r="M48" s="133"/>
      <c r="N48" s="133"/>
      <c r="O48" s="133"/>
      <c r="P48" s="134"/>
      <c r="Q48" s="153">
        <f>SUM(P33:P47)</f>
        <v>345118.73036961409</v>
      </c>
      <c r="R48" s="153">
        <f>SUMIF(E33:E47,"GCF",P33:P47)</f>
        <v>312600</v>
      </c>
      <c r="S48" s="153">
        <f>SUMIF(E33:E47,"GoG",P33:P47)</f>
        <v>32518.73036961411</v>
      </c>
      <c r="T48" s="11">
        <v>2.2999999999999998</v>
      </c>
    </row>
    <row r="49" spans="1:20" ht="32.15" customHeight="1">
      <c r="A49" s="463"/>
      <c r="B49" s="469"/>
      <c r="C49" s="464" t="s">
        <v>941</v>
      </c>
      <c r="D49" s="464" t="s">
        <v>90</v>
      </c>
      <c r="E49" s="383" t="s">
        <v>26</v>
      </c>
      <c r="F49" s="383" t="s">
        <v>27</v>
      </c>
      <c r="G49" s="342" t="s">
        <v>43</v>
      </c>
      <c r="H49" s="293" t="s">
        <v>91</v>
      </c>
      <c r="I49" s="133">
        <f>'Notes and Assumptions'!G44</f>
        <v>0</v>
      </c>
      <c r="J49" s="133">
        <f>'Notes and Assumptions'!H44</f>
        <v>0</v>
      </c>
      <c r="K49" s="133">
        <f>'Notes and Assumptions'!I44</f>
        <v>120000</v>
      </c>
      <c r="L49" s="133">
        <f>'Notes and Assumptions'!J44</f>
        <v>0</v>
      </c>
      <c r="M49" s="133">
        <f>'Notes and Assumptions'!K44</f>
        <v>0</v>
      </c>
      <c r="N49" s="133">
        <f>'Notes and Assumptions'!L44</f>
        <v>0</v>
      </c>
      <c r="O49" s="133">
        <f>'Notes and Assumptions'!M44</f>
        <v>0</v>
      </c>
      <c r="P49" s="134">
        <f t="shared" si="5"/>
        <v>120000</v>
      </c>
      <c r="Q49" s="153"/>
      <c r="R49" s="135"/>
      <c r="S49" s="135"/>
      <c r="T49" s="11">
        <v>2.4</v>
      </c>
    </row>
    <row r="50" spans="1:20">
      <c r="A50" s="463"/>
      <c r="B50" s="469"/>
      <c r="C50" s="464"/>
      <c r="D50" s="465"/>
      <c r="E50" s="383" t="s">
        <v>26</v>
      </c>
      <c r="F50" s="383" t="s">
        <v>27</v>
      </c>
      <c r="G50" s="114" t="s">
        <v>30</v>
      </c>
      <c r="H50" s="293" t="s">
        <v>92</v>
      </c>
      <c r="I50" s="133">
        <f>'Notes and Assumptions'!G45</f>
        <v>0</v>
      </c>
      <c r="J50" s="133">
        <f>'Notes and Assumptions'!H45</f>
        <v>0</v>
      </c>
      <c r="K50" s="133">
        <f>'Notes and Assumptions'!I45</f>
        <v>32000</v>
      </c>
      <c r="L50" s="133">
        <f>'Notes and Assumptions'!J45</f>
        <v>0</v>
      </c>
      <c r="M50" s="133">
        <f>'Notes and Assumptions'!K45</f>
        <v>0</v>
      </c>
      <c r="N50" s="133">
        <f>'Notes and Assumptions'!L45</f>
        <v>0</v>
      </c>
      <c r="O50" s="133">
        <f>'Notes and Assumptions'!M45</f>
        <v>0</v>
      </c>
      <c r="P50" s="134">
        <f t="shared" ref="P50:P59" si="6">SUM(I50:O50)</f>
        <v>32000</v>
      </c>
      <c r="Q50" s="153"/>
      <c r="R50" s="135"/>
      <c r="S50" s="135"/>
      <c r="T50" s="11">
        <v>2.4</v>
      </c>
    </row>
    <row r="51" spans="1:20">
      <c r="A51" s="463"/>
      <c r="B51" s="469"/>
      <c r="C51" s="464"/>
      <c r="D51" s="465"/>
      <c r="E51" s="383" t="s">
        <v>26</v>
      </c>
      <c r="F51" s="383" t="s">
        <v>27</v>
      </c>
      <c r="G51" s="342" t="s">
        <v>34</v>
      </c>
      <c r="H51" s="293" t="s">
        <v>93</v>
      </c>
      <c r="I51" s="133">
        <f>'Notes and Assumptions'!G46</f>
        <v>0</v>
      </c>
      <c r="J51" s="133">
        <f>'Notes and Assumptions'!H46</f>
        <v>0</v>
      </c>
      <c r="K51" s="133">
        <f>'Notes and Assumptions'!I46</f>
        <v>14400</v>
      </c>
      <c r="L51" s="133">
        <f>'Notes and Assumptions'!J46</f>
        <v>0</v>
      </c>
      <c r="M51" s="133">
        <f>'Notes and Assumptions'!K46</f>
        <v>0</v>
      </c>
      <c r="N51" s="133">
        <f>'Notes and Assumptions'!L46</f>
        <v>0</v>
      </c>
      <c r="O51" s="133">
        <f>'Notes and Assumptions'!M46</f>
        <v>0</v>
      </c>
      <c r="P51" s="134">
        <f t="shared" si="6"/>
        <v>14400</v>
      </c>
      <c r="Q51" s="153"/>
      <c r="R51" s="135"/>
      <c r="S51" s="135"/>
      <c r="T51" s="11">
        <v>2.4</v>
      </c>
    </row>
    <row r="52" spans="1:20">
      <c r="A52" s="463"/>
      <c r="B52" s="469"/>
      <c r="C52" s="464"/>
      <c r="D52" s="465"/>
      <c r="E52" s="383" t="s">
        <v>26</v>
      </c>
      <c r="F52" s="383" t="s">
        <v>27</v>
      </c>
      <c r="G52" s="342" t="s">
        <v>34</v>
      </c>
      <c r="H52" s="293" t="s">
        <v>94</v>
      </c>
      <c r="I52" s="133">
        <f>'Notes and Assumptions'!G47</f>
        <v>0</v>
      </c>
      <c r="J52" s="133">
        <f>'Notes and Assumptions'!H47</f>
        <v>0</v>
      </c>
      <c r="K52" s="133">
        <f>'Notes and Assumptions'!I47</f>
        <v>6350</v>
      </c>
      <c r="L52" s="133">
        <f>'Notes and Assumptions'!J47</f>
        <v>0</v>
      </c>
      <c r="M52" s="133">
        <f>'Notes and Assumptions'!K47</f>
        <v>0</v>
      </c>
      <c r="N52" s="133">
        <f>'Notes and Assumptions'!L47</f>
        <v>0</v>
      </c>
      <c r="O52" s="133">
        <f>'Notes and Assumptions'!M47</f>
        <v>0</v>
      </c>
      <c r="P52" s="134">
        <f t="shared" si="6"/>
        <v>6350</v>
      </c>
      <c r="Q52" s="153"/>
      <c r="R52" s="135"/>
      <c r="S52" s="135"/>
      <c r="T52" s="11">
        <v>2.4</v>
      </c>
    </row>
    <row r="53" spans="1:20">
      <c r="A53" s="463"/>
      <c r="B53" s="469"/>
      <c r="C53" s="464"/>
      <c r="D53" s="465"/>
      <c r="E53" s="383" t="s">
        <v>37</v>
      </c>
      <c r="F53" s="383" t="s">
        <v>27</v>
      </c>
      <c r="G53" s="114" t="s">
        <v>38</v>
      </c>
      <c r="H53" s="293" t="s">
        <v>95</v>
      </c>
      <c r="I53" s="133">
        <f>'Notes and Assumptions'!G48</f>
        <v>0</v>
      </c>
      <c r="J53" s="133">
        <f>'Notes and Assumptions'!H48</f>
        <v>0</v>
      </c>
      <c r="K53" s="133">
        <f>'Co-financing Summary'!$D$19</f>
        <v>51373.560438368302</v>
      </c>
      <c r="L53" s="133">
        <f>'Notes and Assumptions'!J48</f>
        <v>0</v>
      </c>
      <c r="M53" s="133">
        <f>'Notes and Assumptions'!K48</f>
        <v>0</v>
      </c>
      <c r="N53" s="133">
        <f>'Notes and Assumptions'!L48</f>
        <v>0</v>
      </c>
      <c r="O53" s="133">
        <f>'Notes and Assumptions'!M48</f>
        <v>0</v>
      </c>
      <c r="P53" s="134">
        <f t="shared" si="6"/>
        <v>51373.560438368302</v>
      </c>
      <c r="Q53" s="153"/>
      <c r="R53" s="135"/>
      <c r="S53" s="135"/>
      <c r="T53" s="11">
        <v>2.4</v>
      </c>
    </row>
    <row r="54" spans="1:20" ht="15" customHeight="1">
      <c r="A54" s="463"/>
      <c r="B54" s="469"/>
      <c r="C54" s="464"/>
      <c r="D54" s="465"/>
      <c r="E54" s="383" t="s">
        <v>26</v>
      </c>
      <c r="F54" s="383" t="s">
        <v>27</v>
      </c>
      <c r="G54" s="114" t="s">
        <v>32</v>
      </c>
      <c r="H54" s="293" t="s">
        <v>96</v>
      </c>
      <c r="I54" s="133">
        <f>'Notes and Assumptions'!G49</f>
        <v>0</v>
      </c>
      <c r="J54" s="133">
        <f>'Notes and Assumptions'!H49</f>
        <v>0</v>
      </c>
      <c r="K54" s="133">
        <f>'Notes and Assumptions'!I49</f>
        <v>36000</v>
      </c>
      <c r="L54" s="133">
        <f>'Notes and Assumptions'!J49</f>
        <v>0</v>
      </c>
      <c r="M54" s="133">
        <f>'Notes and Assumptions'!K49</f>
        <v>0</v>
      </c>
      <c r="N54" s="133">
        <f>'Notes and Assumptions'!L49</f>
        <v>0</v>
      </c>
      <c r="O54" s="133">
        <f>'Notes and Assumptions'!M49</f>
        <v>0</v>
      </c>
      <c r="P54" s="134">
        <f t="shared" si="6"/>
        <v>36000</v>
      </c>
      <c r="Q54" s="153"/>
      <c r="R54" s="135"/>
      <c r="S54" s="135"/>
      <c r="T54" s="11">
        <v>2.4</v>
      </c>
    </row>
    <row r="55" spans="1:20">
      <c r="A55" s="463"/>
      <c r="B55" s="469"/>
      <c r="C55" s="464"/>
      <c r="D55" s="466"/>
      <c r="E55" s="383" t="s">
        <v>26</v>
      </c>
      <c r="F55" s="383" t="s">
        <v>27</v>
      </c>
      <c r="G55" s="114" t="s">
        <v>40</v>
      </c>
      <c r="H55" s="293" t="s">
        <v>97</v>
      </c>
      <c r="I55" s="133">
        <f>'Notes and Assumptions'!G50</f>
        <v>0</v>
      </c>
      <c r="J55" s="133">
        <f>'Notes and Assumptions'!H50</f>
        <v>0</v>
      </c>
      <c r="K55" s="133">
        <f>'Notes and Assumptions'!I50</f>
        <v>30000</v>
      </c>
      <c r="L55" s="133">
        <f>'Notes and Assumptions'!J50</f>
        <v>0</v>
      </c>
      <c r="M55" s="133">
        <f>'Notes and Assumptions'!K50</f>
        <v>0</v>
      </c>
      <c r="N55" s="133">
        <f>'Notes and Assumptions'!L50</f>
        <v>0</v>
      </c>
      <c r="O55" s="133">
        <f>'Notes and Assumptions'!M50</f>
        <v>0</v>
      </c>
      <c r="P55" s="134">
        <f t="shared" si="6"/>
        <v>30000</v>
      </c>
      <c r="Q55" s="153"/>
      <c r="R55" s="135"/>
      <c r="S55" s="135"/>
      <c r="T55" s="11">
        <v>2.4</v>
      </c>
    </row>
    <row r="56" spans="1:20" ht="40" customHeight="1">
      <c r="A56" s="463"/>
      <c r="B56" s="469"/>
      <c r="C56" s="464"/>
      <c r="D56" s="464" t="s">
        <v>98</v>
      </c>
      <c r="E56" s="383" t="s">
        <v>26</v>
      </c>
      <c r="F56" s="383" t="s">
        <v>27</v>
      </c>
      <c r="G56" s="342" t="s">
        <v>43</v>
      </c>
      <c r="H56" s="293" t="s">
        <v>99</v>
      </c>
      <c r="I56" s="133">
        <f>'Notes and Assumptions'!G51</f>
        <v>0</v>
      </c>
      <c r="J56" s="133">
        <f>'Notes and Assumptions'!H51</f>
        <v>0</v>
      </c>
      <c r="K56" s="133">
        <f>'Notes and Assumptions'!I51</f>
        <v>60000</v>
      </c>
      <c r="L56" s="133">
        <f>'Notes and Assumptions'!J51</f>
        <v>0</v>
      </c>
      <c r="M56" s="133">
        <f>'Notes and Assumptions'!K51</f>
        <v>0</v>
      </c>
      <c r="N56" s="133">
        <f>'Notes and Assumptions'!L51</f>
        <v>0</v>
      </c>
      <c r="O56" s="133">
        <f>'Notes and Assumptions'!M51</f>
        <v>0</v>
      </c>
      <c r="P56" s="134">
        <f t="shared" si="6"/>
        <v>60000</v>
      </c>
      <c r="Q56" s="153"/>
      <c r="R56" s="135"/>
      <c r="S56" s="135"/>
      <c r="T56" s="11">
        <v>2.4</v>
      </c>
    </row>
    <row r="57" spans="1:20">
      <c r="A57" s="463"/>
      <c r="B57" s="469"/>
      <c r="C57" s="464"/>
      <c r="D57" s="465"/>
      <c r="E57" s="383" t="s">
        <v>26</v>
      </c>
      <c r="F57" s="383" t="s">
        <v>27</v>
      </c>
      <c r="G57" s="114" t="s">
        <v>62</v>
      </c>
      <c r="H57" s="293" t="s">
        <v>100</v>
      </c>
      <c r="I57" s="133">
        <f>'Notes and Assumptions'!G52</f>
        <v>0</v>
      </c>
      <c r="J57" s="133">
        <f>'Notes and Assumptions'!H52</f>
        <v>0</v>
      </c>
      <c r="K57" s="133">
        <f>'Notes and Assumptions'!I52</f>
        <v>32000</v>
      </c>
      <c r="L57" s="133">
        <f>'Notes and Assumptions'!J52</f>
        <v>0</v>
      </c>
      <c r="M57" s="133">
        <f>'Notes and Assumptions'!K52</f>
        <v>0</v>
      </c>
      <c r="N57" s="133">
        <f>'Notes and Assumptions'!L52</f>
        <v>0</v>
      </c>
      <c r="O57" s="133">
        <f>'Notes and Assumptions'!M52</f>
        <v>0</v>
      </c>
      <c r="P57" s="134">
        <f t="shared" si="6"/>
        <v>32000</v>
      </c>
      <c r="Q57" s="153"/>
      <c r="R57" s="135"/>
      <c r="S57" s="135"/>
      <c r="T57" s="11">
        <v>2.4</v>
      </c>
    </row>
    <row r="58" spans="1:20">
      <c r="A58" s="463"/>
      <c r="B58" s="469"/>
      <c r="C58" s="464"/>
      <c r="D58" s="465"/>
      <c r="E58" s="383" t="s">
        <v>26</v>
      </c>
      <c r="F58" s="383" t="s">
        <v>27</v>
      </c>
      <c r="G58" s="342" t="s">
        <v>34</v>
      </c>
      <c r="H58" s="293" t="s">
        <v>101</v>
      </c>
      <c r="I58" s="133">
        <f>'Notes and Assumptions'!G53</f>
        <v>0</v>
      </c>
      <c r="J58" s="133">
        <f>'Notes and Assumptions'!H53</f>
        <v>0</v>
      </c>
      <c r="K58" s="133">
        <f>'Notes and Assumptions'!I53</f>
        <v>9600</v>
      </c>
      <c r="L58" s="133">
        <f>'Notes and Assumptions'!J53</f>
        <v>0</v>
      </c>
      <c r="M58" s="133">
        <f>'Notes and Assumptions'!K53</f>
        <v>0</v>
      </c>
      <c r="N58" s="133">
        <f>'Notes and Assumptions'!L53</f>
        <v>0</v>
      </c>
      <c r="O58" s="133">
        <f>'Notes and Assumptions'!M53</f>
        <v>0</v>
      </c>
      <c r="P58" s="134">
        <f t="shared" si="6"/>
        <v>9600</v>
      </c>
      <c r="Q58" s="153"/>
      <c r="R58" s="135"/>
      <c r="S58" s="135"/>
      <c r="T58" s="11">
        <v>2.4</v>
      </c>
    </row>
    <row r="59" spans="1:20" ht="18.75" customHeight="1">
      <c r="A59" s="463"/>
      <c r="B59" s="469"/>
      <c r="C59" s="464"/>
      <c r="D59" s="465"/>
      <c r="E59" s="383" t="s">
        <v>26</v>
      </c>
      <c r="F59" s="383" t="s">
        <v>27</v>
      </c>
      <c r="G59" s="114" t="s">
        <v>34</v>
      </c>
      <c r="H59" s="293" t="s">
        <v>102</v>
      </c>
      <c r="I59" s="133">
        <f>'Notes and Assumptions'!G54</f>
        <v>0</v>
      </c>
      <c r="J59" s="133">
        <f>'Notes and Assumptions'!H54</f>
        <v>0</v>
      </c>
      <c r="K59" s="133">
        <f>'Notes and Assumptions'!I54</f>
        <v>6350</v>
      </c>
      <c r="L59" s="133">
        <f>'Notes and Assumptions'!J54</f>
        <v>0</v>
      </c>
      <c r="M59" s="133">
        <f>'Notes and Assumptions'!K54</f>
        <v>0</v>
      </c>
      <c r="N59" s="133">
        <f>'Notes and Assumptions'!L54</f>
        <v>0</v>
      </c>
      <c r="O59" s="133">
        <f>'Notes and Assumptions'!M54</f>
        <v>0</v>
      </c>
      <c r="P59" s="134">
        <f t="shared" si="6"/>
        <v>6350</v>
      </c>
      <c r="Q59" s="153"/>
      <c r="R59" s="135"/>
      <c r="S59" s="135"/>
      <c r="T59" s="11">
        <v>2.4</v>
      </c>
    </row>
    <row r="60" spans="1:20">
      <c r="A60" s="463"/>
      <c r="B60" s="469"/>
      <c r="C60" s="464"/>
      <c r="D60" s="465"/>
      <c r="E60" s="383" t="s">
        <v>26</v>
      </c>
      <c r="F60" s="383" t="s">
        <v>27</v>
      </c>
      <c r="G60" s="114" t="s">
        <v>32</v>
      </c>
      <c r="H60" s="293" t="s">
        <v>103</v>
      </c>
      <c r="I60" s="133">
        <f>'Notes and Assumptions'!G55</f>
        <v>0</v>
      </c>
      <c r="J60" s="133">
        <f>'Notes and Assumptions'!H55</f>
        <v>0</v>
      </c>
      <c r="K60" s="133">
        <f>'Notes and Assumptions'!I55</f>
        <v>18000</v>
      </c>
      <c r="L60" s="133">
        <f>'Notes and Assumptions'!J55</f>
        <v>0</v>
      </c>
      <c r="M60" s="133">
        <f>'Notes and Assumptions'!K55</f>
        <v>0</v>
      </c>
      <c r="N60" s="133">
        <f>'Notes and Assumptions'!L55</f>
        <v>0</v>
      </c>
      <c r="O60" s="133">
        <f>'Notes and Assumptions'!M55</f>
        <v>0</v>
      </c>
      <c r="P60" s="134">
        <f t="shared" ref="P60:P61" si="7">SUM(I60:O60)</f>
        <v>18000</v>
      </c>
      <c r="Q60" s="153"/>
      <c r="R60" s="135"/>
      <c r="S60" s="135"/>
      <c r="T60" s="11">
        <v>2.4</v>
      </c>
    </row>
    <row r="61" spans="1:20">
      <c r="A61" s="463"/>
      <c r="B61" s="469"/>
      <c r="C61" s="464"/>
      <c r="D61" s="466"/>
      <c r="E61" s="383" t="s">
        <v>26</v>
      </c>
      <c r="F61" s="383" t="s">
        <v>27</v>
      </c>
      <c r="G61" s="114" t="s">
        <v>104</v>
      </c>
      <c r="H61" s="293" t="s">
        <v>105</v>
      </c>
      <c r="I61" s="133">
        <f>'Notes and Assumptions'!G56</f>
        <v>0</v>
      </c>
      <c r="J61" s="133">
        <f>'Notes and Assumptions'!H56</f>
        <v>0</v>
      </c>
      <c r="K61" s="133">
        <f>'Notes and Assumptions'!I56</f>
        <v>15000</v>
      </c>
      <c r="L61" s="133">
        <f>'Notes and Assumptions'!J56</f>
        <v>0</v>
      </c>
      <c r="M61" s="133">
        <f>'Notes and Assumptions'!K56</f>
        <v>0</v>
      </c>
      <c r="N61" s="133">
        <f>'Notes and Assumptions'!L56</f>
        <v>0</v>
      </c>
      <c r="O61" s="133">
        <f>'Notes and Assumptions'!M56</f>
        <v>0</v>
      </c>
      <c r="P61" s="134">
        <f t="shared" si="7"/>
        <v>15000</v>
      </c>
      <c r="Q61" s="153"/>
      <c r="R61" s="135"/>
      <c r="S61" s="135"/>
      <c r="T61" s="11">
        <v>2.4</v>
      </c>
    </row>
    <row r="62" spans="1:20" ht="37" customHeight="1">
      <c r="A62" s="463"/>
      <c r="B62" s="469"/>
      <c r="C62" s="464"/>
      <c r="D62" s="464" t="s">
        <v>939</v>
      </c>
      <c r="E62" s="383" t="s">
        <v>26</v>
      </c>
      <c r="F62" s="383" t="s">
        <v>27</v>
      </c>
      <c r="G62" s="342" t="s">
        <v>43</v>
      </c>
      <c r="H62" s="293" t="s">
        <v>106</v>
      </c>
      <c r="I62" s="133">
        <f>'Notes and Assumptions'!G57</f>
        <v>0</v>
      </c>
      <c r="J62" s="133">
        <f>'Notes and Assumptions'!H57</f>
        <v>0</v>
      </c>
      <c r="K62" s="133">
        <f>'Notes and Assumptions'!I57</f>
        <v>0</v>
      </c>
      <c r="L62" s="133">
        <f>'Notes and Assumptions'!J57</f>
        <v>30000</v>
      </c>
      <c r="M62" s="133">
        <f>'Notes and Assumptions'!K57</f>
        <v>0</v>
      </c>
      <c r="N62" s="133">
        <f>'Notes and Assumptions'!L57</f>
        <v>0</v>
      </c>
      <c r="O62" s="133">
        <f>'Notes and Assumptions'!M57</f>
        <v>0</v>
      </c>
      <c r="P62" s="134">
        <f t="shared" ref="P62:P66" si="8">SUM(I62:O62)</f>
        <v>30000</v>
      </c>
      <c r="Q62" s="153"/>
      <c r="R62" s="135"/>
      <c r="S62" s="135"/>
      <c r="T62" s="11">
        <v>2.4</v>
      </c>
    </row>
    <row r="63" spans="1:20">
      <c r="A63" s="463"/>
      <c r="B63" s="469"/>
      <c r="C63" s="464"/>
      <c r="D63" s="465"/>
      <c r="E63" s="383" t="s">
        <v>26</v>
      </c>
      <c r="F63" s="383" t="s">
        <v>27</v>
      </c>
      <c r="G63" s="114" t="s">
        <v>30</v>
      </c>
      <c r="H63" s="293" t="s">
        <v>107</v>
      </c>
      <c r="I63" s="133">
        <f>'Notes and Assumptions'!G58</f>
        <v>0</v>
      </c>
      <c r="J63" s="133">
        <f>'Notes and Assumptions'!H58</f>
        <v>0</v>
      </c>
      <c r="K63" s="133">
        <f>'Notes and Assumptions'!I58</f>
        <v>0</v>
      </c>
      <c r="L63" s="133">
        <f>'Notes and Assumptions'!J58</f>
        <v>32000</v>
      </c>
      <c r="M63" s="133">
        <f>'Notes and Assumptions'!K58</f>
        <v>0</v>
      </c>
      <c r="N63" s="133">
        <f>'Notes and Assumptions'!L58</f>
        <v>0</v>
      </c>
      <c r="O63" s="133">
        <f>'Notes and Assumptions'!M58</f>
        <v>0</v>
      </c>
      <c r="P63" s="134">
        <f t="shared" si="8"/>
        <v>32000</v>
      </c>
      <c r="Q63" s="153"/>
      <c r="R63" s="135"/>
      <c r="S63" s="135"/>
      <c r="T63" s="11">
        <v>2.4</v>
      </c>
    </row>
    <row r="64" spans="1:20">
      <c r="A64" s="463"/>
      <c r="B64" s="469"/>
      <c r="C64" s="464"/>
      <c r="D64" s="465"/>
      <c r="E64" s="383" t="s">
        <v>26</v>
      </c>
      <c r="F64" s="383" t="s">
        <v>27</v>
      </c>
      <c r="G64" s="114" t="s">
        <v>34</v>
      </c>
      <c r="H64" s="293" t="s">
        <v>108</v>
      </c>
      <c r="I64" s="133">
        <f>'Notes and Assumptions'!G59</f>
        <v>0</v>
      </c>
      <c r="J64" s="133">
        <f>'Notes and Assumptions'!H59</f>
        <v>0</v>
      </c>
      <c r="K64" s="133">
        <f>'Notes and Assumptions'!I59</f>
        <v>0</v>
      </c>
      <c r="L64" s="133">
        <f>'Notes and Assumptions'!J59</f>
        <v>9600</v>
      </c>
      <c r="M64" s="133">
        <f>'Notes and Assumptions'!K59</f>
        <v>0</v>
      </c>
      <c r="N64" s="133">
        <f>'Notes and Assumptions'!L59</f>
        <v>0</v>
      </c>
      <c r="O64" s="133">
        <f>'Notes and Assumptions'!M59</f>
        <v>0</v>
      </c>
      <c r="P64" s="134">
        <f t="shared" si="8"/>
        <v>9600</v>
      </c>
      <c r="Q64" s="153"/>
      <c r="R64" s="135"/>
      <c r="S64" s="135"/>
      <c r="T64" s="11">
        <v>2.4</v>
      </c>
    </row>
    <row r="65" spans="1:20">
      <c r="A65" s="463"/>
      <c r="B65" s="469"/>
      <c r="C65" s="464"/>
      <c r="D65" s="465"/>
      <c r="E65" s="383" t="s">
        <v>26</v>
      </c>
      <c r="F65" s="383" t="s">
        <v>27</v>
      </c>
      <c r="G65" s="342" t="s">
        <v>34</v>
      </c>
      <c r="H65" s="293" t="s">
        <v>109</v>
      </c>
      <c r="I65" s="133">
        <f>'Notes and Assumptions'!G60</f>
        <v>0</v>
      </c>
      <c r="J65" s="133">
        <f>'Notes and Assumptions'!H60</f>
        <v>0</v>
      </c>
      <c r="K65" s="133">
        <f>'Notes and Assumptions'!I60</f>
        <v>0</v>
      </c>
      <c r="L65" s="133">
        <f>'Notes and Assumptions'!J60</f>
        <v>6550</v>
      </c>
      <c r="M65" s="133">
        <f>'Notes and Assumptions'!K60</f>
        <v>0</v>
      </c>
      <c r="N65" s="133">
        <f>'Notes and Assumptions'!L60</f>
        <v>0</v>
      </c>
      <c r="O65" s="133">
        <f>'Notes and Assumptions'!M60</f>
        <v>0</v>
      </c>
      <c r="P65" s="134">
        <f t="shared" si="8"/>
        <v>6550</v>
      </c>
      <c r="Q65" s="153"/>
      <c r="R65" s="135"/>
      <c r="S65" s="135"/>
      <c r="T65" s="11">
        <v>2.4</v>
      </c>
    </row>
    <row r="66" spans="1:20">
      <c r="A66" s="463"/>
      <c r="B66" s="469"/>
      <c r="C66" s="464"/>
      <c r="D66" s="466"/>
      <c r="E66" s="383" t="s">
        <v>26</v>
      </c>
      <c r="F66" s="383" t="s">
        <v>27</v>
      </c>
      <c r="G66" s="342" t="s">
        <v>32</v>
      </c>
      <c r="H66" s="293" t="s">
        <v>110</v>
      </c>
      <c r="I66" s="133">
        <f>'Notes and Assumptions'!G61</f>
        <v>0</v>
      </c>
      <c r="J66" s="133">
        <f>'Notes and Assumptions'!H61</f>
        <v>0</v>
      </c>
      <c r="K66" s="133">
        <f>'Notes and Assumptions'!I61</f>
        <v>0</v>
      </c>
      <c r="L66" s="133">
        <f>'Notes and Assumptions'!J61</f>
        <v>36000</v>
      </c>
      <c r="M66" s="133">
        <f>'Notes and Assumptions'!K61</f>
        <v>0</v>
      </c>
      <c r="N66" s="133">
        <f>'Notes and Assumptions'!L61</f>
        <v>0</v>
      </c>
      <c r="O66" s="133">
        <f>'Notes and Assumptions'!M61</f>
        <v>0</v>
      </c>
      <c r="P66" s="134">
        <f t="shared" si="8"/>
        <v>36000</v>
      </c>
      <c r="Q66" s="153"/>
      <c r="R66" s="135"/>
      <c r="S66" s="135"/>
      <c r="T66" s="11">
        <v>2.4</v>
      </c>
    </row>
    <row r="67" spans="1:20">
      <c r="A67" s="463"/>
      <c r="B67" s="469"/>
      <c r="C67" s="383"/>
      <c r="D67" s="349"/>
      <c r="E67" s="383"/>
      <c r="F67" s="383"/>
      <c r="G67" s="342"/>
      <c r="H67" s="293"/>
      <c r="I67" s="133"/>
      <c r="J67" s="133"/>
      <c r="K67" s="133"/>
      <c r="L67" s="133"/>
      <c r="M67" s="133"/>
      <c r="N67" s="133"/>
      <c r="O67" s="133"/>
      <c r="P67" s="134"/>
      <c r="Q67" s="153">
        <f>SUM(P49:P66)</f>
        <v>545223.56043836824</v>
      </c>
      <c r="R67" s="153">
        <f>SUMIF(E49:E66,"GCF",P49:P66)</f>
        <v>493850</v>
      </c>
      <c r="S67" s="153">
        <f>SUMIF(E49:E66,"GoG",P49:P66)</f>
        <v>51373.560438368302</v>
      </c>
      <c r="T67" s="11">
        <v>2.4</v>
      </c>
    </row>
    <row r="68" spans="1:20" ht="29">
      <c r="A68" s="463"/>
      <c r="B68" s="469"/>
      <c r="C68" s="464" t="s">
        <v>111</v>
      </c>
      <c r="D68" s="464" t="s">
        <v>942</v>
      </c>
      <c r="E68" s="383" t="s">
        <v>26</v>
      </c>
      <c r="F68" s="383" t="s">
        <v>27</v>
      </c>
      <c r="G68" s="342" t="s">
        <v>43</v>
      </c>
      <c r="H68" s="293" t="s">
        <v>112</v>
      </c>
      <c r="I68" s="133">
        <f>'Notes and Assumptions'!G62</f>
        <v>72000</v>
      </c>
      <c r="J68" s="133">
        <f>'Notes and Assumptions'!H62</f>
        <v>0</v>
      </c>
      <c r="K68" s="133">
        <f>'Notes and Assumptions'!I62</f>
        <v>0</v>
      </c>
      <c r="L68" s="133">
        <f>'Notes and Assumptions'!J62</f>
        <v>0</v>
      </c>
      <c r="M68" s="133">
        <f>'Notes and Assumptions'!K62</f>
        <v>0</v>
      </c>
      <c r="N68" s="133">
        <f>'Notes and Assumptions'!L62</f>
        <v>0</v>
      </c>
      <c r="O68" s="133">
        <f>'Notes and Assumptions'!M62</f>
        <v>0</v>
      </c>
      <c r="P68" s="134">
        <f t="shared" ref="P68:P81" si="9">SUM(I68:O68)</f>
        <v>72000</v>
      </c>
      <c r="Q68" s="153"/>
      <c r="R68" s="135"/>
      <c r="S68" s="135"/>
      <c r="T68" s="11">
        <v>2.5</v>
      </c>
    </row>
    <row r="69" spans="1:20">
      <c r="A69" s="463"/>
      <c r="B69" s="469"/>
      <c r="C69" s="464"/>
      <c r="D69" s="465"/>
      <c r="E69" s="383" t="s">
        <v>26</v>
      </c>
      <c r="F69" s="383" t="s">
        <v>27</v>
      </c>
      <c r="G69" s="114" t="s">
        <v>30</v>
      </c>
      <c r="H69" s="293" t="s">
        <v>113</v>
      </c>
      <c r="I69" s="133">
        <f>'Notes and Assumptions'!G63</f>
        <v>32000</v>
      </c>
      <c r="J69" s="133">
        <f>'Notes and Assumptions'!H63</f>
        <v>0</v>
      </c>
      <c r="K69" s="133">
        <f>'Notes and Assumptions'!I63</f>
        <v>0</v>
      </c>
      <c r="L69" s="133">
        <f>'Notes and Assumptions'!J63</f>
        <v>0</v>
      </c>
      <c r="M69" s="133">
        <f>'Notes and Assumptions'!K63</f>
        <v>0</v>
      </c>
      <c r="N69" s="133">
        <f>'Notes and Assumptions'!L63</f>
        <v>0</v>
      </c>
      <c r="O69" s="133">
        <f>'Notes and Assumptions'!M63</f>
        <v>0</v>
      </c>
      <c r="P69" s="134">
        <f>SUM(I69:O69)</f>
        <v>32000</v>
      </c>
      <c r="Q69" s="153"/>
      <c r="R69" s="135"/>
      <c r="S69" s="135"/>
      <c r="T69" s="11">
        <v>2.5</v>
      </c>
    </row>
    <row r="70" spans="1:20">
      <c r="A70" s="463"/>
      <c r="B70" s="469"/>
      <c r="C70" s="464"/>
      <c r="D70" s="465"/>
      <c r="E70" s="383" t="s">
        <v>26</v>
      </c>
      <c r="F70" s="383" t="s">
        <v>27</v>
      </c>
      <c r="G70" s="114" t="s">
        <v>32</v>
      </c>
      <c r="H70" s="293" t="s">
        <v>114</v>
      </c>
      <c r="I70" s="133">
        <f>'Notes and Assumptions'!G64</f>
        <v>60000</v>
      </c>
      <c r="J70" s="133">
        <f>'Notes and Assumptions'!H64</f>
        <v>0</v>
      </c>
      <c r="K70" s="133">
        <f>'Notes and Assumptions'!I64</f>
        <v>0</v>
      </c>
      <c r="L70" s="133">
        <f>'Notes and Assumptions'!J64</f>
        <v>0</v>
      </c>
      <c r="M70" s="133">
        <f>'Notes and Assumptions'!K64</f>
        <v>0</v>
      </c>
      <c r="N70" s="133">
        <f>'Notes and Assumptions'!L64</f>
        <v>0</v>
      </c>
      <c r="O70" s="133">
        <f>'Notes and Assumptions'!M64</f>
        <v>0</v>
      </c>
      <c r="P70" s="134">
        <f t="shared" si="9"/>
        <v>60000</v>
      </c>
      <c r="Q70" s="153"/>
      <c r="R70" s="135"/>
      <c r="S70" s="135"/>
      <c r="T70" s="11">
        <v>2.5</v>
      </c>
    </row>
    <row r="71" spans="1:20">
      <c r="A71" s="463"/>
      <c r="B71" s="469"/>
      <c r="C71" s="464"/>
      <c r="D71" s="465"/>
      <c r="E71" s="383" t="s">
        <v>26</v>
      </c>
      <c r="F71" s="383" t="s">
        <v>27</v>
      </c>
      <c r="G71" s="342" t="s">
        <v>34</v>
      </c>
      <c r="H71" s="293" t="s">
        <v>115</v>
      </c>
      <c r="I71" s="133">
        <f>'Notes and Assumptions'!G65</f>
        <v>6400</v>
      </c>
      <c r="J71" s="133">
        <f>'Notes and Assumptions'!H65</f>
        <v>0</v>
      </c>
      <c r="K71" s="133">
        <f>'Notes and Assumptions'!I65</f>
        <v>0</v>
      </c>
      <c r="L71" s="133">
        <f>'Notes and Assumptions'!J65</f>
        <v>0</v>
      </c>
      <c r="M71" s="133">
        <f>'Notes and Assumptions'!K65</f>
        <v>0</v>
      </c>
      <c r="N71" s="133">
        <f>'Notes and Assumptions'!L65</f>
        <v>0</v>
      </c>
      <c r="O71" s="133">
        <f>'Notes and Assumptions'!M65</f>
        <v>0</v>
      </c>
      <c r="P71" s="134">
        <f t="shared" si="9"/>
        <v>6400</v>
      </c>
      <c r="Q71" s="153"/>
      <c r="R71" s="135"/>
      <c r="S71" s="135"/>
      <c r="T71" s="11">
        <v>2.5</v>
      </c>
    </row>
    <row r="72" spans="1:20">
      <c r="A72" s="463"/>
      <c r="B72" s="469"/>
      <c r="C72" s="464"/>
      <c r="D72" s="465"/>
      <c r="E72" s="383" t="s">
        <v>37</v>
      </c>
      <c r="F72" s="383" t="s">
        <v>27</v>
      </c>
      <c r="G72" s="114" t="s">
        <v>38</v>
      </c>
      <c r="H72" s="293" t="s">
        <v>116</v>
      </c>
      <c r="I72" s="133">
        <f>'Co-financing Summary'!D20</f>
        <v>52559.464233037528</v>
      </c>
      <c r="J72" s="133">
        <v>0</v>
      </c>
      <c r="K72" s="133">
        <v>0</v>
      </c>
      <c r="L72" s="133">
        <v>0</v>
      </c>
      <c r="M72" s="133">
        <v>0</v>
      </c>
      <c r="N72" s="133">
        <v>0</v>
      </c>
      <c r="O72" s="133">
        <v>0</v>
      </c>
      <c r="P72" s="134">
        <f t="shared" si="9"/>
        <v>52559.464233037528</v>
      </c>
      <c r="Q72" s="153"/>
      <c r="R72" s="135"/>
      <c r="S72" s="135"/>
      <c r="T72" s="11">
        <v>2.5</v>
      </c>
    </row>
    <row r="73" spans="1:20">
      <c r="A73" s="463"/>
      <c r="B73" s="469"/>
      <c r="C73" s="464"/>
      <c r="D73" s="465"/>
      <c r="E73" s="383" t="s">
        <v>26</v>
      </c>
      <c r="F73" s="383" t="s">
        <v>27</v>
      </c>
      <c r="G73" s="114" t="s">
        <v>34</v>
      </c>
      <c r="H73" s="293" t="s">
        <v>117</v>
      </c>
      <c r="I73" s="133">
        <f>'Notes and Assumptions'!G67</f>
        <v>6550</v>
      </c>
      <c r="J73" s="133">
        <f>'Notes and Assumptions'!H67</f>
        <v>0</v>
      </c>
      <c r="K73" s="133">
        <f>'Notes and Assumptions'!I67</f>
        <v>0</v>
      </c>
      <c r="L73" s="133">
        <f>'Notes and Assumptions'!J67</f>
        <v>0</v>
      </c>
      <c r="M73" s="133">
        <f>'Notes and Assumptions'!K67</f>
        <v>0</v>
      </c>
      <c r="N73" s="133">
        <f>'Notes and Assumptions'!L67</f>
        <v>0</v>
      </c>
      <c r="O73" s="133">
        <f>'Notes and Assumptions'!M67</f>
        <v>0</v>
      </c>
      <c r="P73" s="134">
        <f t="shared" si="9"/>
        <v>6550</v>
      </c>
      <c r="Q73" s="153"/>
      <c r="R73" s="135"/>
      <c r="S73" s="135"/>
      <c r="T73" s="11">
        <v>2.5</v>
      </c>
    </row>
    <row r="74" spans="1:20" ht="28.5" customHeight="1">
      <c r="A74" s="463"/>
      <c r="B74" s="469"/>
      <c r="C74" s="464"/>
      <c r="D74" s="467" t="s">
        <v>118</v>
      </c>
      <c r="E74" s="383" t="s">
        <v>26</v>
      </c>
      <c r="F74" s="383" t="s">
        <v>27</v>
      </c>
      <c r="G74" s="342" t="s">
        <v>43</v>
      </c>
      <c r="H74" s="293" t="s">
        <v>119</v>
      </c>
      <c r="I74" s="133">
        <f>'Notes and Assumptions'!G68</f>
        <v>0</v>
      </c>
      <c r="J74" s="133">
        <f>'Notes and Assumptions'!H68</f>
        <v>60000</v>
      </c>
      <c r="K74" s="133">
        <f>'Notes and Assumptions'!I68</f>
        <v>0</v>
      </c>
      <c r="L74" s="133">
        <f>'Notes and Assumptions'!J68</f>
        <v>0</v>
      </c>
      <c r="M74" s="133">
        <f>'Notes and Assumptions'!K68</f>
        <v>0</v>
      </c>
      <c r="N74" s="133">
        <f>'Notes and Assumptions'!L68</f>
        <v>0</v>
      </c>
      <c r="O74" s="133">
        <f>'Notes and Assumptions'!M68</f>
        <v>0</v>
      </c>
      <c r="P74" s="134">
        <f t="shared" si="9"/>
        <v>60000</v>
      </c>
      <c r="Q74" s="153"/>
      <c r="R74" s="135"/>
      <c r="S74" s="135"/>
      <c r="T74" s="11">
        <v>2.5</v>
      </c>
    </row>
    <row r="75" spans="1:20">
      <c r="A75" s="463"/>
      <c r="B75" s="469"/>
      <c r="C75" s="464"/>
      <c r="D75" s="467"/>
      <c r="E75" s="383" t="s">
        <v>26</v>
      </c>
      <c r="F75" s="383" t="s">
        <v>27</v>
      </c>
      <c r="G75" s="114" t="s">
        <v>30</v>
      </c>
      <c r="H75" s="293" t="s">
        <v>120</v>
      </c>
      <c r="I75" s="133">
        <f>'Notes and Assumptions'!G69</f>
        <v>0</v>
      </c>
      <c r="J75" s="133">
        <f>'Notes and Assumptions'!H69</f>
        <v>32000</v>
      </c>
      <c r="K75" s="133">
        <f>'Notes and Assumptions'!I69</f>
        <v>0</v>
      </c>
      <c r="L75" s="133">
        <f>'Notes and Assumptions'!J69</f>
        <v>0</v>
      </c>
      <c r="M75" s="133">
        <f>'Notes and Assumptions'!K69</f>
        <v>0</v>
      </c>
      <c r="N75" s="133">
        <f>'Notes and Assumptions'!L69</f>
        <v>0</v>
      </c>
      <c r="O75" s="133">
        <f>'Notes and Assumptions'!M69</f>
        <v>0</v>
      </c>
      <c r="P75" s="134">
        <f t="shared" si="9"/>
        <v>32000</v>
      </c>
      <c r="Q75" s="153"/>
      <c r="R75" s="135"/>
      <c r="S75" s="135"/>
      <c r="T75" s="11">
        <v>2.5</v>
      </c>
    </row>
    <row r="76" spans="1:20">
      <c r="A76" s="463"/>
      <c r="B76" s="469"/>
      <c r="C76" s="464"/>
      <c r="D76" s="467"/>
      <c r="E76" s="383" t="s">
        <v>26</v>
      </c>
      <c r="F76" s="383" t="s">
        <v>27</v>
      </c>
      <c r="G76" s="114" t="s">
        <v>32</v>
      </c>
      <c r="H76" s="293" t="s">
        <v>121</v>
      </c>
      <c r="I76" s="133">
        <f>'Notes and Assumptions'!G70</f>
        <v>0</v>
      </c>
      <c r="J76" s="133">
        <f>'Notes and Assumptions'!H70</f>
        <v>30000</v>
      </c>
      <c r="K76" s="133">
        <f>'Notes and Assumptions'!I70</f>
        <v>0</v>
      </c>
      <c r="L76" s="133">
        <f>'Notes and Assumptions'!J70</f>
        <v>0</v>
      </c>
      <c r="M76" s="133">
        <f>'Notes and Assumptions'!K70</f>
        <v>0</v>
      </c>
      <c r="N76" s="133">
        <f>'Notes and Assumptions'!L70</f>
        <v>0</v>
      </c>
      <c r="O76" s="133">
        <f>'Notes and Assumptions'!M70</f>
        <v>0</v>
      </c>
      <c r="P76" s="134">
        <f t="shared" si="9"/>
        <v>30000</v>
      </c>
      <c r="Q76" s="153"/>
      <c r="R76" s="135"/>
      <c r="S76" s="135"/>
      <c r="T76" s="11">
        <v>2.5</v>
      </c>
    </row>
    <row r="77" spans="1:20">
      <c r="A77" s="463"/>
      <c r="B77" s="469"/>
      <c r="C77" s="464"/>
      <c r="D77" s="467"/>
      <c r="E77" s="383" t="s">
        <v>26</v>
      </c>
      <c r="F77" s="383" t="s">
        <v>27</v>
      </c>
      <c r="G77" s="342" t="s">
        <v>34</v>
      </c>
      <c r="H77" s="293" t="s">
        <v>122</v>
      </c>
      <c r="I77" s="133">
        <f>'Notes and Assumptions'!G71</f>
        <v>0</v>
      </c>
      <c r="J77" s="133">
        <f>'Notes and Assumptions'!H71</f>
        <v>6400</v>
      </c>
      <c r="K77" s="133">
        <f>'Notes and Assumptions'!I71</f>
        <v>0</v>
      </c>
      <c r="L77" s="133">
        <f>'Notes and Assumptions'!J71</f>
        <v>0</v>
      </c>
      <c r="M77" s="133">
        <f>'Notes and Assumptions'!K71</f>
        <v>0</v>
      </c>
      <c r="N77" s="133">
        <f>'Notes and Assumptions'!L71</f>
        <v>0</v>
      </c>
      <c r="O77" s="133">
        <f>'Notes and Assumptions'!M71</f>
        <v>0</v>
      </c>
      <c r="P77" s="134">
        <f t="shared" si="9"/>
        <v>6400</v>
      </c>
      <c r="Q77" s="153"/>
      <c r="R77" s="135"/>
      <c r="S77" s="135"/>
      <c r="T77" s="11">
        <v>2.5</v>
      </c>
    </row>
    <row r="78" spans="1:20">
      <c r="A78" s="463"/>
      <c r="B78" s="469"/>
      <c r="C78" s="464"/>
      <c r="D78" s="467"/>
      <c r="E78" s="383" t="s">
        <v>26</v>
      </c>
      <c r="F78" s="383" t="s">
        <v>27</v>
      </c>
      <c r="G78" s="342" t="s">
        <v>34</v>
      </c>
      <c r="H78" s="293" t="s">
        <v>123</v>
      </c>
      <c r="I78" s="133">
        <f>'Notes and Assumptions'!G72</f>
        <v>0</v>
      </c>
      <c r="J78" s="133">
        <f>'Notes and Assumptions'!H72</f>
        <v>6550</v>
      </c>
      <c r="K78" s="133">
        <f>'Notes and Assumptions'!I72</f>
        <v>0</v>
      </c>
      <c r="L78" s="133">
        <f>'Notes and Assumptions'!J72</f>
        <v>0</v>
      </c>
      <c r="M78" s="133">
        <f>'Notes and Assumptions'!K72</f>
        <v>0</v>
      </c>
      <c r="N78" s="133">
        <f>'Notes and Assumptions'!L72</f>
        <v>0</v>
      </c>
      <c r="O78" s="133">
        <f>'Notes and Assumptions'!M72</f>
        <v>0</v>
      </c>
      <c r="P78" s="134">
        <f t="shared" si="9"/>
        <v>6550</v>
      </c>
      <c r="Q78" s="153"/>
      <c r="R78" s="135"/>
      <c r="S78" s="135"/>
      <c r="T78" s="11">
        <v>2.5</v>
      </c>
    </row>
    <row r="79" spans="1:20" ht="39" customHeight="1">
      <c r="A79" s="463"/>
      <c r="B79" s="469"/>
      <c r="C79" s="464"/>
      <c r="D79" s="464" t="s">
        <v>124</v>
      </c>
      <c r="E79" s="383" t="s">
        <v>26</v>
      </c>
      <c r="F79" s="383" t="s">
        <v>27</v>
      </c>
      <c r="G79" s="342" t="s">
        <v>43</v>
      </c>
      <c r="H79" s="293" t="s">
        <v>125</v>
      </c>
      <c r="I79" s="133">
        <f>'Notes and Assumptions'!G73</f>
        <v>0</v>
      </c>
      <c r="J79" s="133">
        <f>'Notes and Assumptions'!H73</f>
        <v>60000</v>
      </c>
      <c r="K79" s="133">
        <f>'Notes and Assumptions'!I73</f>
        <v>0</v>
      </c>
      <c r="L79" s="133">
        <f>'Notes and Assumptions'!J73</f>
        <v>0</v>
      </c>
      <c r="M79" s="133">
        <f>'Notes and Assumptions'!K73</f>
        <v>0</v>
      </c>
      <c r="N79" s="133">
        <f>'Notes and Assumptions'!L73</f>
        <v>0</v>
      </c>
      <c r="O79" s="133">
        <f>'Notes and Assumptions'!M73</f>
        <v>0</v>
      </c>
      <c r="P79" s="134">
        <f t="shared" si="9"/>
        <v>60000</v>
      </c>
      <c r="Q79" s="153"/>
      <c r="R79" s="135"/>
      <c r="S79" s="135"/>
      <c r="T79" s="11">
        <v>2.5</v>
      </c>
    </row>
    <row r="80" spans="1:20">
      <c r="A80" s="463"/>
      <c r="B80" s="469"/>
      <c r="C80" s="464"/>
      <c r="D80" s="465"/>
      <c r="E80" s="383" t="s">
        <v>26</v>
      </c>
      <c r="F80" s="383" t="s">
        <v>27</v>
      </c>
      <c r="G80" s="114" t="s">
        <v>32</v>
      </c>
      <c r="H80" s="293" t="s">
        <v>126</v>
      </c>
      <c r="I80" s="133">
        <f>'Notes and Assumptions'!G74</f>
        <v>0</v>
      </c>
      <c r="J80" s="133">
        <f>'Notes and Assumptions'!H74</f>
        <v>90000</v>
      </c>
      <c r="K80" s="133">
        <f>'Notes and Assumptions'!I74</f>
        <v>0</v>
      </c>
      <c r="L80" s="133">
        <f>'Notes and Assumptions'!J74</f>
        <v>0</v>
      </c>
      <c r="M80" s="133">
        <f>'Notes and Assumptions'!K74</f>
        <v>0</v>
      </c>
      <c r="N80" s="133">
        <f>'Notes and Assumptions'!L74</f>
        <v>0</v>
      </c>
      <c r="O80" s="133">
        <f>'Notes and Assumptions'!M74</f>
        <v>0</v>
      </c>
      <c r="P80" s="134">
        <f t="shared" si="9"/>
        <v>90000</v>
      </c>
      <c r="Q80" s="153"/>
      <c r="R80" s="135"/>
      <c r="S80" s="135"/>
      <c r="T80" s="11">
        <v>2.5</v>
      </c>
    </row>
    <row r="81" spans="1:20">
      <c r="A81" s="463"/>
      <c r="B81" s="469"/>
      <c r="C81" s="464"/>
      <c r="D81" s="465"/>
      <c r="E81" s="383" t="s">
        <v>26</v>
      </c>
      <c r="F81" s="383" t="s">
        <v>27</v>
      </c>
      <c r="G81" s="342" t="s">
        <v>34</v>
      </c>
      <c r="H81" s="293" t="s">
        <v>127</v>
      </c>
      <c r="I81" s="133">
        <f>'Notes and Assumptions'!G75</f>
        <v>0</v>
      </c>
      <c r="J81" s="133">
        <f>'Notes and Assumptions'!H75</f>
        <v>4800</v>
      </c>
      <c r="K81" s="133">
        <f>'Notes and Assumptions'!I75</f>
        <v>0</v>
      </c>
      <c r="L81" s="133">
        <f>'Notes and Assumptions'!J75</f>
        <v>0</v>
      </c>
      <c r="M81" s="133">
        <f>'Notes and Assumptions'!K75</f>
        <v>0</v>
      </c>
      <c r="N81" s="133">
        <f>'Notes and Assumptions'!L75</f>
        <v>0</v>
      </c>
      <c r="O81" s="133">
        <f>'Notes and Assumptions'!M75</f>
        <v>0</v>
      </c>
      <c r="P81" s="134">
        <f t="shared" si="9"/>
        <v>4800</v>
      </c>
      <c r="Q81" s="153"/>
      <c r="R81" s="135"/>
      <c r="S81" s="135"/>
      <c r="T81" s="11">
        <v>2.5</v>
      </c>
    </row>
    <row r="82" spans="1:20">
      <c r="A82" s="463"/>
      <c r="B82" s="469"/>
      <c r="C82" s="464"/>
      <c r="D82" s="465"/>
      <c r="E82" s="383" t="s">
        <v>26</v>
      </c>
      <c r="F82" s="383" t="s">
        <v>27</v>
      </c>
      <c r="G82" s="114" t="s">
        <v>62</v>
      </c>
      <c r="H82" s="293" t="s">
        <v>128</v>
      </c>
      <c r="I82" s="133">
        <f>'Notes and Assumptions'!G76</f>
        <v>0</v>
      </c>
      <c r="J82" s="133">
        <f>'Notes and Assumptions'!H76</f>
        <v>32000</v>
      </c>
      <c r="K82" s="133">
        <f>'Notes and Assumptions'!I76</f>
        <v>0</v>
      </c>
      <c r="L82" s="133">
        <f>'Notes and Assumptions'!J76</f>
        <v>0</v>
      </c>
      <c r="M82" s="133">
        <f>'Notes and Assumptions'!K76</f>
        <v>0</v>
      </c>
      <c r="N82" s="133">
        <f>'Notes and Assumptions'!L76</f>
        <v>0</v>
      </c>
      <c r="O82" s="133">
        <f>'Notes and Assumptions'!M76</f>
        <v>0</v>
      </c>
      <c r="P82" s="134">
        <f t="shared" ref="P82:P83" si="10">SUM(I82:O82)</f>
        <v>32000</v>
      </c>
      <c r="Q82" s="153"/>
      <c r="R82" s="135"/>
      <c r="S82" s="135"/>
      <c r="T82" s="11">
        <v>2.5</v>
      </c>
    </row>
    <row r="83" spans="1:20">
      <c r="A83" s="463"/>
      <c r="B83" s="469"/>
      <c r="C83" s="464"/>
      <c r="D83" s="466"/>
      <c r="E83" s="383" t="s">
        <v>26</v>
      </c>
      <c r="F83" s="383" t="s">
        <v>27</v>
      </c>
      <c r="G83" s="342" t="s">
        <v>34</v>
      </c>
      <c r="H83" s="293" t="s">
        <v>129</v>
      </c>
      <c r="I83" s="133">
        <f>'Notes and Assumptions'!G77</f>
        <v>0</v>
      </c>
      <c r="J83" s="133">
        <f>'Notes and Assumptions'!H77</f>
        <v>6550</v>
      </c>
      <c r="K83" s="133">
        <f>'Notes and Assumptions'!I77</f>
        <v>0</v>
      </c>
      <c r="L83" s="133">
        <f>'Notes and Assumptions'!J77</f>
        <v>0</v>
      </c>
      <c r="M83" s="133">
        <f>'Notes and Assumptions'!K77</f>
        <v>0</v>
      </c>
      <c r="N83" s="133">
        <f>'Notes and Assumptions'!L77</f>
        <v>0</v>
      </c>
      <c r="O83" s="133">
        <f>'Notes and Assumptions'!M77</f>
        <v>0</v>
      </c>
      <c r="P83" s="134">
        <f t="shared" si="10"/>
        <v>6550</v>
      </c>
      <c r="Q83" s="153"/>
      <c r="R83" s="135"/>
      <c r="S83" s="135"/>
      <c r="T83" s="11">
        <v>2.5</v>
      </c>
    </row>
    <row r="84" spans="1:20">
      <c r="A84" s="463"/>
      <c r="B84" s="152"/>
      <c r="C84" s="96"/>
      <c r="D84" s="98"/>
      <c r="E84" s="96"/>
      <c r="F84" s="96"/>
      <c r="G84" s="95"/>
      <c r="H84" s="293"/>
      <c r="I84" s="133"/>
      <c r="J84" s="133"/>
      <c r="K84" s="133"/>
      <c r="L84" s="133"/>
      <c r="M84" s="133"/>
      <c r="N84" s="133"/>
      <c r="O84" s="133"/>
      <c r="P84" s="134"/>
      <c r="Q84" s="153">
        <f>SUM(P68:P83)</f>
        <v>557809.46423303755</v>
      </c>
      <c r="R84" s="153">
        <f>SUMIF(E68:E83,"GCF",P68:P83)</f>
        <v>505250</v>
      </c>
      <c r="S84" s="153">
        <f>SUMIF(E68:E83,"GoG",P68:P83)</f>
        <v>52559.464233037528</v>
      </c>
      <c r="T84" s="11">
        <v>2.5</v>
      </c>
    </row>
    <row r="85" spans="1:20">
      <c r="A85" s="463"/>
      <c r="B85" s="426" t="s">
        <v>130</v>
      </c>
      <c r="C85" s="426"/>
      <c r="D85" s="426"/>
      <c r="E85" s="426"/>
      <c r="F85" s="426"/>
      <c r="G85" s="426"/>
      <c r="H85" s="426"/>
      <c r="I85" s="357">
        <f t="shared" ref="I85:P85" si="11">SUMIF($E$5:$E$83,"GCF",I5:I83)</f>
        <v>4279308</v>
      </c>
      <c r="J85" s="357">
        <f t="shared" si="11"/>
        <v>4531008</v>
      </c>
      <c r="K85" s="357">
        <f t="shared" si="11"/>
        <v>3172074.6666666665</v>
      </c>
      <c r="L85" s="357">
        <f t="shared" si="11"/>
        <v>794924.66666666674</v>
      </c>
      <c r="M85" s="357">
        <f t="shared" si="11"/>
        <v>680774.66666666674</v>
      </c>
      <c r="N85" s="357">
        <f t="shared" si="11"/>
        <v>0</v>
      </c>
      <c r="O85" s="357">
        <f t="shared" si="11"/>
        <v>0</v>
      </c>
      <c r="P85" s="357">
        <f t="shared" si="11"/>
        <v>13458090</v>
      </c>
      <c r="Q85" s="153"/>
      <c r="R85" s="153"/>
      <c r="S85" s="153"/>
    </row>
    <row r="86" spans="1:20">
      <c r="A86" s="463"/>
      <c r="B86" s="426" t="s">
        <v>131</v>
      </c>
      <c r="C86" s="426"/>
      <c r="D86" s="426"/>
      <c r="E86" s="426"/>
      <c r="F86" s="426"/>
      <c r="G86" s="426"/>
      <c r="H86" s="426"/>
      <c r="I86" s="360">
        <f t="shared" ref="I86:O86" si="12">SUMIF($E$5:$E$83,"GoG",I5:I83)</f>
        <v>336270.98220157117</v>
      </c>
      <c r="J86" s="360">
        <f t="shared" si="12"/>
        <v>299970.88315334066</v>
      </c>
      <c r="K86" s="360">
        <f t="shared" si="12"/>
        <v>306857.96742755792</v>
      </c>
      <c r="L86" s="360">
        <f t="shared" si="12"/>
        <v>239225.04180438258</v>
      </c>
      <c r="M86" s="360">
        <f t="shared" si="12"/>
        <v>239225.04180438258</v>
      </c>
      <c r="N86" s="360">
        <f t="shared" si="12"/>
        <v>239225.04180438258</v>
      </c>
      <c r="O86" s="360">
        <f t="shared" si="12"/>
        <v>239225.04180438258</v>
      </c>
      <c r="P86" s="360">
        <f t="shared" ref="P86" si="13">SUMIF($E$5:$E$83,"GoG",P5:P83)</f>
        <v>1900000.0000000002</v>
      </c>
      <c r="Q86" s="289"/>
      <c r="R86" s="135"/>
      <c r="S86" s="135"/>
    </row>
    <row r="87" spans="1:20">
      <c r="A87" s="463"/>
      <c r="B87" s="426" t="s">
        <v>132</v>
      </c>
      <c r="C87" s="426"/>
      <c r="D87" s="426"/>
      <c r="E87" s="426"/>
      <c r="F87" s="426"/>
      <c r="G87" s="426"/>
      <c r="H87" s="426"/>
      <c r="I87" s="357">
        <f>I85+I86</f>
        <v>4615578.9822015716</v>
      </c>
      <c r="J87" s="357">
        <f t="shared" ref="J87:P87" si="14">J85+J86</f>
        <v>4830978.8831533408</v>
      </c>
      <c r="K87" s="357">
        <f t="shared" si="14"/>
        <v>3478932.6340942243</v>
      </c>
      <c r="L87" s="357">
        <f t="shared" si="14"/>
        <v>1034149.7084710493</v>
      </c>
      <c r="M87" s="357">
        <f t="shared" si="14"/>
        <v>919999.70847104932</v>
      </c>
      <c r="N87" s="357">
        <f t="shared" si="14"/>
        <v>239225.04180438258</v>
      </c>
      <c r="O87" s="357">
        <f t="shared" si="14"/>
        <v>239225.04180438258</v>
      </c>
      <c r="P87" s="357">
        <f t="shared" si="14"/>
        <v>15358090</v>
      </c>
      <c r="Q87" s="153"/>
      <c r="R87" s="135"/>
      <c r="S87" s="135"/>
    </row>
    <row r="88" spans="1:20" ht="14.5" customHeight="1">
      <c r="A88" s="305"/>
      <c r="B88" s="152"/>
      <c r="C88" s="96"/>
      <c r="D88" s="98"/>
      <c r="E88" s="96"/>
      <c r="F88" s="96"/>
      <c r="G88" s="95"/>
      <c r="H88" s="293"/>
      <c r="I88" s="133"/>
      <c r="J88" s="133"/>
      <c r="K88" s="133"/>
      <c r="L88" s="133"/>
      <c r="M88" s="133"/>
      <c r="N88" s="133"/>
      <c r="O88" s="133"/>
      <c r="P88" s="134"/>
      <c r="Q88" s="153"/>
      <c r="R88" s="135"/>
      <c r="S88" s="135"/>
    </row>
    <row r="89" spans="1:20" ht="44.5" customHeight="1">
      <c r="A89" s="441" t="s">
        <v>133</v>
      </c>
      <c r="B89" s="437" t="s">
        <v>937</v>
      </c>
      <c r="C89" s="427" t="s">
        <v>134</v>
      </c>
      <c r="D89" s="452" t="s">
        <v>943</v>
      </c>
      <c r="E89" s="90" t="s">
        <v>37</v>
      </c>
      <c r="F89" s="95" t="s">
        <v>137</v>
      </c>
      <c r="G89" s="342" t="s">
        <v>38</v>
      </c>
      <c r="H89" s="293" t="s">
        <v>136</v>
      </c>
      <c r="I89" s="133">
        <f>'Co-financing Summary'!D23/7</f>
        <v>13100.137918228571</v>
      </c>
      <c r="J89" s="133">
        <f>'Co-financing Summary'!D23/7</f>
        <v>13100.137918228571</v>
      </c>
      <c r="K89" s="133">
        <f>'Co-financing Summary'!D23/7</f>
        <v>13100.137918228571</v>
      </c>
      <c r="L89" s="133">
        <f>'Co-financing Summary'!D23/7</f>
        <v>13100.137918228571</v>
      </c>
      <c r="M89" s="133">
        <f>'Co-financing Summary'!D23/7</f>
        <v>13100.137918228571</v>
      </c>
      <c r="N89" s="133">
        <f>'Co-financing Summary'!D23/7</f>
        <v>13100.137918228571</v>
      </c>
      <c r="O89" s="133">
        <f>'Co-financing Summary'!D23/7</f>
        <v>13100.137918228571</v>
      </c>
      <c r="P89" s="134">
        <f>SUM(I89:O89)</f>
        <v>91700.965427600007</v>
      </c>
      <c r="Q89" s="153"/>
      <c r="R89" s="135"/>
      <c r="S89" s="135"/>
      <c r="T89" s="135"/>
    </row>
    <row r="90" spans="1:20" ht="44.5" customHeight="1">
      <c r="A90" s="442"/>
      <c r="B90" s="438"/>
      <c r="C90" s="427"/>
      <c r="D90" s="452"/>
      <c r="E90" s="90" t="s">
        <v>57</v>
      </c>
      <c r="F90" s="95" t="s">
        <v>137</v>
      </c>
      <c r="G90" s="342" t="s">
        <v>34</v>
      </c>
      <c r="H90" s="293" t="s">
        <v>138</v>
      </c>
      <c r="I90" s="133">
        <f>'Co-financing EPA cash'!$D$7</f>
        <v>250000</v>
      </c>
      <c r="J90" s="133"/>
      <c r="K90" s="133"/>
      <c r="L90" s="133"/>
      <c r="M90" s="133"/>
      <c r="N90" s="133"/>
      <c r="O90" s="133"/>
      <c r="P90" s="386">
        <f>SUM(I90:O90)</f>
        <v>250000</v>
      </c>
      <c r="Q90" s="153"/>
      <c r="R90" s="135"/>
      <c r="S90" s="135"/>
      <c r="T90" s="135"/>
    </row>
    <row r="91" spans="1:20" ht="44.5" customHeight="1">
      <c r="A91" s="442"/>
      <c r="B91" s="438"/>
      <c r="C91" s="427"/>
      <c r="D91" s="452"/>
      <c r="E91" s="90" t="s">
        <v>26</v>
      </c>
      <c r="F91" s="95" t="s">
        <v>137</v>
      </c>
      <c r="G91" s="342" t="s">
        <v>28</v>
      </c>
      <c r="H91" s="293" t="s">
        <v>139</v>
      </c>
      <c r="I91" s="133">
        <f>'Notes and Assumptions'!F82</f>
        <v>46851</v>
      </c>
      <c r="J91" s="133">
        <f>'Notes and Assumptions'!G82</f>
        <v>46851</v>
      </c>
      <c r="K91" s="133">
        <f>'Notes and Assumptions'!H82</f>
        <v>46851</v>
      </c>
      <c r="L91" s="133">
        <f>'Notes and Assumptions'!I82</f>
        <v>46851</v>
      </c>
      <c r="M91" s="133">
        <f>'Notes and Assumptions'!J82</f>
        <v>46851</v>
      </c>
      <c r="N91" s="133">
        <f>'Notes and Assumptions'!K82</f>
        <v>46851</v>
      </c>
      <c r="O91" s="133">
        <f>'Notes and Assumptions'!L82</f>
        <v>46851</v>
      </c>
      <c r="P91" s="134">
        <f>SUM(I91:O91)</f>
        <v>327957</v>
      </c>
      <c r="Q91" s="153"/>
      <c r="R91" s="135"/>
      <c r="S91" s="135"/>
      <c r="T91" s="135"/>
    </row>
    <row r="92" spans="1:20">
      <c r="A92" s="443"/>
      <c r="B92" s="453"/>
      <c r="C92" s="427"/>
      <c r="D92" s="452"/>
      <c r="E92" s="90" t="s">
        <v>26</v>
      </c>
      <c r="F92" s="95" t="s">
        <v>137</v>
      </c>
      <c r="G92" s="114" t="s">
        <v>140</v>
      </c>
      <c r="H92" s="293" t="s">
        <v>141</v>
      </c>
      <c r="I92" s="312">
        <f>'Notes and Assumptions'!G83</f>
        <v>7000</v>
      </c>
      <c r="J92" s="312">
        <f>'Notes and Assumptions'!H83</f>
        <v>0</v>
      </c>
      <c r="K92" s="312">
        <f>'Notes and Assumptions'!I83</f>
        <v>0</v>
      </c>
      <c r="L92" s="312">
        <f>'Notes and Assumptions'!J83</f>
        <v>0</v>
      </c>
      <c r="M92" s="312">
        <f>'Notes and Assumptions'!K83</f>
        <v>0</v>
      </c>
      <c r="N92" s="312">
        <f>'Notes and Assumptions'!L83</f>
        <v>0</v>
      </c>
      <c r="O92" s="133">
        <f>'Notes and Assumptions'!M83</f>
        <v>0</v>
      </c>
      <c r="P92" s="134">
        <f t="shared" ref="P92:P96" si="15">SUM(I92:O92)</f>
        <v>7000</v>
      </c>
      <c r="Q92" s="153"/>
      <c r="R92" s="135"/>
      <c r="S92" s="135"/>
      <c r="T92" s="135"/>
    </row>
    <row r="93" spans="1:20">
      <c r="A93" s="443"/>
      <c r="B93" s="453"/>
      <c r="C93" s="427"/>
      <c r="D93" s="452"/>
      <c r="E93" s="90" t="s">
        <v>26</v>
      </c>
      <c r="F93" s="95" t="s">
        <v>137</v>
      </c>
      <c r="G93" s="342" t="s">
        <v>142</v>
      </c>
      <c r="H93" s="293" t="s">
        <v>143</v>
      </c>
      <c r="I93" s="133">
        <f>'Notes and Assumptions'!G84</f>
        <v>4000</v>
      </c>
      <c r="J93" s="133">
        <f>'Notes and Assumptions'!H84</f>
        <v>4000</v>
      </c>
      <c r="K93" s="133">
        <f>'Notes and Assumptions'!I84</f>
        <v>4000</v>
      </c>
      <c r="L93" s="133">
        <f>'Notes and Assumptions'!J84</f>
        <v>4000</v>
      </c>
      <c r="M93" s="133">
        <f>'Notes and Assumptions'!K84</f>
        <v>4000</v>
      </c>
      <c r="N93" s="133">
        <f>'Notes and Assumptions'!L84</f>
        <v>4000</v>
      </c>
      <c r="O93" s="133">
        <f>'Notes and Assumptions'!M84</f>
        <v>4000</v>
      </c>
      <c r="P93" s="134">
        <f t="shared" si="15"/>
        <v>28000</v>
      </c>
      <c r="Q93" s="153"/>
      <c r="R93" s="135"/>
      <c r="S93" s="135"/>
      <c r="T93" s="135"/>
    </row>
    <row r="94" spans="1:20" ht="35.5" customHeight="1">
      <c r="A94" s="443"/>
      <c r="B94" s="453"/>
      <c r="C94" s="427"/>
      <c r="D94" s="100" t="s">
        <v>144</v>
      </c>
      <c r="E94" s="90" t="s">
        <v>26</v>
      </c>
      <c r="F94" s="95" t="s">
        <v>137</v>
      </c>
      <c r="G94" s="114" t="s">
        <v>140</v>
      </c>
      <c r="H94" s="293" t="s">
        <v>145</v>
      </c>
      <c r="I94" s="133">
        <f>'Notes and Assumptions'!G85</f>
        <v>2000</v>
      </c>
      <c r="J94" s="133">
        <f>'Notes and Assumptions'!H85</f>
        <v>0</v>
      </c>
      <c r="K94" s="133">
        <f>'Notes and Assumptions'!I85</f>
        <v>0</v>
      </c>
      <c r="L94" s="133">
        <f>'Notes and Assumptions'!J85</f>
        <v>0</v>
      </c>
      <c r="M94" s="133">
        <f>'Notes and Assumptions'!K85</f>
        <v>0</v>
      </c>
      <c r="N94" s="133">
        <f>'Notes and Assumptions'!L85</f>
        <v>0</v>
      </c>
      <c r="O94" s="133">
        <f>'Notes and Assumptions'!M85</f>
        <v>0</v>
      </c>
      <c r="P94" s="134">
        <f t="shared" si="15"/>
        <v>2000</v>
      </c>
      <c r="Q94" s="153"/>
      <c r="R94" s="135"/>
      <c r="S94" s="135"/>
      <c r="T94" s="135"/>
    </row>
    <row r="95" spans="1:20">
      <c r="A95" s="443"/>
      <c r="B95" s="453"/>
      <c r="C95" s="427"/>
      <c r="D95" s="427" t="s">
        <v>146</v>
      </c>
      <c r="E95" s="90" t="s">
        <v>26</v>
      </c>
      <c r="F95" s="95" t="s">
        <v>137</v>
      </c>
      <c r="G95" s="91" t="s">
        <v>32</v>
      </c>
      <c r="H95" s="293" t="s">
        <v>147</v>
      </c>
      <c r="I95" s="133">
        <f>'Notes and Assumptions'!G86</f>
        <v>32000</v>
      </c>
      <c r="J95" s="133">
        <f>'Notes and Assumptions'!H86</f>
        <v>32000</v>
      </c>
      <c r="K95" s="133">
        <f>'Notes and Assumptions'!I86</f>
        <v>32000</v>
      </c>
      <c r="L95" s="133">
        <f>'Notes and Assumptions'!J86</f>
        <v>32000</v>
      </c>
      <c r="M95" s="133">
        <f>'Notes and Assumptions'!K86</f>
        <v>32000</v>
      </c>
      <c r="N95" s="133">
        <f>'Notes and Assumptions'!L86</f>
        <v>32000</v>
      </c>
      <c r="O95" s="133">
        <f>'Notes and Assumptions'!M86</f>
        <v>32000</v>
      </c>
      <c r="P95" s="134">
        <f t="shared" si="15"/>
        <v>224000</v>
      </c>
      <c r="Q95" s="153"/>
      <c r="R95" s="135"/>
      <c r="S95" s="135"/>
      <c r="T95" s="135"/>
    </row>
    <row r="96" spans="1:20">
      <c r="A96" s="443"/>
      <c r="B96" s="453"/>
      <c r="C96" s="427"/>
      <c r="D96" s="427"/>
      <c r="E96" s="90" t="s">
        <v>26</v>
      </c>
      <c r="F96" s="95" t="s">
        <v>137</v>
      </c>
      <c r="G96" s="114" t="s">
        <v>62</v>
      </c>
      <c r="H96" s="293" t="s">
        <v>148</v>
      </c>
      <c r="I96" s="133">
        <f>'Notes and Assumptions'!G87</f>
        <v>20800</v>
      </c>
      <c r="J96" s="133">
        <f>'Notes and Assumptions'!H87</f>
        <v>20800</v>
      </c>
      <c r="K96" s="133">
        <f>'Notes and Assumptions'!I87</f>
        <v>20800</v>
      </c>
      <c r="L96" s="133">
        <f>'Notes and Assumptions'!J87</f>
        <v>20800</v>
      </c>
      <c r="M96" s="133">
        <f>'Notes and Assumptions'!K87</f>
        <v>20800</v>
      </c>
      <c r="N96" s="133">
        <f>'Notes and Assumptions'!L87</f>
        <v>20800</v>
      </c>
      <c r="O96" s="133">
        <f>'Notes and Assumptions'!M87</f>
        <v>20800</v>
      </c>
      <c r="P96" s="134">
        <f t="shared" si="15"/>
        <v>145600</v>
      </c>
      <c r="Q96" s="153"/>
      <c r="R96" s="135"/>
      <c r="S96" s="135"/>
      <c r="T96" s="135"/>
    </row>
    <row r="97" spans="1:20">
      <c r="A97" s="443"/>
      <c r="B97" s="453"/>
      <c r="C97" s="345"/>
      <c r="D97" s="98"/>
      <c r="E97" s="96"/>
      <c r="F97" s="98"/>
      <c r="G97" s="95"/>
      <c r="H97" s="293"/>
      <c r="I97" s="133"/>
      <c r="J97" s="133"/>
      <c r="K97" s="133"/>
      <c r="L97" s="133"/>
      <c r="M97" s="133"/>
      <c r="N97" s="133"/>
      <c r="O97" s="133"/>
      <c r="P97" s="134"/>
      <c r="Q97" s="153">
        <f>SUM(P89:P96)</f>
        <v>1076257.9654276001</v>
      </c>
      <c r="R97" s="135">
        <f>SUMIF(E89:E96,"GCF",P89:P96)</f>
        <v>734557</v>
      </c>
      <c r="S97" s="135">
        <f>SUMIF(E89:E96,"GoG",P89:P96)</f>
        <v>341700.96542760002</v>
      </c>
      <c r="T97" s="135"/>
    </row>
    <row r="98" spans="1:20">
      <c r="A98" s="443"/>
      <c r="B98" s="453"/>
      <c r="C98" s="96"/>
      <c r="D98" s="98"/>
      <c r="E98" s="96"/>
      <c r="F98" s="98"/>
      <c r="G98" s="95"/>
      <c r="H98" s="293"/>
      <c r="I98" s="133"/>
      <c r="J98" s="133"/>
      <c r="K98" s="133"/>
      <c r="L98" s="133"/>
      <c r="M98" s="133"/>
      <c r="N98" s="133"/>
      <c r="O98" s="133"/>
      <c r="P98" s="134"/>
      <c r="Q98" s="153"/>
      <c r="R98" s="135"/>
      <c r="S98" s="135"/>
    </row>
    <row r="99" spans="1:20" ht="29.15" customHeight="1">
      <c r="A99" s="443"/>
      <c r="B99" s="453"/>
      <c r="C99" s="427" t="s">
        <v>149</v>
      </c>
      <c r="D99" s="450" t="s">
        <v>150</v>
      </c>
      <c r="E99" s="96" t="s">
        <v>37</v>
      </c>
      <c r="F99" s="95" t="s">
        <v>137</v>
      </c>
      <c r="G99" s="95" t="s">
        <v>38</v>
      </c>
      <c r="H99" s="293" t="s">
        <v>151</v>
      </c>
      <c r="I99" s="133">
        <f>'Co-financing Summary'!$D$25/7</f>
        <v>12548.820561031742</v>
      </c>
      <c r="J99" s="133">
        <f>'Co-financing Summary'!$D$25/7</f>
        <v>12548.820561031742</v>
      </c>
      <c r="K99" s="133">
        <f>'Co-financing Summary'!$D$25/7</f>
        <v>12548.820561031742</v>
      </c>
      <c r="L99" s="133">
        <f>'Co-financing Summary'!$D$25/7</f>
        <v>12548.820561031742</v>
      </c>
      <c r="M99" s="133">
        <f>'Co-financing Summary'!$D$25/7</f>
        <v>12548.820561031742</v>
      </c>
      <c r="N99" s="133">
        <f>'Co-financing Summary'!$D$25/7</f>
        <v>12548.820561031742</v>
      </c>
      <c r="O99" s="133">
        <f>'Co-financing Summary'!$D$25/7</f>
        <v>12548.820561031742</v>
      </c>
      <c r="P99" s="134">
        <f t="shared" ref="P99:P108" si="16">SUM(I99:O99)</f>
        <v>87841.743927222182</v>
      </c>
      <c r="Q99" s="153"/>
      <c r="R99" s="135"/>
      <c r="S99" s="135"/>
      <c r="T99" s="11">
        <v>3.1</v>
      </c>
    </row>
    <row r="100" spans="1:20">
      <c r="A100" s="443"/>
      <c r="B100" s="453"/>
      <c r="C100" s="427"/>
      <c r="D100" s="450"/>
      <c r="E100" s="96" t="s">
        <v>26</v>
      </c>
      <c r="F100" s="95" t="s">
        <v>137</v>
      </c>
      <c r="G100" s="91" t="s">
        <v>32</v>
      </c>
      <c r="H100" s="293" t="s">
        <v>152</v>
      </c>
      <c r="I100" s="133">
        <f>'Notes and Assumptions'!G89</f>
        <v>19200</v>
      </c>
      <c r="J100" s="133">
        <f>'Notes and Assumptions'!H89</f>
        <v>19200</v>
      </c>
      <c r="K100" s="133">
        <f>'Notes and Assumptions'!I89</f>
        <v>19200</v>
      </c>
      <c r="L100" s="133">
        <f>'Notes and Assumptions'!J89</f>
        <v>19200</v>
      </c>
      <c r="M100" s="133">
        <f>'Notes and Assumptions'!K89</f>
        <v>19200</v>
      </c>
      <c r="N100" s="133">
        <f>'Notes and Assumptions'!L89</f>
        <v>0</v>
      </c>
      <c r="O100" s="133">
        <f>'Notes and Assumptions'!M89</f>
        <v>0</v>
      </c>
      <c r="P100" s="134">
        <f t="shared" si="16"/>
        <v>96000</v>
      </c>
      <c r="Q100" s="153"/>
      <c r="R100" s="135"/>
      <c r="S100" s="135"/>
      <c r="T100" s="11">
        <v>3.1</v>
      </c>
    </row>
    <row r="101" spans="1:20">
      <c r="A101" s="443"/>
      <c r="B101" s="453"/>
      <c r="C101" s="427"/>
      <c r="D101" s="450"/>
      <c r="E101" s="96" t="s">
        <v>26</v>
      </c>
      <c r="F101" s="95" t="s">
        <v>137</v>
      </c>
      <c r="G101" s="95" t="s">
        <v>34</v>
      </c>
      <c r="H101" s="293" t="s">
        <v>153</v>
      </c>
      <c r="I101" s="133">
        <f>'Notes and Assumptions'!G90</f>
        <v>16640</v>
      </c>
      <c r="J101" s="133">
        <f>'Notes and Assumptions'!H90</f>
        <v>0</v>
      </c>
      <c r="K101" s="133">
        <f>'Notes and Assumptions'!I90</f>
        <v>0</v>
      </c>
      <c r="L101" s="133">
        <f>'Notes and Assumptions'!J90</f>
        <v>0</v>
      </c>
      <c r="M101" s="133">
        <f>'Notes and Assumptions'!K90</f>
        <v>0</v>
      </c>
      <c r="N101" s="133">
        <f>'Notes and Assumptions'!L90</f>
        <v>0</v>
      </c>
      <c r="O101" s="133">
        <f>'Notes and Assumptions'!M90</f>
        <v>0</v>
      </c>
      <c r="P101" s="134">
        <f t="shared" si="16"/>
        <v>16640</v>
      </c>
      <c r="Q101" s="153"/>
      <c r="R101" s="135"/>
      <c r="S101" s="135"/>
      <c r="T101" s="11">
        <v>3.1</v>
      </c>
    </row>
    <row r="102" spans="1:20">
      <c r="A102" s="443"/>
      <c r="B102" s="453"/>
      <c r="C102" s="427"/>
      <c r="D102" s="450"/>
      <c r="E102" s="96" t="s">
        <v>26</v>
      </c>
      <c r="F102" s="95" t="s">
        <v>137</v>
      </c>
      <c r="G102" s="95" t="s">
        <v>34</v>
      </c>
      <c r="H102" s="293" t="s">
        <v>154</v>
      </c>
      <c r="I102" s="133">
        <f>'Notes and Assumptions'!H91</f>
        <v>6000</v>
      </c>
      <c r="J102" s="133">
        <f>'Notes and Assumptions'!I91</f>
        <v>0</v>
      </c>
      <c r="K102" s="133">
        <f>'Notes and Assumptions'!J91</f>
        <v>0</v>
      </c>
      <c r="L102" s="133">
        <f>'Notes and Assumptions'!K91</f>
        <v>0</v>
      </c>
      <c r="M102" s="133">
        <f>'Notes and Assumptions'!L91</f>
        <v>0</v>
      </c>
      <c r="N102" s="133">
        <f>'Notes and Assumptions'!M91</f>
        <v>0</v>
      </c>
      <c r="O102" s="133">
        <f>'Notes and Assumptions'!N91</f>
        <v>0</v>
      </c>
      <c r="P102" s="134">
        <f t="shared" si="16"/>
        <v>6000</v>
      </c>
      <c r="Q102" s="153"/>
      <c r="R102" s="135"/>
      <c r="S102" s="135"/>
      <c r="T102" s="11">
        <v>3.1</v>
      </c>
    </row>
    <row r="103" spans="1:20" ht="29">
      <c r="A103" s="443"/>
      <c r="B103" s="453"/>
      <c r="C103" s="427"/>
      <c r="D103" s="98" t="s">
        <v>155</v>
      </c>
      <c r="E103" s="96" t="s">
        <v>26</v>
      </c>
      <c r="F103" s="95" t="s">
        <v>137</v>
      </c>
      <c r="G103" s="114" t="s">
        <v>62</v>
      </c>
      <c r="H103" s="293" t="s">
        <v>156</v>
      </c>
      <c r="I103" s="133">
        <f>'Notes and Assumptions'!G92</f>
        <v>7000</v>
      </c>
      <c r="J103" s="133">
        <f>'Notes and Assumptions'!H92</f>
        <v>0</v>
      </c>
      <c r="K103" s="133">
        <f>'Notes and Assumptions'!I92</f>
        <v>0</v>
      </c>
      <c r="L103" s="133">
        <f>'Notes and Assumptions'!J92</f>
        <v>0</v>
      </c>
      <c r="M103" s="133">
        <f>'Notes and Assumptions'!K92</f>
        <v>0</v>
      </c>
      <c r="N103" s="133">
        <f>'Notes and Assumptions'!L92</f>
        <v>0</v>
      </c>
      <c r="O103" s="133">
        <f>'Notes and Assumptions'!M92</f>
        <v>0</v>
      </c>
      <c r="P103" s="134">
        <f t="shared" si="16"/>
        <v>7000</v>
      </c>
      <c r="Q103" s="153"/>
      <c r="R103" s="135"/>
      <c r="S103" s="135"/>
      <c r="T103" s="11">
        <v>3.1</v>
      </c>
    </row>
    <row r="104" spans="1:20" ht="29">
      <c r="A104" s="443"/>
      <c r="B104" s="453"/>
      <c r="C104" s="427"/>
      <c r="D104" s="98" t="s">
        <v>157</v>
      </c>
      <c r="E104" s="96" t="s">
        <v>26</v>
      </c>
      <c r="F104" s="95" t="s">
        <v>137</v>
      </c>
      <c r="G104" s="114" t="s">
        <v>62</v>
      </c>
      <c r="H104" s="293" t="s">
        <v>158</v>
      </c>
      <c r="I104" s="133">
        <f>'Notes and Assumptions'!G93</f>
        <v>2000</v>
      </c>
      <c r="J104" s="133">
        <f>'Notes and Assumptions'!H93</f>
        <v>0</v>
      </c>
      <c r="K104" s="133">
        <f>'Notes and Assumptions'!I93</f>
        <v>0</v>
      </c>
      <c r="L104" s="133">
        <f>'Notes and Assumptions'!J93</f>
        <v>0</v>
      </c>
      <c r="M104" s="133">
        <f>'Notes and Assumptions'!K93</f>
        <v>0</v>
      </c>
      <c r="N104" s="133">
        <f>'Notes and Assumptions'!L93</f>
        <v>0</v>
      </c>
      <c r="O104" s="133">
        <f>'Notes and Assumptions'!M93</f>
        <v>0</v>
      </c>
      <c r="P104" s="134">
        <f t="shared" si="16"/>
        <v>2000</v>
      </c>
      <c r="Q104" s="153"/>
      <c r="R104" s="135"/>
      <c r="S104" s="135"/>
      <c r="T104" s="11">
        <v>3.1</v>
      </c>
    </row>
    <row r="105" spans="1:20">
      <c r="A105" s="443"/>
      <c r="B105" s="453"/>
      <c r="C105" s="427"/>
      <c r="D105" s="452" t="s">
        <v>944</v>
      </c>
      <c r="E105" s="96" t="s">
        <v>26</v>
      </c>
      <c r="F105" s="95" t="s">
        <v>137</v>
      </c>
      <c r="G105" s="91" t="s">
        <v>32</v>
      </c>
      <c r="H105" s="293" t="s">
        <v>159</v>
      </c>
      <c r="I105" s="133">
        <f>'Notes and Assumptions'!G94</f>
        <v>19200</v>
      </c>
      <c r="J105" s="133">
        <f>'Notes and Assumptions'!H94</f>
        <v>19200</v>
      </c>
      <c r="K105" s="133">
        <f>'Notes and Assumptions'!I94</f>
        <v>19200</v>
      </c>
      <c r="L105" s="133">
        <f>'Notes and Assumptions'!J94</f>
        <v>19200</v>
      </c>
      <c r="M105" s="133">
        <f>'Notes and Assumptions'!K94</f>
        <v>19200</v>
      </c>
      <c r="N105" s="133">
        <f>'Notes and Assumptions'!L94</f>
        <v>0</v>
      </c>
      <c r="O105" s="133">
        <f>'Notes and Assumptions'!M94</f>
        <v>0</v>
      </c>
      <c r="P105" s="134">
        <f t="shared" si="16"/>
        <v>96000</v>
      </c>
      <c r="Q105" s="153"/>
      <c r="R105" s="135"/>
      <c r="S105" s="135"/>
      <c r="T105" s="11">
        <v>3.1</v>
      </c>
    </row>
    <row r="106" spans="1:20">
      <c r="A106" s="443"/>
      <c r="B106" s="453"/>
      <c r="C106" s="427"/>
      <c r="D106" s="452"/>
      <c r="E106" s="96" t="s">
        <v>26</v>
      </c>
      <c r="F106" s="95" t="s">
        <v>137</v>
      </c>
      <c r="G106" s="95" t="s">
        <v>30</v>
      </c>
      <c r="H106" s="293" t="s">
        <v>160</v>
      </c>
      <c r="I106" s="133">
        <f>'Notes and Assumptions'!G95</f>
        <v>12000</v>
      </c>
      <c r="J106" s="133">
        <f>'Notes and Assumptions'!H95</f>
        <v>12000</v>
      </c>
      <c r="K106" s="133">
        <f>'Notes and Assumptions'!I95</f>
        <v>12000</v>
      </c>
      <c r="L106" s="133">
        <f>'Notes and Assumptions'!J95</f>
        <v>12000</v>
      </c>
      <c r="M106" s="133">
        <f>'Notes and Assumptions'!K95</f>
        <v>12000</v>
      </c>
      <c r="N106" s="133">
        <f>'Notes and Assumptions'!L95</f>
        <v>0</v>
      </c>
      <c r="O106" s="133">
        <f>'Notes and Assumptions'!M95</f>
        <v>0</v>
      </c>
      <c r="P106" s="134">
        <f t="shared" si="16"/>
        <v>60000</v>
      </c>
      <c r="Q106" s="153"/>
      <c r="R106" s="135"/>
      <c r="S106" s="135"/>
      <c r="T106" s="11">
        <v>3.1</v>
      </c>
    </row>
    <row r="107" spans="1:20" ht="29">
      <c r="A107" s="443"/>
      <c r="B107" s="453"/>
      <c r="C107" s="427"/>
      <c r="D107" s="98" t="s">
        <v>161</v>
      </c>
      <c r="E107" s="96" t="s">
        <v>26</v>
      </c>
      <c r="F107" s="95" t="s">
        <v>137</v>
      </c>
      <c r="G107" s="100" t="s">
        <v>30</v>
      </c>
      <c r="H107" s="293" t="s">
        <v>162</v>
      </c>
      <c r="I107" s="133">
        <f>'Notes and Assumptions'!G96</f>
        <v>0</v>
      </c>
      <c r="J107" s="133">
        <f>'Notes and Assumptions'!H96</f>
        <v>48000</v>
      </c>
      <c r="K107" s="133">
        <f>'Notes and Assumptions'!I96</f>
        <v>48000</v>
      </c>
      <c r="L107" s="133">
        <f>'Notes and Assumptions'!J96</f>
        <v>48000</v>
      </c>
      <c r="M107" s="133">
        <f>'Notes and Assumptions'!K96</f>
        <v>48000</v>
      </c>
      <c r="N107" s="133">
        <f>'Notes and Assumptions'!L96</f>
        <v>48000</v>
      </c>
      <c r="O107" s="133">
        <f>'Notes and Assumptions'!M96</f>
        <v>0</v>
      </c>
      <c r="P107" s="134">
        <f t="shared" si="16"/>
        <v>240000</v>
      </c>
      <c r="Q107" s="153"/>
      <c r="R107" s="135"/>
      <c r="S107" s="135"/>
      <c r="T107" s="11">
        <v>3.1</v>
      </c>
    </row>
    <row r="108" spans="1:20">
      <c r="A108" s="443"/>
      <c r="B108" s="453"/>
      <c r="C108" s="427"/>
      <c r="D108" s="98" t="s">
        <v>163</v>
      </c>
      <c r="E108" s="96" t="s">
        <v>26</v>
      </c>
      <c r="F108" s="95" t="s">
        <v>137</v>
      </c>
      <c r="G108" s="95" t="s">
        <v>40</v>
      </c>
      <c r="H108" s="293" t="s">
        <v>164</v>
      </c>
      <c r="I108" s="133">
        <f>'Notes and Assumptions'!G97</f>
        <v>36000</v>
      </c>
      <c r="J108" s="133">
        <f>'Notes and Assumptions'!H97</f>
        <v>36000</v>
      </c>
      <c r="K108" s="133">
        <f>'Notes and Assumptions'!I97</f>
        <v>36000</v>
      </c>
      <c r="L108" s="133">
        <f>'Notes and Assumptions'!J97</f>
        <v>36000</v>
      </c>
      <c r="M108" s="133">
        <f>'Notes and Assumptions'!K97</f>
        <v>36000</v>
      </c>
      <c r="N108" s="133">
        <f>'Notes and Assumptions'!L97</f>
        <v>0</v>
      </c>
      <c r="O108" s="133">
        <f>'Notes and Assumptions'!M97</f>
        <v>0</v>
      </c>
      <c r="P108" s="134">
        <f t="shared" si="16"/>
        <v>180000</v>
      </c>
      <c r="Q108" s="153"/>
      <c r="R108" s="135"/>
      <c r="S108" s="135"/>
      <c r="T108" s="11">
        <v>3.1</v>
      </c>
    </row>
    <row r="109" spans="1:20">
      <c r="A109" s="443"/>
      <c r="B109" s="453"/>
      <c r="C109" s="96"/>
      <c r="D109" s="98"/>
      <c r="E109" s="96"/>
      <c r="F109" s="98"/>
      <c r="G109" s="342"/>
      <c r="H109" s="293"/>
      <c r="I109" s="133"/>
      <c r="J109" s="133"/>
      <c r="K109" s="133"/>
      <c r="L109" s="133"/>
      <c r="M109" s="133"/>
      <c r="N109" s="133"/>
      <c r="O109" s="133"/>
      <c r="P109" s="134"/>
      <c r="Q109" s="153">
        <f>SUM(P99:P108)</f>
        <v>791481.74392722221</v>
      </c>
      <c r="R109" s="153">
        <f>SUMIF(E99:E108,"GCF",P99:P108)</f>
        <v>703640</v>
      </c>
      <c r="S109" s="153">
        <f>SUMIF(E99:E108,"GoG",P99:P108)</f>
        <v>87841.743927222182</v>
      </c>
      <c r="T109" s="11">
        <v>3.1</v>
      </c>
    </row>
    <row r="110" spans="1:20">
      <c r="A110" s="443"/>
      <c r="B110" s="453"/>
      <c r="C110" s="450" t="s">
        <v>165</v>
      </c>
      <c r="D110" s="450" t="s">
        <v>166</v>
      </c>
      <c r="E110" s="96" t="s">
        <v>26</v>
      </c>
      <c r="F110" s="95" t="s">
        <v>137</v>
      </c>
      <c r="G110" s="100" t="s">
        <v>62</v>
      </c>
      <c r="H110" s="293" t="s">
        <v>167</v>
      </c>
      <c r="I110" s="133">
        <f>'Notes and Assumptions'!G98</f>
        <v>48000</v>
      </c>
      <c r="J110" s="133">
        <f>'Notes and Assumptions'!H98</f>
        <v>48000</v>
      </c>
      <c r="K110" s="133">
        <f>'Notes and Assumptions'!I98</f>
        <v>48000</v>
      </c>
      <c r="L110" s="133">
        <f>'Notes and Assumptions'!J98</f>
        <v>48000</v>
      </c>
      <c r="M110" s="133">
        <f>'Notes and Assumptions'!K98</f>
        <v>48000</v>
      </c>
      <c r="N110" s="133">
        <f>'Notes and Assumptions'!L98</f>
        <v>0</v>
      </c>
      <c r="O110" s="133">
        <f>'Notes and Assumptions'!M98</f>
        <v>0</v>
      </c>
      <c r="P110" s="134">
        <f t="shared" ref="P110:P115" si="17">SUM(I110:O110)</f>
        <v>240000</v>
      </c>
      <c r="Q110" s="153"/>
      <c r="R110" s="135"/>
      <c r="S110" s="135"/>
      <c r="T110" s="11">
        <v>3.2</v>
      </c>
    </row>
    <row r="111" spans="1:20">
      <c r="A111" s="443"/>
      <c r="B111" s="453"/>
      <c r="C111" s="450"/>
      <c r="D111" s="450"/>
      <c r="E111" s="96" t="s">
        <v>26</v>
      </c>
      <c r="F111" s="95" t="s">
        <v>137</v>
      </c>
      <c r="G111" s="95" t="s">
        <v>34</v>
      </c>
      <c r="H111" s="293" t="s">
        <v>168</v>
      </c>
      <c r="I111" s="133">
        <f>'Notes and Assumptions'!G99</f>
        <v>41600</v>
      </c>
      <c r="J111" s="133">
        <f>'Notes and Assumptions'!H99</f>
        <v>0</v>
      </c>
      <c r="K111" s="133">
        <f>'Notes and Assumptions'!I99</f>
        <v>0</v>
      </c>
      <c r="L111" s="133">
        <f>'Notes and Assumptions'!J99</f>
        <v>0</v>
      </c>
      <c r="M111" s="133">
        <f>'Notes and Assumptions'!K99</f>
        <v>0</v>
      </c>
      <c r="N111" s="133">
        <f>'Notes and Assumptions'!L99</f>
        <v>0</v>
      </c>
      <c r="O111" s="133">
        <f>'Notes and Assumptions'!M99</f>
        <v>0</v>
      </c>
      <c r="P111" s="134">
        <f t="shared" si="17"/>
        <v>41600</v>
      </c>
      <c r="Q111" s="153"/>
      <c r="R111" s="135"/>
      <c r="S111" s="135"/>
      <c r="T111" s="11">
        <v>3.2</v>
      </c>
    </row>
    <row r="112" spans="1:20">
      <c r="A112" s="443"/>
      <c r="B112" s="453"/>
      <c r="C112" s="450"/>
      <c r="D112" s="450"/>
      <c r="E112" s="96" t="s">
        <v>26</v>
      </c>
      <c r="F112" s="95" t="s">
        <v>137</v>
      </c>
      <c r="G112" s="95" t="s">
        <v>34</v>
      </c>
      <c r="H112" s="293" t="s">
        <v>169</v>
      </c>
      <c r="I112" s="133">
        <f>'Notes and Assumptions'!G100</f>
        <v>26000</v>
      </c>
      <c r="J112" s="133">
        <f>'Notes and Assumptions'!H100</f>
        <v>26000</v>
      </c>
      <c r="K112" s="133">
        <f>'Notes and Assumptions'!I100</f>
        <v>26000</v>
      </c>
      <c r="L112" s="133">
        <f>'Notes and Assumptions'!J100</f>
        <v>26000</v>
      </c>
      <c r="M112" s="133">
        <f>'Notes and Assumptions'!K100</f>
        <v>26000</v>
      </c>
      <c r="N112" s="133">
        <f>'Notes and Assumptions'!L100</f>
        <v>0</v>
      </c>
      <c r="O112" s="133">
        <f>'Notes and Assumptions'!M100</f>
        <v>0</v>
      </c>
      <c r="P112" s="134">
        <f t="shared" si="17"/>
        <v>130000</v>
      </c>
      <c r="Q112" s="153"/>
      <c r="R112" s="135"/>
      <c r="S112" s="135"/>
      <c r="T112" s="11">
        <v>3.2</v>
      </c>
    </row>
    <row r="113" spans="1:20">
      <c r="A113" s="443"/>
      <c r="B113" s="453"/>
      <c r="C113" s="450"/>
      <c r="D113" s="450"/>
      <c r="E113" s="96" t="s">
        <v>26</v>
      </c>
      <c r="F113" s="95" t="s">
        <v>137</v>
      </c>
      <c r="G113" s="95" t="s">
        <v>170</v>
      </c>
      <c r="H113" s="293" t="s">
        <v>171</v>
      </c>
      <c r="I113" s="133">
        <f>'Notes and Assumptions'!G101</f>
        <v>7200</v>
      </c>
      <c r="J113" s="133">
        <f>'Notes and Assumptions'!H101</f>
        <v>7200</v>
      </c>
      <c r="K113" s="133">
        <f>'Notes and Assumptions'!I101</f>
        <v>7200</v>
      </c>
      <c r="L113" s="133">
        <f>'Notes and Assumptions'!J101</f>
        <v>7200</v>
      </c>
      <c r="M113" s="133">
        <f>'Notes and Assumptions'!K101</f>
        <v>7200</v>
      </c>
      <c r="N113" s="133">
        <f>'Notes and Assumptions'!L101</f>
        <v>0</v>
      </c>
      <c r="O113" s="133">
        <f>'Notes and Assumptions'!M101</f>
        <v>0</v>
      </c>
      <c r="P113" s="134">
        <f t="shared" si="17"/>
        <v>36000</v>
      </c>
      <c r="Q113" s="153"/>
      <c r="R113" s="135"/>
      <c r="S113" s="135"/>
      <c r="T113" s="11">
        <v>3.2</v>
      </c>
    </row>
    <row r="114" spans="1:20">
      <c r="A114" s="443"/>
      <c r="B114" s="453"/>
      <c r="C114" s="450"/>
      <c r="D114" s="450"/>
      <c r="E114" s="96" t="s">
        <v>26</v>
      </c>
      <c r="F114" s="95" t="s">
        <v>137</v>
      </c>
      <c r="G114" s="114" t="s">
        <v>62</v>
      </c>
      <c r="H114" s="293" t="s">
        <v>172</v>
      </c>
      <c r="I114" s="133">
        <f>'Notes and Assumptions'!G102</f>
        <v>48000</v>
      </c>
      <c r="J114" s="133">
        <f>'Notes and Assumptions'!H102</f>
        <v>48000</v>
      </c>
      <c r="K114" s="133">
        <f>'Notes and Assumptions'!I102</f>
        <v>48000</v>
      </c>
      <c r="L114" s="133">
        <f>'Notes and Assumptions'!J102</f>
        <v>48000</v>
      </c>
      <c r="M114" s="133">
        <f>'Notes and Assumptions'!K102</f>
        <v>48000</v>
      </c>
      <c r="N114" s="133">
        <f>'Notes and Assumptions'!L102</f>
        <v>48000</v>
      </c>
      <c r="O114" s="133">
        <f>'Notes and Assumptions'!M102</f>
        <v>48000</v>
      </c>
      <c r="P114" s="134">
        <f t="shared" si="17"/>
        <v>336000</v>
      </c>
      <c r="Q114" s="153"/>
      <c r="R114" s="135"/>
      <c r="S114" s="135"/>
      <c r="T114" s="11">
        <v>3.2</v>
      </c>
    </row>
    <row r="115" spans="1:20" ht="43.5">
      <c r="A115" s="443"/>
      <c r="B115" s="453"/>
      <c r="C115" s="450"/>
      <c r="D115" s="95" t="s">
        <v>173</v>
      </c>
      <c r="E115" s="96" t="s">
        <v>37</v>
      </c>
      <c r="F115" s="95" t="s">
        <v>137</v>
      </c>
      <c r="G115" s="95" t="s">
        <v>38</v>
      </c>
      <c r="H115" s="293" t="s">
        <v>174</v>
      </c>
      <c r="I115" s="133">
        <f>'Co-financing Summary'!$D$26/7</f>
        <v>13974.839110375297</v>
      </c>
      <c r="J115" s="133">
        <f>'Co-financing Summary'!$D$26/7</f>
        <v>13974.839110375297</v>
      </c>
      <c r="K115" s="133">
        <f>'Co-financing Summary'!$D$26/7</f>
        <v>13974.839110375297</v>
      </c>
      <c r="L115" s="133">
        <f>'Co-financing Summary'!$D$26/7</f>
        <v>13974.839110375297</v>
      </c>
      <c r="M115" s="133">
        <f>'Co-financing Summary'!$D$26/7</f>
        <v>13974.839110375297</v>
      </c>
      <c r="N115" s="133">
        <f>'Co-financing Summary'!$D$26/7</f>
        <v>13974.839110375297</v>
      </c>
      <c r="O115" s="133">
        <f>'Co-financing Summary'!$D$26/7</f>
        <v>13974.839110375297</v>
      </c>
      <c r="P115" s="134">
        <f t="shared" si="17"/>
        <v>97823.873772627077</v>
      </c>
      <c r="Q115" s="153"/>
      <c r="R115" s="135"/>
      <c r="S115" s="135"/>
      <c r="T115" s="11">
        <v>3.2</v>
      </c>
    </row>
    <row r="116" spans="1:20">
      <c r="A116" s="443"/>
      <c r="B116" s="453"/>
      <c r="C116" s="96"/>
      <c r="D116" s="315"/>
      <c r="E116" s="90"/>
      <c r="F116" s="95"/>
      <c r="G116" s="95"/>
      <c r="H116" s="293"/>
      <c r="I116" s="133"/>
      <c r="J116" s="133"/>
      <c r="K116" s="133"/>
      <c r="L116" s="133"/>
      <c r="M116" s="133"/>
      <c r="N116" s="133"/>
      <c r="O116" s="133"/>
      <c r="P116" s="134"/>
      <c r="Q116" s="153">
        <f>SUM(P110:P115)</f>
        <v>881423.87377262709</v>
      </c>
      <c r="R116" s="153">
        <f>SUMIF(E110:E115,"GCF",P110:P115)</f>
        <v>783600</v>
      </c>
      <c r="S116" s="153">
        <f>SUMIF(E110:E115,"GoG",P110:P115)</f>
        <v>97823.873772627077</v>
      </c>
      <c r="T116" s="11">
        <v>3.2</v>
      </c>
    </row>
    <row r="117" spans="1:20" ht="29.15" customHeight="1">
      <c r="A117" s="443"/>
      <c r="B117" s="453"/>
      <c r="C117" s="468" t="s">
        <v>175</v>
      </c>
      <c r="D117" s="448" t="s">
        <v>176</v>
      </c>
      <c r="E117" s="346" t="s">
        <v>26</v>
      </c>
      <c r="F117" s="95" t="s">
        <v>137</v>
      </c>
      <c r="G117" s="95" t="s">
        <v>40</v>
      </c>
      <c r="H117" s="293" t="s">
        <v>177</v>
      </c>
      <c r="I117" s="133">
        <f>'Notes and Assumptions'!G104</f>
        <v>346000</v>
      </c>
      <c r="J117" s="133">
        <f>'Notes and Assumptions'!H104</f>
        <v>553600</v>
      </c>
      <c r="K117" s="133">
        <f>'Notes and Assumptions'!I104</f>
        <v>692000</v>
      </c>
      <c r="L117" s="133">
        <f>'Notes and Assumptions'!J104</f>
        <v>692000</v>
      </c>
      <c r="M117" s="133">
        <f>'Notes and Assumptions'!K104</f>
        <v>692000</v>
      </c>
      <c r="N117" s="133">
        <f>'Notes and Assumptions'!L104</f>
        <v>346000</v>
      </c>
      <c r="O117" s="133">
        <f>'Notes and Assumptions'!M104</f>
        <v>138400</v>
      </c>
      <c r="P117" s="134">
        <f t="shared" ref="P117:P121" si="18">SUM(I117:O117)</f>
        <v>3460000</v>
      </c>
      <c r="Q117" s="153"/>
      <c r="R117" s="135"/>
      <c r="S117" s="135"/>
      <c r="T117" s="11">
        <v>3.3</v>
      </c>
    </row>
    <row r="118" spans="1:20">
      <c r="A118" s="443"/>
      <c r="B118" s="453"/>
      <c r="C118" s="468"/>
      <c r="D118" s="440"/>
      <c r="E118" s="346" t="s">
        <v>26</v>
      </c>
      <c r="F118" s="95" t="s">
        <v>137</v>
      </c>
      <c r="G118" s="95" t="s">
        <v>40</v>
      </c>
      <c r="H118" s="293" t="s">
        <v>178</v>
      </c>
      <c r="I118" s="133">
        <f>'Notes and Assumptions'!G105</f>
        <v>346000</v>
      </c>
      <c r="J118" s="133">
        <f>'Notes and Assumptions'!H105</f>
        <v>553600</v>
      </c>
      <c r="K118" s="133">
        <f>'Notes and Assumptions'!I105</f>
        <v>692000</v>
      </c>
      <c r="L118" s="133">
        <f>'Notes and Assumptions'!J105</f>
        <v>692000</v>
      </c>
      <c r="M118" s="133">
        <f>'Notes and Assumptions'!K105</f>
        <v>692000</v>
      </c>
      <c r="N118" s="133">
        <f>'Notes and Assumptions'!L105</f>
        <v>346000</v>
      </c>
      <c r="O118" s="133">
        <f>'Notes and Assumptions'!M105</f>
        <v>138400</v>
      </c>
      <c r="P118" s="134">
        <f t="shared" si="18"/>
        <v>3460000</v>
      </c>
      <c r="Q118" s="153"/>
      <c r="R118" s="135"/>
      <c r="S118" s="135"/>
      <c r="T118" s="11">
        <v>3.3</v>
      </c>
    </row>
    <row r="119" spans="1:20">
      <c r="A119" s="443"/>
      <c r="B119" s="453"/>
      <c r="C119" s="468"/>
      <c r="D119" s="451"/>
      <c r="E119" s="346" t="s">
        <v>26</v>
      </c>
      <c r="F119" s="95" t="s">
        <v>137</v>
      </c>
      <c r="G119" s="95" t="s">
        <v>40</v>
      </c>
      <c r="H119" s="293" t="s">
        <v>179</v>
      </c>
      <c r="I119" s="133">
        <f>'Notes and Assumptions'!G106</f>
        <v>1300000</v>
      </c>
      <c r="J119" s="133">
        <f>'Notes and Assumptions'!H106</f>
        <v>2080000</v>
      </c>
      <c r="K119" s="133">
        <f>'Notes and Assumptions'!I106</f>
        <v>2600000</v>
      </c>
      <c r="L119" s="133">
        <f>'Notes and Assumptions'!J106</f>
        <v>2600000</v>
      </c>
      <c r="M119" s="133">
        <f>'Notes and Assumptions'!K106</f>
        <v>2600000</v>
      </c>
      <c r="N119" s="133">
        <f>'Notes and Assumptions'!L106</f>
        <v>1300000</v>
      </c>
      <c r="O119" s="133">
        <f>'Notes and Assumptions'!M106</f>
        <v>520000</v>
      </c>
      <c r="P119" s="134">
        <f t="shared" si="18"/>
        <v>13000000</v>
      </c>
      <c r="Q119" s="153"/>
      <c r="R119" s="135"/>
      <c r="S119" s="135"/>
      <c r="T119" s="11">
        <v>3.3</v>
      </c>
    </row>
    <row r="120" spans="1:20">
      <c r="A120" s="443"/>
      <c r="B120" s="453"/>
      <c r="C120" s="468"/>
      <c r="D120" s="450" t="s">
        <v>180</v>
      </c>
      <c r="E120" s="96" t="s">
        <v>37</v>
      </c>
      <c r="F120" s="95" t="s">
        <v>137</v>
      </c>
      <c r="G120" s="95" t="s">
        <v>38</v>
      </c>
      <c r="H120" s="293" t="s">
        <v>181</v>
      </c>
      <c r="I120" s="133">
        <f>'Co-financing Summary'!$D$27/7</f>
        <v>365243.37031710835</v>
      </c>
      <c r="J120" s="133">
        <f>'Co-financing Summary'!$D$27/7</f>
        <v>365243.37031710835</v>
      </c>
      <c r="K120" s="133">
        <f>'Co-financing Summary'!$D$27/7</f>
        <v>365243.37031710835</v>
      </c>
      <c r="L120" s="133">
        <f>'Co-financing Summary'!$D$27/7</f>
        <v>365243.37031710835</v>
      </c>
      <c r="M120" s="133">
        <f>'Co-financing Summary'!$D$27/7</f>
        <v>365243.37031710835</v>
      </c>
      <c r="N120" s="133">
        <f>'Co-financing Summary'!$D$27/7</f>
        <v>365243.37031710835</v>
      </c>
      <c r="O120" s="133">
        <f>'Co-financing Summary'!$D$27/7</f>
        <v>365243.37031710835</v>
      </c>
      <c r="P120" s="134">
        <f t="shared" si="18"/>
        <v>2556703.5922197588</v>
      </c>
      <c r="Q120" s="153"/>
      <c r="R120" s="135"/>
      <c r="S120" s="135"/>
      <c r="T120" s="11">
        <v>3.3</v>
      </c>
    </row>
    <row r="121" spans="1:20">
      <c r="A121" s="443"/>
      <c r="B121" s="453"/>
      <c r="C121" s="468"/>
      <c r="D121" s="451"/>
      <c r="E121" s="96" t="s">
        <v>26</v>
      </c>
      <c r="F121" s="95" t="s">
        <v>137</v>
      </c>
      <c r="G121" s="100" t="s">
        <v>30</v>
      </c>
      <c r="H121" s="293" t="s">
        <v>182</v>
      </c>
      <c r="I121" s="347">
        <f>'Notes and Assumptions'!G108</f>
        <v>80000</v>
      </c>
      <c r="J121" s="347">
        <f>'Notes and Assumptions'!H108</f>
        <v>80000</v>
      </c>
      <c r="K121" s="347">
        <f>'Notes and Assumptions'!I108</f>
        <v>80000</v>
      </c>
      <c r="L121" s="347">
        <f>'Notes and Assumptions'!J108</f>
        <v>80000</v>
      </c>
      <c r="M121" s="347">
        <f>'Notes and Assumptions'!K108</f>
        <v>80000</v>
      </c>
      <c r="N121" s="347">
        <f>'Notes and Assumptions'!L108</f>
        <v>80000</v>
      </c>
      <c r="O121" s="347">
        <f>'Notes and Assumptions'!M108</f>
        <v>80000</v>
      </c>
      <c r="P121" s="134">
        <f t="shared" si="18"/>
        <v>560000</v>
      </c>
      <c r="Q121" s="153"/>
      <c r="R121" s="135"/>
      <c r="S121" s="135"/>
      <c r="T121" s="11">
        <v>3.3</v>
      </c>
    </row>
    <row r="122" spans="1:20">
      <c r="A122" s="443"/>
      <c r="B122" s="453"/>
      <c r="C122" s="332"/>
      <c r="D122" s="343"/>
      <c r="E122" s="96"/>
      <c r="F122" s="95" t="s">
        <v>137</v>
      </c>
      <c r="G122" s="91"/>
      <c r="H122" s="293"/>
      <c r="I122" s="347"/>
      <c r="J122" s="347"/>
      <c r="K122" s="347"/>
      <c r="L122" s="347"/>
      <c r="M122" s="347"/>
      <c r="N122" s="347"/>
      <c r="O122" s="347"/>
      <c r="P122" s="134"/>
      <c r="Q122" s="153">
        <f>SUM(P117:P121)</f>
        <v>23036703.592219759</v>
      </c>
      <c r="R122" s="153">
        <f>SUMIF(E117:E121,"GCF",P117:P121)</f>
        <v>20480000</v>
      </c>
      <c r="S122" s="153">
        <f>SUMIF(E117:E121,"GoG",P117:P121)</f>
        <v>2556703.5922197588</v>
      </c>
      <c r="T122" s="11">
        <v>3.3</v>
      </c>
    </row>
    <row r="123" spans="1:20" ht="29">
      <c r="A123" s="443"/>
      <c r="B123" s="453"/>
      <c r="C123" s="432" t="s">
        <v>183</v>
      </c>
      <c r="D123" s="343" t="s">
        <v>184</v>
      </c>
      <c r="E123" s="96" t="s">
        <v>26</v>
      </c>
      <c r="F123" s="95" t="s">
        <v>137</v>
      </c>
      <c r="G123" s="91" t="s">
        <v>32</v>
      </c>
      <c r="H123" s="293" t="s">
        <v>185</v>
      </c>
      <c r="I123" s="347">
        <f>'Notes and Assumptions'!G109</f>
        <v>10500</v>
      </c>
      <c r="J123" s="347">
        <f>'Notes and Assumptions'!H109</f>
        <v>0</v>
      </c>
      <c r="K123" s="347">
        <f>'Notes and Assumptions'!I109</f>
        <v>0</v>
      </c>
      <c r="L123" s="347">
        <f>'Notes and Assumptions'!J109</f>
        <v>0</v>
      </c>
      <c r="M123" s="347">
        <f>'Notes and Assumptions'!K109</f>
        <v>0</v>
      </c>
      <c r="N123" s="347">
        <f>'Notes and Assumptions'!L109</f>
        <v>0</v>
      </c>
      <c r="O123" s="347">
        <f>'Notes and Assumptions'!M109</f>
        <v>0</v>
      </c>
      <c r="P123" s="134">
        <f t="shared" ref="P123:P127" si="19">SUM(I123:O123)</f>
        <v>10500</v>
      </c>
      <c r="Q123" s="153"/>
      <c r="R123" s="135"/>
      <c r="S123" s="135"/>
      <c r="T123" s="11">
        <v>3.4</v>
      </c>
    </row>
    <row r="124" spans="1:20" ht="43.5">
      <c r="A124" s="443"/>
      <c r="B124" s="453"/>
      <c r="C124" s="432"/>
      <c r="D124" s="344" t="s">
        <v>186</v>
      </c>
      <c r="E124" s="96" t="s">
        <v>26</v>
      </c>
      <c r="F124" s="95" t="s">
        <v>137</v>
      </c>
      <c r="G124" s="100" t="s">
        <v>30</v>
      </c>
      <c r="H124" s="293" t="s">
        <v>187</v>
      </c>
      <c r="I124" s="347">
        <f>'Notes and Assumptions'!G110</f>
        <v>0</v>
      </c>
      <c r="J124" s="347">
        <f>'Notes and Assumptions'!H110</f>
        <v>24000</v>
      </c>
      <c r="K124" s="347">
        <f>'Notes and Assumptions'!I110</f>
        <v>0</v>
      </c>
      <c r="L124" s="347">
        <f>'Notes and Assumptions'!J110</f>
        <v>0</v>
      </c>
      <c r="M124" s="347">
        <f>'Notes and Assumptions'!K110</f>
        <v>0</v>
      </c>
      <c r="N124" s="347">
        <f>'Notes and Assumptions'!L110</f>
        <v>0</v>
      </c>
      <c r="O124" s="347">
        <f>'Notes and Assumptions'!M110</f>
        <v>0</v>
      </c>
      <c r="P124" s="134">
        <f t="shared" si="19"/>
        <v>24000</v>
      </c>
      <c r="Q124" s="153"/>
      <c r="R124" s="135"/>
      <c r="S124" s="135"/>
      <c r="T124" s="11">
        <v>3.4</v>
      </c>
    </row>
    <row r="125" spans="1:20" ht="43.5">
      <c r="A125" s="443"/>
      <c r="B125" s="453"/>
      <c r="C125" s="432"/>
      <c r="D125" s="343" t="s">
        <v>188</v>
      </c>
      <c r="E125" s="96" t="s">
        <v>26</v>
      </c>
      <c r="F125" s="95" t="s">
        <v>137</v>
      </c>
      <c r="G125" s="100" t="s">
        <v>30</v>
      </c>
      <c r="H125" s="293" t="s">
        <v>189</v>
      </c>
      <c r="I125" s="347">
        <f>'Notes and Assumptions'!G111</f>
        <v>0</v>
      </c>
      <c r="J125" s="347">
        <f>'Notes and Assumptions'!H111</f>
        <v>10500</v>
      </c>
      <c r="K125" s="347">
        <f>'Notes and Assumptions'!I111</f>
        <v>10500</v>
      </c>
      <c r="L125" s="347">
        <f>'Notes and Assumptions'!J111</f>
        <v>10500</v>
      </c>
      <c r="M125" s="347">
        <f>'Notes and Assumptions'!K111</f>
        <v>10500</v>
      </c>
      <c r="N125" s="347">
        <f>'Notes and Assumptions'!L111</f>
        <v>10500</v>
      </c>
      <c r="O125" s="347">
        <f>'Notes and Assumptions'!M111</f>
        <v>10500</v>
      </c>
      <c r="P125" s="134">
        <f t="shared" si="19"/>
        <v>63000</v>
      </c>
      <c r="Q125" s="153"/>
      <c r="R125" s="135"/>
      <c r="S125" s="135"/>
      <c r="T125" s="11">
        <v>3.4</v>
      </c>
    </row>
    <row r="126" spans="1:20">
      <c r="A126" s="443"/>
      <c r="B126" s="453"/>
      <c r="C126" s="432"/>
      <c r="D126" s="448" t="s">
        <v>190</v>
      </c>
      <c r="E126" s="96" t="s">
        <v>26</v>
      </c>
      <c r="F126" s="95" t="s">
        <v>137</v>
      </c>
      <c r="G126" s="90" t="s">
        <v>30</v>
      </c>
      <c r="H126" s="293" t="s">
        <v>191</v>
      </c>
      <c r="I126" s="347">
        <f>'Notes and Assumptions'!G112</f>
        <v>0</v>
      </c>
      <c r="J126" s="347">
        <f>'Notes and Assumptions'!H112</f>
        <v>0</v>
      </c>
      <c r="K126" s="347">
        <f>'Notes and Assumptions'!I112</f>
        <v>19800</v>
      </c>
      <c r="L126" s="347">
        <f>'Notes and Assumptions'!J112</f>
        <v>0</v>
      </c>
      <c r="M126" s="347">
        <f>'Notes and Assumptions'!K112</f>
        <v>0</v>
      </c>
      <c r="N126" s="347">
        <f>'Notes and Assumptions'!L112</f>
        <v>0</v>
      </c>
      <c r="O126" s="347">
        <f>'Notes and Assumptions'!M112</f>
        <v>0</v>
      </c>
      <c r="P126" s="134">
        <f t="shared" si="19"/>
        <v>19800</v>
      </c>
      <c r="Q126" s="153"/>
      <c r="R126" s="135"/>
      <c r="S126" s="135"/>
      <c r="T126" s="11">
        <v>3.4</v>
      </c>
    </row>
    <row r="127" spans="1:20">
      <c r="A127" s="443"/>
      <c r="B127" s="454"/>
      <c r="C127" s="432"/>
      <c r="D127" s="448"/>
      <c r="E127" s="96" t="s">
        <v>37</v>
      </c>
      <c r="F127" s="95" t="s">
        <v>137</v>
      </c>
      <c r="G127" s="95" t="s">
        <v>38</v>
      </c>
      <c r="H127" s="293" t="s">
        <v>192</v>
      </c>
      <c r="I127" s="347">
        <f>'Co-financing Summary'!D28/7</f>
        <v>2091.9456708103908</v>
      </c>
      <c r="J127" s="347">
        <f>'Co-financing Summary'!D28/7</f>
        <v>2091.9456708103908</v>
      </c>
      <c r="K127" s="347">
        <f>'Co-financing Summary'!D28/7</f>
        <v>2091.9456708103908</v>
      </c>
      <c r="L127" s="347">
        <f>'Co-financing Summary'!D28/7</f>
        <v>2091.9456708103908</v>
      </c>
      <c r="M127" s="347">
        <f>'Co-financing Summary'!D28/7</f>
        <v>2091.9456708103908</v>
      </c>
      <c r="N127" s="347">
        <f>'Co-financing Summary'!D28/7</f>
        <v>2091.9456708103908</v>
      </c>
      <c r="O127" s="347">
        <f>'Co-financing Summary'!D28/7</f>
        <v>2091.9456708103908</v>
      </c>
      <c r="P127" s="134">
        <f t="shared" si="19"/>
        <v>14643.619695672733</v>
      </c>
      <c r="Q127" s="153">
        <f>SUM(P123:P127)</f>
        <v>131943.61969567274</v>
      </c>
      <c r="R127" s="153">
        <f>SUMIF(E123:E126,"GCF",P123:P127)</f>
        <v>117300</v>
      </c>
      <c r="S127" s="153">
        <f>SUMIF(E123:E127,"GoG",P123:P127)</f>
        <v>14643.619695672733</v>
      </c>
      <c r="T127" s="11">
        <v>3.4</v>
      </c>
    </row>
    <row r="128" spans="1:20">
      <c r="A128" s="443"/>
      <c r="B128" s="426" t="s">
        <v>193</v>
      </c>
      <c r="C128" s="426"/>
      <c r="D128" s="426"/>
      <c r="E128" s="426"/>
      <c r="F128" s="426"/>
      <c r="G128" s="426"/>
      <c r="H128" s="426"/>
      <c r="I128" s="366">
        <f>SUMIF($E$89:$E$127,"GCF",I89:I127)</f>
        <v>2483991</v>
      </c>
      <c r="J128" s="366">
        <f t="shared" ref="J128:O128" si="20">SUMIF($E$89:$E$127,"GCF",J89:J127)</f>
        <v>3668951</v>
      </c>
      <c r="K128" s="366">
        <f t="shared" si="20"/>
        <v>4461551</v>
      </c>
      <c r="L128" s="366">
        <f t="shared" si="20"/>
        <v>4441751</v>
      </c>
      <c r="M128" s="366">
        <f t="shared" si="20"/>
        <v>4441751</v>
      </c>
      <c r="N128" s="366">
        <f t="shared" si="20"/>
        <v>2282151</v>
      </c>
      <c r="O128" s="366">
        <f t="shared" si="20"/>
        <v>1038951</v>
      </c>
      <c r="P128" s="366">
        <f>SUMIF($E$89:$E$127,"GCF",P89:P127)</f>
        <v>22819097</v>
      </c>
      <c r="Q128" s="153"/>
      <c r="R128" s="135"/>
      <c r="S128" s="135"/>
    </row>
    <row r="129" spans="1:35">
      <c r="A129" s="443"/>
      <c r="B129" s="426" t="s">
        <v>194</v>
      </c>
      <c r="C129" s="426"/>
      <c r="D129" s="426"/>
      <c r="E129" s="426"/>
      <c r="F129" s="426"/>
      <c r="G129" s="426"/>
      <c r="H129" s="426"/>
      <c r="I129" s="366">
        <f>SUMIF($E$89:$E$127,"GoG",I89:I127)</f>
        <v>656959.11357755435</v>
      </c>
      <c r="J129" s="366">
        <f t="shared" ref="J129:N129" si="21">SUMIF($E$89:$E$127,"GoG",J89:J127)</f>
        <v>406959.11357755435</v>
      </c>
      <c r="K129" s="366">
        <f t="shared" si="21"/>
        <v>406959.11357755435</v>
      </c>
      <c r="L129" s="366">
        <f t="shared" si="21"/>
        <v>406959.11357755435</v>
      </c>
      <c r="M129" s="366">
        <f t="shared" si="21"/>
        <v>406959.11357755435</v>
      </c>
      <c r="N129" s="366">
        <f t="shared" si="21"/>
        <v>406959.11357755435</v>
      </c>
      <c r="O129" s="366">
        <f>SUMIF($E$89:$E$127,"GoG",O89:O127)</f>
        <v>406959.11357755435</v>
      </c>
      <c r="P129" s="366">
        <f>SUMIF($E$89:$E$127,"GoG",P89:P127)</f>
        <v>3098713.7950428808</v>
      </c>
      <c r="Q129" s="153"/>
      <c r="R129" s="135"/>
      <c r="S129" s="135"/>
    </row>
    <row r="130" spans="1:35">
      <c r="A130" s="443"/>
      <c r="B130" s="426" t="s">
        <v>195</v>
      </c>
      <c r="C130" s="426"/>
      <c r="D130" s="426"/>
      <c r="E130" s="426"/>
      <c r="F130" s="426"/>
      <c r="G130" s="426"/>
      <c r="H130" s="426"/>
      <c r="I130" s="366">
        <f>I128+I129</f>
        <v>3140950.1135775545</v>
      </c>
      <c r="J130" s="366">
        <f t="shared" ref="J130:N130" si="22">J128+J129</f>
        <v>4075910.1135775545</v>
      </c>
      <c r="K130" s="366">
        <f t="shared" si="22"/>
        <v>4868510.113577554</v>
      </c>
      <c r="L130" s="366">
        <f t="shared" si="22"/>
        <v>4848710.113577554</v>
      </c>
      <c r="M130" s="366">
        <f t="shared" si="22"/>
        <v>4848710.113577554</v>
      </c>
      <c r="N130" s="366">
        <f t="shared" si="22"/>
        <v>2689110.1135775545</v>
      </c>
      <c r="O130" s="366">
        <f>O128+O129</f>
        <v>1445910.1135775545</v>
      </c>
      <c r="P130" s="366">
        <f>P128+P129</f>
        <v>25917810.79504288</v>
      </c>
      <c r="Q130" s="153"/>
      <c r="R130" s="135"/>
      <c r="S130" s="135"/>
    </row>
    <row r="131" spans="1:35" ht="15" customHeight="1">
      <c r="A131" s="443"/>
      <c r="B131" s="437" t="s">
        <v>196</v>
      </c>
      <c r="C131" s="457" t="s">
        <v>197</v>
      </c>
      <c r="D131" s="452" t="s">
        <v>198</v>
      </c>
      <c r="E131" s="383" t="s">
        <v>26</v>
      </c>
      <c r="F131" s="383" t="s">
        <v>137</v>
      </c>
      <c r="G131" s="342" t="s">
        <v>40</v>
      </c>
      <c r="H131" s="384" t="s">
        <v>199</v>
      </c>
      <c r="I131" s="385">
        <f>'Notes and Assumptions'!F117</f>
        <v>120000</v>
      </c>
      <c r="J131" s="385">
        <f>'Notes and Assumptions'!G117</f>
        <v>120000</v>
      </c>
      <c r="K131" s="385">
        <f>'Notes and Assumptions'!H117</f>
        <v>0</v>
      </c>
      <c r="L131" s="385">
        <f>'Notes and Assumptions'!I117</f>
        <v>0</v>
      </c>
      <c r="M131" s="385">
        <f>'Notes and Assumptions'!J117</f>
        <v>0</v>
      </c>
      <c r="N131" s="385">
        <f>'Notes and Assumptions'!K117</f>
        <v>0</v>
      </c>
      <c r="O131" s="385">
        <f>'Notes and Assumptions'!L117</f>
        <v>0</v>
      </c>
      <c r="P131" s="386">
        <f>SUM(I131:O131)</f>
        <v>240000</v>
      </c>
      <c r="Q131" s="153"/>
      <c r="R131" s="135"/>
      <c r="S131" s="135"/>
    </row>
    <row r="132" spans="1:35">
      <c r="A132" s="443"/>
      <c r="B132" s="438"/>
      <c r="C132" s="458"/>
      <c r="D132" s="452"/>
      <c r="E132" s="383" t="s">
        <v>26</v>
      </c>
      <c r="F132" s="383" t="s">
        <v>137</v>
      </c>
      <c r="G132" s="342" t="s">
        <v>200</v>
      </c>
      <c r="H132" s="384" t="s">
        <v>201</v>
      </c>
      <c r="I132" s="385">
        <f>'Notes and Assumptions'!G118</f>
        <v>46851</v>
      </c>
      <c r="J132" s="385">
        <f>'Notes and Assumptions'!H118</f>
        <v>46851</v>
      </c>
      <c r="K132" s="385">
        <f>'Notes and Assumptions'!I118</f>
        <v>46851</v>
      </c>
      <c r="L132" s="385">
        <f>'Notes and Assumptions'!J118</f>
        <v>46851</v>
      </c>
      <c r="M132" s="385">
        <f>'Notes and Assumptions'!K118</f>
        <v>46851</v>
      </c>
      <c r="N132" s="385">
        <f>'Notes and Assumptions'!L118</f>
        <v>46851</v>
      </c>
      <c r="O132" s="385">
        <f>'Notes and Assumptions'!M118</f>
        <v>46851</v>
      </c>
      <c r="P132" s="386">
        <f t="shared" ref="P132:P135" si="23">SUM(I132:O132)</f>
        <v>327957</v>
      </c>
      <c r="T132" s="11">
        <v>3.4</v>
      </c>
      <c r="AB132" s="11">
        <v>1950200</v>
      </c>
      <c r="AC132" s="11">
        <v>3120320</v>
      </c>
      <c r="AD132" s="11">
        <v>3900400</v>
      </c>
      <c r="AE132" s="11">
        <v>3900400</v>
      </c>
      <c r="AF132" s="11">
        <v>3900400</v>
      </c>
      <c r="AG132" s="11">
        <v>1950200</v>
      </c>
      <c r="AH132" s="11">
        <v>780080</v>
      </c>
      <c r="AI132" s="11">
        <f>SUM(AB132:AH132)</f>
        <v>19502000</v>
      </c>
    </row>
    <row r="133" spans="1:35" ht="43.5">
      <c r="A133" s="443"/>
      <c r="B133" s="438"/>
      <c r="C133" s="458"/>
      <c r="D133" s="382" t="s">
        <v>202</v>
      </c>
      <c r="E133" s="383" t="s">
        <v>26</v>
      </c>
      <c r="F133" s="383" t="s">
        <v>137</v>
      </c>
      <c r="G133" s="342" t="s">
        <v>203</v>
      </c>
      <c r="H133" s="384" t="s">
        <v>204</v>
      </c>
      <c r="I133" s="385">
        <f>'Notes and Assumptions'!F119</f>
        <v>108000</v>
      </c>
      <c r="J133" s="385">
        <f>'Notes and Assumptions'!G119</f>
        <v>108000</v>
      </c>
      <c r="K133" s="385">
        <f>'Notes and Assumptions'!H119</f>
        <v>0</v>
      </c>
      <c r="L133" s="385">
        <f>'Notes and Assumptions'!I119</f>
        <v>0</v>
      </c>
      <c r="M133" s="385">
        <f>'Notes and Assumptions'!J119</f>
        <v>0</v>
      </c>
      <c r="N133" s="385">
        <f>'Notes and Assumptions'!K119</f>
        <v>0</v>
      </c>
      <c r="O133" s="385">
        <f>'Notes and Assumptions'!L119</f>
        <v>0</v>
      </c>
      <c r="P133" s="386">
        <f t="shared" si="23"/>
        <v>216000</v>
      </c>
      <c r="Q133" s="153"/>
      <c r="R133" s="153"/>
      <c r="S133" s="153"/>
    </row>
    <row r="134" spans="1:35" ht="30" customHeight="1">
      <c r="A134" s="443"/>
      <c r="B134" s="438"/>
      <c r="C134" s="458"/>
      <c r="D134" s="455" t="s">
        <v>205</v>
      </c>
      <c r="E134" s="383" t="s">
        <v>26</v>
      </c>
      <c r="F134" s="383" t="s">
        <v>206</v>
      </c>
      <c r="G134" s="342" t="s">
        <v>40</v>
      </c>
      <c r="H134" s="384" t="s">
        <v>207</v>
      </c>
      <c r="I134" s="385">
        <f>'Notes and Assumptions'!G120</f>
        <v>1904000</v>
      </c>
      <c r="J134" s="385">
        <f>'Notes and Assumptions'!H120</f>
        <v>3046400</v>
      </c>
      <c r="K134" s="385">
        <f>'Notes and Assumptions'!I120</f>
        <v>3808000</v>
      </c>
      <c r="L134" s="385">
        <f>'Notes and Assumptions'!J120</f>
        <v>3808000</v>
      </c>
      <c r="M134" s="385">
        <f>'Notes and Assumptions'!K120</f>
        <v>3808000</v>
      </c>
      <c r="N134" s="385">
        <f>'Notes and Assumptions'!L120</f>
        <v>1904000</v>
      </c>
      <c r="O134" s="385">
        <f>'Notes and Assumptions'!M120</f>
        <v>761600</v>
      </c>
      <c r="P134" s="386">
        <f t="shared" si="23"/>
        <v>19040000</v>
      </c>
      <c r="Q134" s="11"/>
      <c r="R134" s="153"/>
      <c r="S134" s="153"/>
    </row>
    <row r="135" spans="1:35">
      <c r="A135" s="443"/>
      <c r="B135" s="439"/>
      <c r="C135" s="459"/>
      <c r="D135" s="456"/>
      <c r="E135" s="387" t="s">
        <v>37</v>
      </c>
      <c r="F135" s="387" t="s">
        <v>137</v>
      </c>
      <c r="G135" s="322" t="s">
        <v>59</v>
      </c>
      <c r="H135" s="388" t="s">
        <v>208</v>
      </c>
      <c r="I135" s="385">
        <f>'Co-financing Summary'!$D$31/7</f>
        <v>89198.120634920633</v>
      </c>
      <c r="J135" s="385">
        <f>'Co-financing Summary'!$D$31/7</f>
        <v>89198.120634920633</v>
      </c>
      <c r="K135" s="385">
        <f>'Co-financing Summary'!$D$31/7</f>
        <v>89198.120634920633</v>
      </c>
      <c r="L135" s="385">
        <f>'Co-financing Summary'!$D$31/7</f>
        <v>89198.120634920633</v>
      </c>
      <c r="M135" s="385">
        <f>'Co-financing Summary'!$D$31/7</f>
        <v>89198.120634920633</v>
      </c>
      <c r="N135" s="385">
        <f>'Co-financing Summary'!$D$31/7</f>
        <v>89198.120634920633</v>
      </c>
      <c r="O135" s="385">
        <f>'Co-financing Summary'!$D$31/7</f>
        <v>89198.120634920633</v>
      </c>
      <c r="P135" s="386">
        <f t="shared" si="23"/>
        <v>624386.84444444452</v>
      </c>
      <c r="Q135" s="135">
        <f>SUM(P131:P135)</f>
        <v>20448343.844444446</v>
      </c>
      <c r="R135" s="153">
        <f>SUMIF(E131:E134,"GCF",P131:P135)</f>
        <v>19823957</v>
      </c>
      <c r="S135" s="153">
        <f>SUMIF(E131:E135,"GoG",P131:P135)</f>
        <v>624386.84444444452</v>
      </c>
    </row>
    <row r="136" spans="1:35">
      <c r="A136" s="443"/>
      <c r="B136" s="426" t="s">
        <v>209</v>
      </c>
      <c r="C136" s="426"/>
      <c r="D136" s="426"/>
      <c r="E136" s="426"/>
      <c r="F136" s="426"/>
      <c r="G136" s="426"/>
      <c r="H136" s="426"/>
      <c r="I136" s="366">
        <f>SUMIF($E$131:$E$135,"GCF",I131:I135)</f>
        <v>2178851</v>
      </c>
      <c r="J136" s="366">
        <f>SUMIF($E$131:$E$135,"GCF",J131:J135)</f>
        <v>3321251</v>
      </c>
      <c r="K136" s="366">
        <f t="shared" ref="K136" si="24">SUMIF($E$131:$E$135,"GCF",K131:K135)</f>
        <v>3854851</v>
      </c>
      <c r="L136" s="366">
        <f>SUMIF($E$131:$E$135,"GCF",L131:L135)</f>
        <v>3854851</v>
      </c>
      <c r="M136" s="366">
        <f>SUMIF($E$131:$E$135,"GCF",M131:M135)</f>
        <v>3854851</v>
      </c>
      <c r="N136" s="366">
        <f>SUMIF($E$131:$E$135,"GCF",N131:N135)</f>
        <v>1950851</v>
      </c>
      <c r="O136" s="366">
        <f>SUMIF($E$131:$E$135,"GCF",O131:O135)</f>
        <v>808451</v>
      </c>
      <c r="P136" s="357">
        <f>SUM(I136:O136)</f>
        <v>19823957</v>
      </c>
      <c r="Q136" s="153"/>
      <c r="R136" s="153"/>
      <c r="S136" s="153"/>
      <c r="U136" s="145"/>
    </row>
    <row r="137" spans="1:35">
      <c r="A137" s="443"/>
      <c r="B137" s="426" t="s">
        <v>210</v>
      </c>
      <c r="C137" s="426"/>
      <c r="D137" s="426"/>
      <c r="E137" s="426"/>
      <c r="F137" s="426"/>
      <c r="G137" s="426"/>
      <c r="H137" s="426"/>
      <c r="I137" s="366">
        <f>SUMIF($E$131:$E$135,"GoG",I131:I135)</f>
        <v>89198.120634920633</v>
      </c>
      <c r="J137" s="366">
        <f t="shared" ref="J137:O137" si="25">SUMIF($E$131:$E$135,"GoG",J131:J135)</f>
        <v>89198.120634920633</v>
      </c>
      <c r="K137" s="366">
        <f t="shared" si="25"/>
        <v>89198.120634920633</v>
      </c>
      <c r="L137" s="366">
        <f t="shared" si="25"/>
        <v>89198.120634920633</v>
      </c>
      <c r="M137" s="366">
        <f t="shared" si="25"/>
        <v>89198.120634920633</v>
      </c>
      <c r="N137" s="366">
        <f t="shared" si="25"/>
        <v>89198.120634920633</v>
      </c>
      <c r="O137" s="366">
        <f t="shared" si="25"/>
        <v>89198.120634920633</v>
      </c>
      <c r="P137" s="357">
        <f>SUM(I137:O137)</f>
        <v>624386.84444444452</v>
      </c>
      <c r="Q137" s="153"/>
      <c r="R137" s="135"/>
      <c r="S137" s="135"/>
    </row>
    <row r="138" spans="1:35">
      <c r="A138" s="444"/>
      <c r="B138" s="426" t="s">
        <v>211</v>
      </c>
      <c r="C138" s="426"/>
      <c r="D138" s="426"/>
      <c r="E138" s="426"/>
      <c r="F138" s="426"/>
      <c r="G138" s="426"/>
      <c r="H138" s="426"/>
      <c r="I138" s="357">
        <f>I136+I137</f>
        <v>2268049.1206349204</v>
      </c>
      <c r="J138" s="357">
        <f>J136+J137</f>
        <v>3410449.1206349204</v>
      </c>
      <c r="K138" s="357">
        <f t="shared" ref="K138" si="26">K136+K137</f>
        <v>3944049.1206349204</v>
      </c>
      <c r="L138" s="357">
        <f>L136+L137</f>
        <v>3944049.1206349204</v>
      </c>
      <c r="M138" s="357">
        <f>M136+M137</f>
        <v>3944049.1206349204</v>
      </c>
      <c r="N138" s="357">
        <f>N136+N137</f>
        <v>2040049.1206349207</v>
      </c>
      <c r="O138" s="357">
        <f>O136+O137</f>
        <v>897649.12063492066</v>
      </c>
      <c r="P138" s="357">
        <f>SUM(I138:O138)</f>
        <v>20448343.844444443</v>
      </c>
      <c r="R138" s="135"/>
      <c r="S138" s="135"/>
    </row>
    <row r="139" spans="1:35">
      <c r="A139" s="305"/>
      <c r="B139" s="95"/>
      <c r="C139" s="95"/>
      <c r="D139" s="95"/>
      <c r="E139" s="96"/>
      <c r="F139" s="96"/>
      <c r="G139" s="95"/>
      <c r="H139" s="95"/>
      <c r="I139" s="146"/>
      <c r="J139" s="146"/>
      <c r="K139" s="146"/>
      <c r="L139" s="146"/>
      <c r="M139" s="146"/>
      <c r="N139" s="146"/>
      <c r="O139" s="146"/>
      <c r="P139" s="133"/>
      <c r="Q139" s="153"/>
      <c r="R139" s="135"/>
      <c r="S139" s="135"/>
    </row>
    <row r="140" spans="1:35" ht="98.25" customHeight="1">
      <c r="A140" s="445"/>
      <c r="B140" s="434" t="s">
        <v>212</v>
      </c>
      <c r="C140" s="432" t="s">
        <v>213</v>
      </c>
      <c r="D140" s="461" t="s">
        <v>214</v>
      </c>
      <c r="E140" s="96" t="s">
        <v>37</v>
      </c>
      <c r="F140" s="96" t="s">
        <v>137</v>
      </c>
      <c r="G140" s="95" t="s">
        <v>38</v>
      </c>
      <c r="H140" s="293" t="s">
        <v>215</v>
      </c>
      <c r="I140" s="348">
        <f>'Co-financing Summary'!$D$32/7</f>
        <v>22880.388053817984</v>
      </c>
      <c r="J140" s="348">
        <f>'Co-financing Summary'!$D$32/7</f>
        <v>22880.388053817984</v>
      </c>
      <c r="K140" s="348">
        <f>'Co-financing Summary'!$D$32/7</f>
        <v>22880.388053817984</v>
      </c>
      <c r="L140" s="348">
        <f>'Co-financing Summary'!$D$32/7</f>
        <v>22880.388053817984</v>
      </c>
      <c r="M140" s="348">
        <f>'Co-financing Summary'!$D$32/7</f>
        <v>22880.388053817984</v>
      </c>
      <c r="N140" s="348">
        <f>'Co-financing Summary'!$D$32/7</f>
        <v>22880.388053817984</v>
      </c>
      <c r="O140" s="348">
        <f>'Co-financing Summary'!$D$32/7</f>
        <v>22880.388053817984</v>
      </c>
      <c r="P140" s="134">
        <f>SUM(I140:O140)</f>
        <v>160162.7163767259</v>
      </c>
      <c r="Q140" s="153"/>
      <c r="R140" s="135"/>
      <c r="S140" s="135"/>
      <c r="T140" s="11">
        <v>4.0999999999999996</v>
      </c>
    </row>
    <row r="141" spans="1:35">
      <c r="A141" s="446"/>
      <c r="B141" s="434"/>
      <c r="C141" s="432"/>
      <c r="D141" s="461"/>
      <c r="E141" s="96" t="s">
        <v>26</v>
      </c>
      <c r="F141" s="96" t="s">
        <v>137</v>
      </c>
      <c r="G141" s="91" t="s">
        <v>32</v>
      </c>
      <c r="H141" s="293" t="s">
        <v>216</v>
      </c>
      <c r="I141" s="133">
        <f>'Notes and Assumptions'!G124</f>
        <v>19200</v>
      </c>
      <c r="J141" s="133">
        <f>'Notes and Assumptions'!H124</f>
        <v>19200</v>
      </c>
      <c r="K141" s="133">
        <f>'Notes and Assumptions'!I124</f>
        <v>19200</v>
      </c>
      <c r="L141" s="133">
        <f>'Notes and Assumptions'!J124</f>
        <v>19200</v>
      </c>
      <c r="M141" s="133">
        <f>'Notes and Assumptions'!K124</f>
        <v>19200</v>
      </c>
      <c r="N141" s="133">
        <f>'Notes and Assumptions'!L124</f>
        <v>0</v>
      </c>
      <c r="O141" s="133">
        <f>'Notes and Assumptions'!M124</f>
        <v>0</v>
      </c>
      <c r="P141" s="134">
        <f>SUM(I141:O141)</f>
        <v>96000</v>
      </c>
      <c r="Q141" s="153"/>
      <c r="R141" s="135" t="s">
        <v>217</v>
      </c>
      <c r="S141" s="135"/>
      <c r="T141" s="11">
        <v>4.0999999999999996</v>
      </c>
    </row>
    <row r="142" spans="1:35">
      <c r="A142" s="446"/>
      <c r="B142" s="434"/>
      <c r="C142" s="432"/>
      <c r="D142" s="432" t="s">
        <v>218</v>
      </c>
      <c r="E142" s="96" t="s">
        <v>26</v>
      </c>
      <c r="F142" s="96" t="s">
        <v>137</v>
      </c>
      <c r="G142" s="91" t="s">
        <v>219</v>
      </c>
      <c r="H142" s="293" t="s">
        <v>220</v>
      </c>
      <c r="I142" s="133"/>
      <c r="J142" s="133">
        <f>'Notes and Assumptions'!H125</f>
        <v>35200</v>
      </c>
      <c r="K142" s="133"/>
      <c r="L142" s="133"/>
      <c r="M142" s="133"/>
      <c r="N142" s="133"/>
      <c r="O142" s="133"/>
      <c r="P142" s="134">
        <f>SUM(I142:O142)</f>
        <v>35200</v>
      </c>
      <c r="Q142" s="153"/>
      <c r="R142" s="135"/>
      <c r="S142" s="135"/>
    </row>
    <row r="143" spans="1:35">
      <c r="A143" s="446"/>
      <c r="B143" s="434"/>
      <c r="C143" s="432"/>
      <c r="D143" s="432"/>
      <c r="E143" s="96" t="s">
        <v>26</v>
      </c>
      <c r="F143" s="96" t="s">
        <v>137</v>
      </c>
      <c r="G143" s="91" t="s">
        <v>34</v>
      </c>
      <c r="H143" s="293" t="s">
        <v>221</v>
      </c>
      <c r="I143" s="133"/>
      <c r="J143" s="133">
        <f>'Notes and Assumptions'!H126</f>
        <v>22400</v>
      </c>
      <c r="K143" s="133"/>
      <c r="L143" s="133"/>
      <c r="M143" s="133"/>
      <c r="N143" s="133"/>
      <c r="O143" s="133"/>
      <c r="P143" s="134">
        <f>SUM(I143:O143)</f>
        <v>22400</v>
      </c>
      <c r="Q143" s="153"/>
      <c r="R143" s="135"/>
      <c r="S143" s="135"/>
    </row>
    <row r="144" spans="1:35">
      <c r="A144" s="446"/>
      <c r="B144" s="434"/>
      <c r="C144" s="432"/>
      <c r="D144" s="432"/>
      <c r="E144" s="90" t="s">
        <v>26</v>
      </c>
      <c r="F144" s="96" t="s">
        <v>137</v>
      </c>
      <c r="G144" s="100" t="s">
        <v>30</v>
      </c>
      <c r="H144" s="293" t="s">
        <v>222</v>
      </c>
      <c r="I144" s="133">
        <f>'Notes and Assumptions'!G127</f>
        <v>57200</v>
      </c>
      <c r="J144" s="133">
        <f>'Notes and Assumptions'!H127</f>
        <v>57200</v>
      </c>
      <c r="K144" s="133">
        <f>'Notes and Assumptions'!I127</f>
        <v>57200</v>
      </c>
      <c r="L144" s="133">
        <f>'Notes and Assumptions'!J127</f>
        <v>57200</v>
      </c>
      <c r="M144" s="133">
        <f>'Notes and Assumptions'!K127</f>
        <v>57200</v>
      </c>
      <c r="N144" s="133">
        <f>'Notes and Assumptions'!L127</f>
        <v>0</v>
      </c>
      <c r="O144" s="133">
        <f>'Notes and Assumptions'!M127</f>
        <v>0</v>
      </c>
      <c r="P144" s="134">
        <f>SUM(I144:O144)</f>
        <v>286000</v>
      </c>
      <c r="Q144" s="153"/>
      <c r="R144" s="135"/>
      <c r="S144" s="135"/>
      <c r="T144" s="11">
        <v>4.0999999999999996</v>
      </c>
    </row>
    <row r="145" spans="1:29">
      <c r="A145" s="446"/>
      <c r="B145" s="434"/>
      <c r="C145" s="97"/>
      <c r="D145" s="137"/>
      <c r="E145" s="93"/>
      <c r="F145" s="93"/>
      <c r="G145" s="94"/>
      <c r="H145" s="92"/>
      <c r="I145" s="147"/>
      <c r="J145" s="147"/>
      <c r="K145" s="147"/>
      <c r="L145" s="147"/>
      <c r="M145" s="147"/>
      <c r="N145" s="147"/>
      <c r="O145" s="147"/>
      <c r="P145" s="148"/>
      <c r="Q145" s="149">
        <f>SUM(P140:P144)</f>
        <v>599762.71637672593</v>
      </c>
      <c r="R145" s="149">
        <f>SUMIF(E140:E144,"GCF",P140:P144)</f>
        <v>439600</v>
      </c>
      <c r="S145" s="149">
        <f>SUMIF(E140:E144,"GoG",P140:P144)</f>
        <v>160162.7163767259</v>
      </c>
      <c r="T145" s="11">
        <v>4.0999999999999996</v>
      </c>
      <c r="AB145" s="11" t="s">
        <v>958</v>
      </c>
    </row>
    <row r="146" spans="1:29" ht="29">
      <c r="A146" s="446"/>
      <c r="B146" s="434"/>
      <c r="C146" s="440" t="s">
        <v>223</v>
      </c>
      <c r="D146" s="98" t="s">
        <v>224</v>
      </c>
      <c r="E146" s="90" t="s">
        <v>26</v>
      </c>
      <c r="F146" s="96" t="s">
        <v>137</v>
      </c>
      <c r="G146" s="95" t="s">
        <v>34</v>
      </c>
      <c r="H146" s="293" t="s">
        <v>225</v>
      </c>
      <c r="I146" s="133">
        <f>'Notes and Assumptions'!G128</f>
        <v>0</v>
      </c>
      <c r="J146" s="133">
        <f>'Notes and Assumptions'!H128</f>
        <v>5200</v>
      </c>
      <c r="K146" s="133">
        <f>'Notes and Assumptions'!I128</f>
        <v>5200</v>
      </c>
      <c r="L146" s="133">
        <f>'Notes and Assumptions'!J128</f>
        <v>5200</v>
      </c>
      <c r="M146" s="133">
        <f>'Notes and Assumptions'!K128</f>
        <v>5200</v>
      </c>
      <c r="N146" s="133">
        <f>'Notes and Assumptions'!L128</f>
        <v>5200</v>
      </c>
      <c r="O146" s="133">
        <f>'Notes and Assumptions'!M128</f>
        <v>0</v>
      </c>
      <c r="P146" s="134">
        <f>SUM(I146:O146)</f>
        <v>26000</v>
      </c>
      <c r="Q146" s="153"/>
      <c r="R146" s="153"/>
      <c r="S146" s="153"/>
      <c r="T146" s="11">
        <v>4.2</v>
      </c>
      <c r="AB146" s="91" t="s">
        <v>219</v>
      </c>
      <c r="AC146" s="409">
        <f>SUMIF($G$140:$G$170,"Local consultants",$P$140:$P$170)</f>
        <v>43100</v>
      </c>
    </row>
    <row r="147" spans="1:29">
      <c r="A147" s="446"/>
      <c r="B147" s="434"/>
      <c r="C147" s="440"/>
      <c r="D147" s="427" t="s">
        <v>226</v>
      </c>
      <c r="E147" s="95" t="s">
        <v>37</v>
      </c>
      <c r="F147" s="96" t="s">
        <v>137</v>
      </c>
      <c r="G147" s="95" t="s">
        <v>38</v>
      </c>
      <c r="H147" s="95" t="s">
        <v>227</v>
      </c>
      <c r="I147" s="133">
        <f>'Co-financing Summary'!D33/7</f>
        <v>3383.1329014971998</v>
      </c>
      <c r="J147" s="133">
        <f>'Co-financing Summary'!D33/7</f>
        <v>3383.1329014971998</v>
      </c>
      <c r="K147" s="133">
        <f>'Co-financing Summary'!D33/7</f>
        <v>3383.1329014971998</v>
      </c>
      <c r="L147" s="133">
        <f>'Co-financing Summary'!D33/7</f>
        <v>3383.1329014971998</v>
      </c>
      <c r="M147" s="133">
        <f>'Co-financing Summary'!D33/7</f>
        <v>3383.1329014971998</v>
      </c>
      <c r="N147" s="133">
        <f>'Co-financing Summary'!D33/7</f>
        <v>3383.1329014971998</v>
      </c>
      <c r="O147" s="133">
        <f>'Co-financing Summary'!D33/7</f>
        <v>3383.1329014971998</v>
      </c>
      <c r="P147" s="134">
        <f>SUM(I147:O147)</f>
        <v>23681.930310480398</v>
      </c>
      <c r="Q147" s="153"/>
      <c r="R147" s="153"/>
      <c r="S147" s="153"/>
      <c r="T147" s="11">
        <v>4.2</v>
      </c>
      <c r="AB147" s="100" t="s">
        <v>30</v>
      </c>
      <c r="AC147" s="409">
        <f>SUMIF($G$140:$G$170,"Professional or contractual services ",$P$140:$P$170)</f>
        <v>521800</v>
      </c>
    </row>
    <row r="148" spans="1:29">
      <c r="A148" s="446"/>
      <c r="B148" s="434"/>
      <c r="C148" s="440"/>
      <c r="D148" s="427"/>
      <c r="E148" s="90" t="s">
        <v>26</v>
      </c>
      <c r="F148" s="96" t="s">
        <v>137</v>
      </c>
      <c r="G148" s="91" t="s">
        <v>32</v>
      </c>
      <c r="H148" s="293" t="s">
        <v>228</v>
      </c>
      <c r="I148" s="133">
        <f>'Notes and Assumptions'!G130</f>
        <v>0</v>
      </c>
      <c r="J148" s="133">
        <f>'Notes and Assumptions'!H130</f>
        <v>0</v>
      </c>
      <c r="K148" s="133">
        <f>'Notes and Assumptions'!I130</f>
        <v>0</v>
      </c>
      <c r="L148" s="133">
        <f>'Notes and Assumptions'!J130</f>
        <v>0</v>
      </c>
      <c r="M148" s="133">
        <f>'Notes and Assumptions'!K130</f>
        <v>0</v>
      </c>
      <c r="N148" s="133">
        <f>'Notes and Assumptions'!L130</f>
        <v>39000</v>
      </c>
      <c r="O148" s="133">
        <f>'Notes and Assumptions'!M130</f>
        <v>0</v>
      </c>
      <c r="P148" s="134">
        <f>SUM(I148:O148)</f>
        <v>39000</v>
      </c>
      <c r="Q148" s="153"/>
      <c r="R148" s="153"/>
      <c r="S148" s="153"/>
      <c r="T148" s="11">
        <v>4.2</v>
      </c>
      <c r="AB148" s="91" t="s">
        <v>34</v>
      </c>
      <c r="AC148" s="409">
        <f>SUMIF($G$140:$G$170,"Travel",$P$140:$P$170)</f>
        <v>162300</v>
      </c>
    </row>
    <row r="149" spans="1:29">
      <c r="A149" s="446"/>
      <c r="B149" s="434"/>
      <c r="C149" s="97"/>
      <c r="D149" s="137"/>
      <c r="E149" s="93"/>
      <c r="F149" s="93"/>
      <c r="G149" s="93"/>
      <c r="H149" s="94"/>
      <c r="I149" s="110"/>
      <c r="J149" s="147"/>
      <c r="K149" s="147"/>
      <c r="L149" s="147"/>
      <c r="M149" s="147"/>
      <c r="N149" s="147"/>
      <c r="O149" s="147"/>
      <c r="P149" s="147"/>
      <c r="Q149" s="149">
        <f>SUM(P146:P148)</f>
        <v>88681.930310480398</v>
      </c>
      <c r="R149" s="149">
        <f>SUMIF(E146:E148,"GCF",P146:P148)</f>
        <v>65000</v>
      </c>
      <c r="S149" s="149">
        <f>SUMIF(E146:E148,"GoG",P146:P148)</f>
        <v>23681.930310480398</v>
      </c>
      <c r="T149" s="11">
        <v>4.2</v>
      </c>
      <c r="AB149" s="91" t="s">
        <v>32</v>
      </c>
      <c r="AC149" s="409">
        <f>SUMIF($G$140:$G$170,"Training, workshops, and conferences",$P$140:$P$170)</f>
        <v>263900</v>
      </c>
    </row>
    <row r="150" spans="1:29" ht="30" customHeight="1">
      <c r="A150" s="446"/>
      <c r="B150" s="434"/>
      <c r="C150" s="464" t="s">
        <v>945</v>
      </c>
      <c r="D150" s="425" t="s">
        <v>946</v>
      </c>
      <c r="E150" s="113" t="s">
        <v>26</v>
      </c>
      <c r="F150" s="96" t="s">
        <v>137</v>
      </c>
      <c r="G150" s="100" t="s">
        <v>30</v>
      </c>
      <c r="H150" s="293" t="s">
        <v>229</v>
      </c>
      <c r="I150" s="133">
        <f>'Notes and Assumptions'!G131</f>
        <v>12000</v>
      </c>
      <c r="J150" s="133">
        <f>'Notes and Assumptions'!H131</f>
        <v>0</v>
      </c>
      <c r="K150" s="133">
        <f>'Notes and Assumptions'!I131</f>
        <v>0</v>
      </c>
      <c r="L150" s="133">
        <f>'Notes and Assumptions'!J131</f>
        <v>0</v>
      </c>
      <c r="M150" s="133">
        <f>'Notes and Assumptions'!K131</f>
        <v>0</v>
      </c>
      <c r="N150" s="133">
        <f>'Notes and Assumptions'!L131</f>
        <v>0</v>
      </c>
      <c r="O150" s="133">
        <f>'Notes and Assumptions'!M131</f>
        <v>0</v>
      </c>
      <c r="P150" s="134">
        <f t="shared" ref="P150:P160" si="27">SUM(I150:O150)</f>
        <v>12000</v>
      </c>
      <c r="Q150" s="153"/>
      <c r="R150" s="153"/>
      <c r="S150" s="153"/>
      <c r="T150" s="11">
        <v>4.3</v>
      </c>
      <c r="AB150" s="114" t="s">
        <v>40</v>
      </c>
      <c r="AC150" s="409">
        <f>SUMIF($G$140:$G$170,"Equipment",$P$140:$P$170)</f>
        <v>80000</v>
      </c>
    </row>
    <row r="151" spans="1:29" ht="30" customHeight="1">
      <c r="A151" s="446"/>
      <c r="B151" s="434"/>
      <c r="C151" s="464"/>
      <c r="D151" s="425"/>
      <c r="E151" s="113" t="s">
        <v>26</v>
      </c>
      <c r="F151" s="96" t="s">
        <v>137</v>
      </c>
      <c r="G151" s="100" t="s">
        <v>30</v>
      </c>
      <c r="H151" s="293" t="s">
        <v>230</v>
      </c>
      <c r="I151" s="133">
        <f>'Notes and Assumptions'!G132</f>
        <v>57600</v>
      </c>
      <c r="J151" s="133">
        <f>'Notes and Assumptions'!H132</f>
        <v>57600</v>
      </c>
      <c r="K151" s="133">
        <f>'Notes and Assumptions'!I132</f>
        <v>0</v>
      </c>
      <c r="L151" s="133">
        <f>'Notes and Assumptions'!J132</f>
        <v>0</v>
      </c>
      <c r="M151" s="133">
        <f>'Notes and Assumptions'!K132</f>
        <v>0</v>
      </c>
      <c r="N151" s="133">
        <f>'Notes and Assumptions'!L132</f>
        <v>0</v>
      </c>
      <c r="O151" s="133">
        <f>'Notes and Assumptions'!M132</f>
        <v>0</v>
      </c>
      <c r="P151" s="134">
        <f t="shared" si="27"/>
        <v>115200</v>
      </c>
      <c r="Q151" s="153"/>
      <c r="R151" s="153"/>
      <c r="S151" s="153"/>
      <c r="T151" s="11">
        <v>4.3</v>
      </c>
      <c r="AC151" s="409">
        <f>SUM(AC146:AC150)</f>
        <v>1071100</v>
      </c>
    </row>
    <row r="152" spans="1:29">
      <c r="A152" s="446"/>
      <c r="B152" s="434"/>
      <c r="C152" s="464"/>
      <c r="D152" s="425"/>
      <c r="E152" s="113" t="s">
        <v>26</v>
      </c>
      <c r="F152" s="96" t="s">
        <v>137</v>
      </c>
      <c r="G152" s="91" t="s">
        <v>32</v>
      </c>
      <c r="H152" s="293" t="s">
        <v>231</v>
      </c>
      <c r="I152" s="133">
        <f>'Notes and Assumptions'!G133</f>
        <v>8400</v>
      </c>
      <c r="J152" s="133">
        <f>'Notes and Assumptions'!H133</f>
        <v>0</v>
      </c>
      <c r="K152" s="133">
        <f>'Notes and Assumptions'!I133</f>
        <v>0</v>
      </c>
      <c r="L152" s="133">
        <f>'Notes and Assumptions'!J133</f>
        <v>0</v>
      </c>
      <c r="M152" s="133">
        <f>'Notes and Assumptions'!K133</f>
        <v>0</v>
      </c>
      <c r="N152" s="133">
        <f>'Notes and Assumptions'!L133</f>
        <v>0</v>
      </c>
      <c r="O152" s="133">
        <f>'Notes and Assumptions'!M133</f>
        <v>0</v>
      </c>
      <c r="P152" s="134">
        <f t="shared" si="27"/>
        <v>8400</v>
      </c>
      <c r="Q152" s="153"/>
      <c r="R152" s="153"/>
      <c r="S152" s="153"/>
      <c r="T152" s="11">
        <v>4.3</v>
      </c>
    </row>
    <row r="153" spans="1:29">
      <c r="A153" s="446"/>
      <c r="B153" s="434"/>
      <c r="C153" s="464"/>
      <c r="D153" s="425"/>
      <c r="E153" s="113" t="s">
        <v>26</v>
      </c>
      <c r="F153" s="96" t="s">
        <v>137</v>
      </c>
      <c r="G153" s="95" t="s">
        <v>34</v>
      </c>
      <c r="H153" s="293" t="s">
        <v>232</v>
      </c>
      <c r="I153" s="133">
        <f>'Notes and Assumptions'!G134</f>
        <v>10000</v>
      </c>
      <c r="J153" s="133">
        <f>'Notes and Assumptions'!H134</f>
        <v>0</v>
      </c>
      <c r="K153" s="133">
        <f>'Notes and Assumptions'!I134</f>
        <v>0</v>
      </c>
      <c r="L153" s="133">
        <f>'Notes and Assumptions'!J134</f>
        <v>0</v>
      </c>
      <c r="M153" s="133">
        <f>'Notes and Assumptions'!K134</f>
        <v>0</v>
      </c>
      <c r="N153" s="133">
        <f>'Notes and Assumptions'!L134</f>
        <v>0</v>
      </c>
      <c r="O153" s="133">
        <f>'Notes and Assumptions'!M134</f>
        <v>0</v>
      </c>
      <c r="P153" s="134">
        <f t="shared" si="27"/>
        <v>10000</v>
      </c>
      <c r="Q153" s="153"/>
      <c r="R153" s="153"/>
      <c r="S153" s="153"/>
      <c r="T153" s="11">
        <v>4.3</v>
      </c>
    </row>
    <row r="154" spans="1:29">
      <c r="A154" s="446"/>
      <c r="B154" s="434"/>
      <c r="C154" s="464"/>
      <c r="D154" s="425"/>
      <c r="E154" s="113" t="s">
        <v>26</v>
      </c>
      <c r="F154" s="96" t="s">
        <v>137</v>
      </c>
      <c r="G154" s="95" t="s">
        <v>34</v>
      </c>
      <c r="H154" s="293" t="s">
        <v>233</v>
      </c>
      <c r="I154" s="133">
        <f>'Notes and Assumptions'!G135</f>
        <v>4900</v>
      </c>
      <c r="J154" s="133">
        <f>'Notes and Assumptions'!H135</f>
        <v>0</v>
      </c>
      <c r="K154" s="133">
        <f>'Notes and Assumptions'!I135</f>
        <v>0</v>
      </c>
      <c r="L154" s="133">
        <f>'Notes and Assumptions'!J135</f>
        <v>0</v>
      </c>
      <c r="M154" s="133">
        <f>'Notes and Assumptions'!K135</f>
        <v>0</v>
      </c>
      <c r="N154" s="133">
        <f>'Notes and Assumptions'!L135</f>
        <v>0</v>
      </c>
      <c r="O154" s="133">
        <f>'Notes and Assumptions'!M135</f>
        <v>0</v>
      </c>
      <c r="P154" s="134">
        <f t="shared" si="27"/>
        <v>4900</v>
      </c>
      <c r="Q154" s="153"/>
      <c r="R154" s="153"/>
      <c r="S154" s="153"/>
      <c r="T154" s="11">
        <v>4.3</v>
      </c>
    </row>
    <row r="155" spans="1:29">
      <c r="A155" s="446"/>
      <c r="B155" s="434"/>
      <c r="C155" s="464"/>
      <c r="D155" s="425"/>
      <c r="E155" s="113" t="s">
        <v>26</v>
      </c>
      <c r="F155" s="96" t="s">
        <v>137</v>
      </c>
      <c r="G155" s="95" t="s">
        <v>34</v>
      </c>
      <c r="H155" s="293" t="s">
        <v>234</v>
      </c>
      <c r="I155" s="133">
        <f>'Notes and Assumptions'!G137</f>
        <v>0</v>
      </c>
      <c r="J155" s="133">
        <f>'Notes and Assumptions'!H137</f>
        <v>80000</v>
      </c>
      <c r="K155" s="133">
        <f>'Notes and Assumptions'!I137</f>
        <v>0</v>
      </c>
      <c r="L155" s="133">
        <f>'Notes and Assumptions'!J137</f>
        <v>0</v>
      </c>
      <c r="M155" s="133">
        <f>'Notes and Assumptions'!K137</f>
        <v>0</v>
      </c>
      <c r="N155" s="133">
        <f>'Notes and Assumptions'!L137</f>
        <v>0</v>
      </c>
      <c r="O155" s="133">
        <f>'Notes and Assumptions'!M137</f>
        <v>0</v>
      </c>
      <c r="P155" s="134">
        <f t="shared" si="27"/>
        <v>80000</v>
      </c>
      <c r="Q155" s="153"/>
      <c r="R155" s="153"/>
      <c r="S155" s="153"/>
      <c r="T155" s="11">
        <v>4.3</v>
      </c>
    </row>
    <row r="156" spans="1:29">
      <c r="A156" s="446"/>
      <c r="B156" s="434"/>
      <c r="C156" s="464"/>
      <c r="D156" s="425" t="s">
        <v>947</v>
      </c>
      <c r="E156" s="113" t="s">
        <v>26</v>
      </c>
      <c r="F156" s="96" t="s">
        <v>137</v>
      </c>
      <c r="G156" s="114" t="s">
        <v>40</v>
      </c>
      <c r="H156" s="293" t="s">
        <v>235</v>
      </c>
      <c r="I156" s="133">
        <f>'Notes and Assumptions'!G137</f>
        <v>0</v>
      </c>
      <c r="J156" s="133">
        <f>'Notes and Assumptions'!H137</f>
        <v>80000</v>
      </c>
      <c r="K156" s="133">
        <f>'Notes and Assumptions'!I137</f>
        <v>0</v>
      </c>
      <c r="L156" s="133">
        <f>'Notes and Assumptions'!J137</f>
        <v>0</v>
      </c>
      <c r="M156" s="133">
        <f>'Notes and Assumptions'!K137</f>
        <v>0</v>
      </c>
      <c r="N156" s="133">
        <f>'Notes and Assumptions'!L137</f>
        <v>0</v>
      </c>
      <c r="O156" s="133">
        <f>'Notes and Assumptions'!M137</f>
        <v>0</v>
      </c>
      <c r="P156" s="134">
        <f t="shared" si="27"/>
        <v>80000</v>
      </c>
      <c r="Q156" s="153"/>
      <c r="R156" s="153"/>
      <c r="S156" s="153"/>
      <c r="T156" s="11">
        <v>4.3</v>
      </c>
    </row>
    <row r="157" spans="1:29" ht="32.25" customHeight="1">
      <c r="A157" s="446"/>
      <c r="B157" s="434"/>
      <c r="C157" s="464"/>
      <c r="D157" s="425"/>
      <c r="E157" s="342" t="s">
        <v>37</v>
      </c>
      <c r="F157" s="96" t="s">
        <v>137</v>
      </c>
      <c r="G157" s="95" t="s">
        <v>38</v>
      </c>
      <c r="H157" s="293" t="s">
        <v>236</v>
      </c>
      <c r="I157" s="385">
        <f>'Notes and Assumptions'!G138</f>
        <v>0</v>
      </c>
      <c r="J157" s="385">
        <f>'Co-financing EPA 4.3'!E2/4</f>
        <v>11000</v>
      </c>
      <c r="K157" s="385">
        <f>'Co-financing EPA 4.3'!E2/4</f>
        <v>11000</v>
      </c>
      <c r="L157" s="385">
        <f>'Co-financing EPA 4.3'!E2/4</f>
        <v>11000</v>
      </c>
      <c r="M157" s="385">
        <f>'Co-financing EPA 4.3'!E2/4</f>
        <v>11000</v>
      </c>
      <c r="N157" s="385">
        <f>'Notes and Assumptions'!L138</f>
        <v>0</v>
      </c>
      <c r="O157" s="385">
        <f>'Notes and Assumptions'!M138</f>
        <v>0</v>
      </c>
      <c r="P157" s="386">
        <f t="shared" si="27"/>
        <v>44000</v>
      </c>
      <c r="Q157" s="289"/>
      <c r="R157" s="153"/>
      <c r="S157" s="153"/>
      <c r="T157" s="11">
        <v>4.3</v>
      </c>
    </row>
    <row r="158" spans="1:29" ht="33.75" customHeight="1">
      <c r="A158" s="446"/>
      <c r="B158" s="434"/>
      <c r="C158" s="464"/>
      <c r="D158" s="425"/>
      <c r="E158" s="342" t="s">
        <v>37</v>
      </c>
      <c r="F158" s="96" t="s">
        <v>137</v>
      </c>
      <c r="G158" s="95" t="s">
        <v>38</v>
      </c>
      <c r="H158" s="293" t="s">
        <v>237</v>
      </c>
      <c r="I158" s="385">
        <f>'Co-financing EPA 4.3'!E3/4</f>
        <v>96000</v>
      </c>
      <c r="J158" s="385">
        <f>'Co-financing EPA 4.3'!E3/4</f>
        <v>96000</v>
      </c>
      <c r="K158" s="385">
        <f>'Co-financing EPA 4.3'!E3/4</f>
        <v>96000</v>
      </c>
      <c r="L158" s="385">
        <f>'Co-financing EPA 4.3'!E3/4</f>
        <v>96000</v>
      </c>
      <c r="M158" s="385">
        <f>'Notes and Assumptions'!K139</f>
        <v>0</v>
      </c>
      <c r="N158" s="385">
        <f>'Notes and Assumptions'!L139</f>
        <v>0</v>
      </c>
      <c r="O158" s="385">
        <f>'Notes and Assumptions'!M139</f>
        <v>0</v>
      </c>
      <c r="P158" s="386">
        <f t="shared" si="27"/>
        <v>384000</v>
      </c>
      <c r="Q158" s="289"/>
      <c r="R158" s="153"/>
      <c r="S158" s="153"/>
      <c r="T158" s="11">
        <v>4.3</v>
      </c>
    </row>
    <row r="159" spans="1:29">
      <c r="A159" s="446"/>
      <c r="B159" s="434"/>
      <c r="C159" s="464"/>
      <c r="D159" s="425" t="s">
        <v>948</v>
      </c>
      <c r="E159" s="342" t="s">
        <v>37</v>
      </c>
      <c r="F159" s="96" t="s">
        <v>137</v>
      </c>
      <c r="G159" s="95" t="s">
        <v>38</v>
      </c>
      <c r="H159" s="293" t="s">
        <v>238</v>
      </c>
      <c r="I159" s="385">
        <f>'Co-financing Summary'!$D$34/7</f>
        <v>29485.304441510209</v>
      </c>
      <c r="J159" s="385">
        <f>'Co-financing Summary'!$D$34/7</f>
        <v>29485.304441510209</v>
      </c>
      <c r="K159" s="385">
        <f>'Co-financing Summary'!$D$34/7</f>
        <v>29485.304441510209</v>
      </c>
      <c r="L159" s="385">
        <f>'Co-financing Summary'!$D$34/7</f>
        <v>29485.304441510209</v>
      </c>
      <c r="M159" s="385">
        <f>'Co-financing Summary'!$D$34/7</f>
        <v>29485.304441510209</v>
      </c>
      <c r="N159" s="385">
        <f>'Co-financing Summary'!$D$34/7</f>
        <v>29485.304441510209</v>
      </c>
      <c r="O159" s="385">
        <f>'Co-financing Summary'!$D$34/7</f>
        <v>29485.304441510209</v>
      </c>
      <c r="P159" s="386">
        <f t="shared" si="27"/>
        <v>206397.13109057146</v>
      </c>
      <c r="Q159" s="289"/>
      <c r="R159" s="153"/>
      <c r="S159" s="153"/>
      <c r="T159" s="11">
        <v>4.3</v>
      </c>
      <c r="U159" s="145"/>
    </row>
    <row r="160" spans="1:29">
      <c r="A160" s="446"/>
      <c r="B160" s="434"/>
      <c r="C160" s="464"/>
      <c r="D160" s="425"/>
      <c r="E160" s="95" t="s">
        <v>26</v>
      </c>
      <c r="F160" s="96" t="s">
        <v>137</v>
      </c>
      <c r="G160" s="91" t="s">
        <v>32</v>
      </c>
      <c r="H160" s="293" t="s">
        <v>239</v>
      </c>
      <c r="I160" s="133">
        <f>'Notes and Assumptions'!G141</f>
        <v>0</v>
      </c>
      <c r="J160" s="133">
        <f>'Notes and Assumptions'!H141</f>
        <v>5400</v>
      </c>
      <c r="K160" s="133">
        <f>'Notes and Assumptions'!I141</f>
        <v>5400</v>
      </c>
      <c r="L160" s="133">
        <f>'Notes and Assumptions'!J141</f>
        <v>5400</v>
      </c>
      <c r="M160" s="133">
        <f>'Notes and Assumptions'!K141</f>
        <v>5400</v>
      </c>
      <c r="N160" s="133">
        <f>'Notes and Assumptions'!L141</f>
        <v>0</v>
      </c>
      <c r="O160" s="133">
        <f>'Notes and Assumptions'!M141</f>
        <v>0</v>
      </c>
      <c r="P160" s="134">
        <f t="shared" si="27"/>
        <v>21600</v>
      </c>
      <c r="Q160" s="153"/>
      <c r="R160" s="153"/>
      <c r="S160" s="153"/>
      <c r="T160" s="11">
        <v>4.3</v>
      </c>
      <c r="U160" s="145"/>
    </row>
    <row r="161" spans="1:67">
      <c r="A161" s="446"/>
      <c r="B161" s="434"/>
      <c r="C161" s="464"/>
      <c r="D161" s="425"/>
      <c r="E161" s="95" t="s">
        <v>26</v>
      </c>
      <c r="F161" s="96" t="s">
        <v>137</v>
      </c>
      <c r="G161" s="95" t="s">
        <v>34</v>
      </c>
      <c r="H161" s="293" t="s">
        <v>240</v>
      </c>
      <c r="I161" s="133">
        <f>'Notes and Assumptions'!G142</f>
        <v>0</v>
      </c>
      <c r="J161" s="133">
        <f>'Notes and Assumptions'!H142</f>
        <v>4750</v>
      </c>
      <c r="K161" s="133">
        <f>'Notes and Assumptions'!I142</f>
        <v>4750</v>
      </c>
      <c r="L161" s="133">
        <f>'Notes and Assumptions'!J142</f>
        <v>4750</v>
      </c>
      <c r="M161" s="133">
        <f>'Notes and Assumptions'!K142</f>
        <v>4750</v>
      </c>
      <c r="N161" s="133">
        <f>'Notes and Assumptions'!L142</f>
        <v>0</v>
      </c>
      <c r="O161" s="133">
        <f>'Notes and Assumptions'!M142</f>
        <v>0</v>
      </c>
      <c r="P161" s="134">
        <f>SUM(I161:O161)</f>
        <v>19000</v>
      </c>
      <c r="Q161" s="153"/>
      <c r="R161" s="153"/>
      <c r="S161" s="153"/>
      <c r="T161" s="11">
        <v>4.3</v>
      </c>
      <c r="U161" s="145"/>
    </row>
    <row r="162" spans="1:67">
      <c r="A162" s="446"/>
      <c r="B162" s="434"/>
      <c r="C162" s="464"/>
      <c r="D162" s="425"/>
      <c r="E162" s="95" t="s">
        <v>26</v>
      </c>
      <c r="F162" s="96" t="s">
        <v>137</v>
      </c>
      <c r="G162" s="91" t="s">
        <v>32</v>
      </c>
      <c r="H162" s="293" t="s">
        <v>241</v>
      </c>
      <c r="I162" s="133">
        <f>'Notes and Assumptions'!G143</f>
        <v>0</v>
      </c>
      <c r="J162" s="133">
        <f>'Notes and Assumptions'!H143</f>
        <v>18000</v>
      </c>
      <c r="K162" s="133">
        <f>'Notes and Assumptions'!I143</f>
        <v>18000</v>
      </c>
      <c r="L162" s="133">
        <f>'Notes and Assumptions'!J143</f>
        <v>18000</v>
      </c>
      <c r="M162" s="133">
        <f>'Notes and Assumptions'!K143</f>
        <v>18000</v>
      </c>
      <c r="N162" s="133">
        <f>'Notes and Assumptions'!L143</f>
        <v>0</v>
      </c>
      <c r="O162" s="133">
        <f>'Notes and Assumptions'!M143</f>
        <v>0</v>
      </c>
      <c r="P162" s="134">
        <f>SUM(I162:O162)</f>
        <v>72000</v>
      </c>
      <c r="Q162" s="153"/>
      <c r="R162" s="153"/>
      <c r="S162" s="153"/>
      <c r="T162" s="11">
        <v>4.3</v>
      </c>
      <c r="U162" s="145"/>
    </row>
    <row r="163" spans="1:67">
      <c r="A163" s="446"/>
      <c r="B163" s="434"/>
      <c r="C163" s="464"/>
      <c r="D163" s="425"/>
      <c r="E163" s="95" t="s">
        <v>26</v>
      </c>
      <c r="F163" s="96" t="s">
        <v>137</v>
      </c>
      <c r="G163" s="90" t="s">
        <v>957</v>
      </c>
      <c r="H163" s="293" t="s">
        <v>242</v>
      </c>
      <c r="I163" s="133">
        <f>'Notes and Assumptions'!G144</f>
        <v>0</v>
      </c>
      <c r="J163" s="133">
        <f>'Notes and Assumptions'!H144</f>
        <v>15000</v>
      </c>
      <c r="K163" s="133">
        <f>'Notes and Assumptions'!I144</f>
        <v>5000</v>
      </c>
      <c r="L163" s="133">
        <f>'Notes and Assumptions'!J144</f>
        <v>5000</v>
      </c>
      <c r="M163" s="133">
        <f>'Notes and Assumptions'!K144</f>
        <v>5000</v>
      </c>
      <c r="N163" s="133">
        <f>'Notes and Assumptions'!L144</f>
        <v>0</v>
      </c>
      <c r="O163" s="133">
        <f>'Notes and Assumptions'!M144</f>
        <v>0</v>
      </c>
      <c r="P163" s="134">
        <f>SUM(I163:O163)</f>
        <v>30000</v>
      </c>
      <c r="Q163" s="153"/>
      <c r="R163" s="153"/>
      <c r="S163" s="153"/>
      <c r="T163" s="11">
        <v>4.3</v>
      </c>
      <c r="U163" s="145"/>
    </row>
    <row r="164" spans="1:67">
      <c r="A164" s="446"/>
      <c r="B164" s="434"/>
      <c r="C164" s="464"/>
      <c r="D164" s="425" t="s">
        <v>949</v>
      </c>
      <c r="E164" s="113" t="s">
        <v>26</v>
      </c>
      <c r="F164" s="96" t="s">
        <v>137</v>
      </c>
      <c r="G164" s="100" t="s">
        <v>30</v>
      </c>
      <c r="H164" s="293" t="s">
        <v>243</v>
      </c>
      <c r="I164" s="133">
        <f>'Notes and Assumptions'!G145</f>
        <v>0</v>
      </c>
      <c r="J164" s="133">
        <f>'Notes and Assumptions'!H145</f>
        <v>18000</v>
      </c>
      <c r="K164" s="133">
        <f>'Notes and Assumptions'!I145</f>
        <v>0</v>
      </c>
      <c r="L164" s="133">
        <f>'Notes and Assumptions'!J145</f>
        <v>0</v>
      </c>
      <c r="M164" s="133">
        <f>'Notes and Assumptions'!K145</f>
        <v>0</v>
      </c>
      <c r="N164" s="133">
        <f>'Notes and Assumptions'!L145</f>
        <v>0</v>
      </c>
      <c r="O164" s="133">
        <f>'Notes and Assumptions'!M145</f>
        <v>0</v>
      </c>
      <c r="P164" s="134">
        <f t="shared" ref="P164:P170" si="28">SUM(I164:O164)</f>
        <v>18000</v>
      </c>
      <c r="Q164" s="153"/>
      <c r="R164" s="153"/>
      <c r="S164" s="153"/>
      <c r="T164" s="11">
        <v>4.3</v>
      </c>
    </row>
    <row r="165" spans="1:67">
      <c r="A165" s="446"/>
      <c r="B165" s="434"/>
      <c r="C165" s="464"/>
      <c r="D165" s="425"/>
      <c r="E165" s="113" t="s">
        <v>26</v>
      </c>
      <c r="F165" s="96" t="s">
        <v>137</v>
      </c>
      <c r="G165" s="100" t="s">
        <v>30</v>
      </c>
      <c r="H165" s="293" t="s">
        <v>244</v>
      </c>
      <c r="I165" s="133">
        <f>'Notes and Assumptions'!G146</f>
        <v>0</v>
      </c>
      <c r="J165" s="133">
        <f>'Notes and Assumptions'!H146</f>
        <v>600</v>
      </c>
      <c r="K165" s="133">
        <f>'Notes and Assumptions'!I146</f>
        <v>0</v>
      </c>
      <c r="L165" s="133">
        <f>'Notes and Assumptions'!J146</f>
        <v>0</v>
      </c>
      <c r="M165" s="133">
        <f>'Notes and Assumptions'!K146</f>
        <v>0</v>
      </c>
      <c r="N165" s="133">
        <f>'Notes and Assumptions'!L146</f>
        <v>0</v>
      </c>
      <c r="O165" s="133">
        <f>'Notes and Assumptions'!M146</f>
        <v>0</v>
      </c>
      <c r="P165" s="134">
        <f t="shared" si="28"/>
        <v>600</v>
      </c>
      <c r="Q165" s="153"/>
      <c r="R165" s="153"/>
      <c r="S165" s="153"/>
      <c r="T165" s="11">
        <v>4.3</v>
      </c>
    </row>
    <row r="166" spans="1:67">
      <c r="A166" s="446"/>
      <c r="B166" s="434"/>
      <c r="C166" s="464"/>
      <c r="D166" s="425"/>
      <c r="E166" s="113" t="s">
        <v>26</v>
      </c>
      <c r="F166" s="96" t="s">
        <v>137</v>
      </c>
      <c r="G166" s="95" t="s">
        <v>219</v>
      </c>
      <c r="H166" s="293" t="s">
        <v>245</v>
      </c>
      <c r="I166" s="133">
        <f>'Notes and Assumptions'!G147</f>
        <v>0</v>
      </c>
      <c r="J166" s="133">
        <f>'Notes and Assumptions'!H147</f>
        <v>7900</v>
      </c>
      <c r="K166" s="133">
        <f>'Notes and Assumptions'!I147</f>
        <v>0</v>
      </c>
      <c r="L166" s="133">
        <f>'Notes and Assumptions'!J147</f>
        <v>0</v>
      </c>
      <c r="M166" s="133">
        <f>'Notes and Assumptions'!K147</f>
        <v>0</v>
      </c>
      <c r="N166" s="133">
        <f>'Notes and Assumptions'!L147</f>
        <v>0</v>
      </c>
      <c r="O166" s="133">
        <f>'Notes and Assumptions'!M147</f>
        <v>0</v>
      </c>
      <c r="P166" s="134">
        <f t="shared" si="28"/>
        <v>7900</v>
      </c>
      <c r="Q166" s="153"/>
      <c r="R166" s="153"/>
      <c r="S166" s="153"/>
    </row>
    <row r="167" spans="1:67" ht="51" customHeight="1">
      <c r="A167" s="446"/>
      <c r="B167" s="434"/>
      <c r="C167" s="464"/>
      <c r="D167" s="425"/>
      <c r="E167" s="113" t="s">
        <v>26</v>
      </c>
      <c r="F167" s="96" t="s">
        <v>137</v>
      </c>
      <c r="G167" s="91" t="s">
        <v>32</v>
      </c>
      <c r="H167" s="293" t="s">
        <v>246</v>
      </c>
      <c r="I167" s="133">
        <f>'Notes and Assumptions'!G148</f>
        <v>0</v>
      </c>
      <c r="J167" s="133">
        <f>'Notes and Assumptions'!H148</f>
        <v>25500</v>
      </c>
      <c r="K167" s="133">
        <f>'Notes and Assumptions'!I148</f>
        <v>0</v>
      </c>
      <c r="L167" s="133">
        <f>'Notes and Assumptions'!J148</f>
        <v>0</v>
      </c>
      <c r="M167" s="133">
        <f>'Notes and Assumptions'!K148</f>
        <v>0</v>
      </c>
      <c r="N167" s="133">
        <f>'Notes and Assumptions'!L148</f>
        <v>0</v>
      </c>
      <c r="O167" s="133">
        <f>'Notes and Assumptions'!M148</f>
        <v>0</v>
      </c>
      <c r="P167" s="134">
        <f t="shared" si="28"/>
        <v>25500</v>
      </c>
      <c r="Q167" s="153"/>
      <c r="R167" s="153"/>
      <c r="S167" s="153"/>
      <c r="T167" s="11">
        <v>4.3</v>
      </c>
    </row>
    <row r="168" spans="1:67" s="268" customFormat="1" ht="46.5" customHeight="1">
      <c r="A168" s="446"/>
      <c r="B168" s="434"/>
      <c r="C168" s="464"/>
      <c r="D168" s="303" t="s">
        <v>950</v>
      </c>
      <c r="E168" s="113" t="s">
        <v>26</v>
      </c>
      <c r="F168" s="96" t="s">
        <v>137</v>
      </c>
      <c r="G168" s="100" t="s">
        <v>30</v>
      </c>
      <c r="H168" s="293" t="s">
        <v>247</v>
      </c>
      <c r="I168" s="133">
        <f>'Notes and Assumptions'!G149</f>
        <v>0</v>
      </c>
      <c r="J168" s="133">
        <f>'Notes and Assumptions'!H149</f>
        <v>24000</v>
      </c>
      <c r="K168" s="133">
        <f>'Notes and Assumptions'!I149</f>
        <v>0</v>
      </c>
      <c r="L168" s="133">
        <f>'Notes and Assumptions'!J149</f>
        <v>0</v>
      </c>
      <c r="M168" s="133">
        <f>'Notes and Assumptions'!K149</f>
        <v>0</v>
      </c>
      <c r="N168" s="133">
        <f>'Notes and Assumptions'!L149</f>
        <v>0</v>
      </c>
      <c r="O168" s="133">
        <f>'Notes and Assumptions'!M149</f>
        <v>0</v>
      </c>
      <c r="P168" s="134">
        <f t="shared" si="28"/>
        <v>24000</v>
      </c>
      <c r="Q168" s="153"/>
      <c r="R168" s="153"/>
      <c r="S168" s="153"/>
      <c r="T168" s="11">
        <v>4.3</v>
      </c>
      <c r="U168" s="11"/>
      <c r="V168" s="11"/>
      <c r="W168" s="11"/>
      <c r="X168" s="11"/>
      <c r="Y168" s="11"/>
      <c r="Z168" s="11"/>
      <c r="AA168" s="11"/>
      <c r="AB168" s="11"/>
      <c r="AC168" s="11"/>
      <c r="AD168" s="11"/>
      <c r="AE168" s="11"/>
      <c r="AF168" s="11"/>
      <c r="AG168" s="11"/>
      <c r="AH168" s="11"/>
      <c r="AI168" s="11"/>
      <c r="AJ168" s="11"/>
      <c r="AK168" s="11"/>
      <c r="AL168" s="11"/>
      <c r="AM168" s="11"/>
      <c r="AN168" s="11"/>
      <c r="AO168" s="11"/>
      <c r="AP168" s="11"/>
      <c r="AQ168" s="11"/>
      <c r="AR168" s="11"/>
      <c r="AS168" s="11"/>
      <c r="AT168" s="11"/>
      <c r="AU168" s="11"/>
      <c r="AV168" s="11"/>
      <c r="AW168" s="11"/>
      <c r="AX168" s="11"/>
      <c r="AY168" s="11"/>
      <c r="AZ168" s="11"/>
      <c r="BA168" s="11"/>
      <c r="BB168" s="11"/>
      <c r="BC168" s="11"/>
      <c r="BD168" s="11"/>
      <c r="BE168" s="11"/>
      <c r="BF168" s="11"/>
      <c r="BG168" s="11"/>
      <c r="BH168" s="11"/>
      <c r="BI168" s="11"/>
      <c r="BJ168" s="11"/>
      <c r="BK168" s="11"/>
      <c r="BL168" s="11"/>
      <c r="BM168" s="11"/>
      <c r="BN168" s="11"/>
      <c r="BO168" s="11"/>
    </row>
    <row r="169" spans="1:67" ht="26.25" customHeight="1">
      <c r="A169" s="446"/>
      <c r="B169" s="434"/>
      <c r="C169" s="464"/>
      <c r="D169" s="425" t="s">
        <v>951</v>
      </c>
      <c r="E169" s="113" t="s">
        <v>26</v>
      </c>
      <c r="F169" s="96" t="s">
        <v>137</v>
      </c>
      <c r="G169" s="100" t="s">
        <v>30</v>
      </c>
      <c r="H169" s="293" t="s">
        <v>248</v>
      </c>
      <c r="I169" s="133">
        <f>'Notes and Assumptions'!G150</f>
        <v>0</v>
      </c>
      <c r="J169" s="133">
        <f>'Notes and Assumptions'!H150</f>
        <v>0</v>
      </c>
      <c r="K169" s="133">
        <f>'Notes and Assumptions'!I150</f>
        <v>0</v>
      </c>
      <c r="L169" s="133">
        <f>'Notes and Assumptions'!J150</f>
        <v>0</v>
      </c>
      <c r="M169" s="133">
        <f>'Notes and Assumptions'!K150</f>
        <v>36000</v>
      </c>
      <c r="N169" s="133">
        <f>'Notes and Assumptions'!L150</f>
        <v>0</v>
      </c>
      <c r="O169" s="133">
        <f>'Notes and Assumptions'!M150</f>
        <v>0</v>
      </c>
      <c r="P169" s="134">
        <f t="shared" si="28"/>
        <v>36000</v>
      </c>
      <c r="Q169" s="153"/>
      <c r="R169" s="153"/>
      <c r="S169" s="153"/>
      <c r="T169" s="11">
        <v>4.3</v>
      </c>
    </row>
    <row r="170" spans="1:67" ht="48.75" customHeight="1">
      <c r="A170" s="446"/>
      <c r="B170" s="434"/>
      <c r="C170" s="464"/>
      <c r="D170" s="425"/>
      <c r="E170" s="113" t="s">
        <v>26</v>
      </c>
      <c r="F170" s="96" t="s">
        <v>137</v>
      </c>
      <c r="G170" s="91" t="s">
        <v>32</v>
      </c>
      <c r="H170" s="293" t="s">
        <v>249</v>
      </c>
      <c r="I170" s="133">
        <f>'Notes and Assumptions'!G151</f>
        <v>0</v>
      </c>
      <c r="J170" s="133">
        <f>'Notes and Assumptions'!H151</f>
        <v>0</v>
      </c>
      <c r="K170" s="133">
        <f>'Notes and Assumptions'!I151</f>
        <v>0</v>
      </c>
      <c r="L170" s="133">
        <f>'Notes and Assumptions'!J151</f>
        <v>0</v>
      </c>
      <c r="M170" s="133">
        <f>'Notes and Assumptions'!K151</f>
        <v>1400</v>
      </c>
      <c r="N170" s="133">
        <f>'Notes and Assumptions'!L151</f>
        <v>0</v>
      </c>
      <c r="O170" s="133">
        <f>'Notes and Assumptions'!M151</f>
        <v>0</v>
      </c>
      <c r="P170" s="134">
        <f t="shared" si="28"/>
        <v>1400</v>
      </c>
      <c r="Q170" s="153"/>
      <c r="R170" s="153"/>
      <c r="S170" s="153"/>
      <c r="T170" s="11">
        <v>4.3</v>
      </c>
    </row>
    <row r="171" spans="1:67">
      <c r="A171" s="446"/>
      <c r="B171" s="93"/>
      <c r="C171" s="97"/>
      <c r="D171" s="137"/>
      <c r="E171" s="97"/>
      <c r="F171" s="97"/>
      <c r="G171" s="94"/>
      <c r="H171" s="92"/>
      <c r="I171" s="147"/>
      <c r="J171" s="147"/>
      <c r="K171" s="147"/>
      <c r="L171" s="147"/>
      <c r="M171" s="147"/>
      <c r="N171" s="147"/>
      <c r="O171" s="147"/>
      <c r="P171" s="148"/>
      <c r="Q171" s="149">
        <f>SUM(P150:P170)</f>
        <v>1200897.1310905714</v>
      </c>
      <c r="R171" s="149">
        <f>SUMIF(E150:E170,"GCF",P150:P170)</f>
        <v>566500</v>
      </c>
      <c r="S171" s="149">
        <f>SUMIF(E150:E170,"GoG",P150:P170)</f>
        <v>634397.13109057141</v>
      </c>
      <c r="T171" s="11">
        <v>4.3</v>
      </c>
    </row>
    <row r="172" spans="1:67">
      <c r="A172" s="446"/>
      <c r="B172" s="449" t="s">
        <v>250</v>
      </c>
      <c r="C172" s="449"/>
      <c r="D172" s="449"/>
      <c r="E172" s="449"/>
      <c r="F172" s="449"/>
      <c r="G172" s="449"/>
      <c r="H172" s="449"/>
      <c r="I172" s="151">
        <f t="shared" ref="I172:O172" si="29">SUMIF($E$140:$E$170,"GCF",I140:I170)</f>
        <v>169300</v>
      </c>
      <c r="J172" s="151">
        <f t="shared" si="29"/>
        <v>475950</v>
      </c>
      <c r="K172" s="151">
        <f t="shared" si="29"/>
        <v>114750</v>
      </c>
      <c r="L172" s="151">
        <f t="shared" si="29"/>
        <v>114750</v>
      </c>
      <c r="M172" s="151">
        <f t="shared" si="29"/>
        <v>152150</v>
      </c>
      <c r="N172" s="151">
        <f t="shared" si="29"/>
        <v>44200</v>
      </c>
      <c r="O172" s="151">
        <f t="shared" si="29"/>
        <v>0</v>
      </c>
      <c r="P172" s="151">
        <f>SUM(I172:O172)</f>
        <v>1071100</v>
      </c>
      <c r="Q172" s="290"/>
      <c r="R172" s="290"/>
      <c r="S172" s="290"/>
      <c r="U172" s="145"/>
    </row>
    <row r="173" spans="1:67">
      <c r="A173" s="446"/>
      <c r="B173" s="449" t="s">
        <v>251</v>
      </c>
      <c r="C173" s="449"/>
      <c r="D173" s="449"/>
      <c r="E173" s="449"/>
      <c r="F173" s="449"/>
      <c r="G173" s="449"/>
      <c r="H173" s="449"/>
      <c r="I173" s="151">
        <f>SUMIF($E$140:$E$170,"GoG",I140:I170)</f>
        <v>151748.82539682538</v>
      </c>
      <c r="J173" s="151">
        <f>SUMIF($E$140:$E$170,"GoG",J140:J170)</f>
        <v>162748.82539682538</v>
      </c>
      <c r="K173" s="151">
        <f>SUMIF($E$140:$E$170,"GoG",K140:K170)</f>
        <v>162748.82539682538</v>
      </c>
      <c r="L173" s="151">
        <f t="shared" ref="L173:O173" si="30">SUMIF($E$140:$E$170,"GoG",L140:L170)</f>
        <v>162748.82539682538</v>
      </c>
      <c r="M173" s="151">
        <f>SUMIF($E$140:$E$170,"GoG",M140:M170)</f>
        <v>66748.825396825385</v>
      </c>
      <c r="N173" s="151">
        <f t="shared" si="30"/>
        <v>55748.825396825392</v>
      </c>
      <c r="O173" s="151">
        <f t="shared" si="30"/>
        <v>55748.825396825392</v>
      </c>
      <c r="P173" s="151">
        <f>SUM(I173:O173)</f>
        <v>818241.77777777775</v>
      </c>
      <c r="Q173" s="290"/>
      <c r="R173" s="135"/>
      <c r="S173" s="135"/>
    </row>
    <row r="174" spans="1:67">
      <c r="A174" s="447"/>
      <c r="B174" s="449" t="s">
        <v>252</v>
      </c>
      <c r="C174" s="449"/>
      <c r="D174" s="449"/>
      <c r="E174" s="449"/>
      <c r="F174" s="449"/>
      <c r="G174" s="449"/>
      <c r="H174" s="449"/>
      <c r="I174" s="151">
        <f>I172+I173</f>
        <v>321048.82539682538</v>
      </c>
      <c r="J174" s="151">
        <f>J172+J173</f>
        <v>638698.82539682533</v>
      </c>
      <c r="K174" s="151">
        <f>K172+K173</f>
        <v>277498.82539682538</v>
      </c>
      <c r="L174" s="151">
        <f t="shared" ref="L174:O174" si="31">L172+L173</f>
        <v>277498.82539682538</v>
      </c>
      <c r="M174" s="151">
        <f t="shared" si="31"/>
        <v>218898.82539682538</v>
      </c>
      <c r="N174" s="151">
        <f t="shared" si="31"/>
        <v>99948.825396825385</v>
      </c>
      <c r="O174" s="291">
        <f t="shared" si="31"/>
        <v>55748.825396825392</v>
      </c>
      <c r="P174" s="151">
        <f>SUM(I174:O174)</f>
        <v>1889341.7777777773</v>
      </c>
      <c r="Q174" s="153"/>
      <c r="R174" s="135"/>
      <c r="S174" s="135"/>
    </row>
    <row r="175" spans="1:67">
      <c r="A175" s="305"/>
      <c r="B175" s="90"/>
      <c r="C175" s="96"/>
      <c r="D175" s="98"/>
      <c r="E175" s="96"/>
      <c r="F175" s="96"/>
      <c r="G175" s="90"/>
      <c r="H175" s="111"/>
      <c r="I175" s="111"/>
      <c r="J175" s="133"/>
      <c r="K175" s="133"/>
      <c r="L175" s="133"/>
      <c r="M175" s="133"/>
      <c r="N175" s="133"/>
      <c r="O175" s="133"/>
      <c r="P175" s="292"/>
      <c r="Q175" s="153"/>
      <c r="R175" s="135"/>
      <c r="S175" s="135"/>
    </row>
    <row r="176" spans="1:67" ht="45" customHeight="1">
      <c r="A176" s="445"/>
      <c r="B176" s="434" t="s">
        <v>253</v>
      </c>
      <c r="C176" s="427" t="s">
        <v>254</v>
      </c>
      <c r="D176" s="95" t="s">
        <v>255</v>
      </c>
      <c r="E176" s="96" t="s">
        <v>26</v>
      </c>
      <c r="F176" s="96" t="s">
        <v>137</v>
      </c>
      <c r="G176" s="100" t="s">
        <v>30</v>
      </c>
      <c r="H176" s="293" t="s">
        <v>256</v>
      </c>
      <c r="I176" s="133">
        <f>'Notes and Assumptions'!G153</f>
        <v>30000</v>
      </c>
      <c r="J176" s="133">
        <f>'Notes and Assumptions'!H153</f>
        <v>30000</v>
      </c>
      <c r="K176" s="133">
        <f>'Notes and Assumptions'!I153</f>
        <v>30000</v>
      </c>
      <c r="L176" s="133">
        <f>'Notes and Assumptions'!J153</f>
        <v>30000</v>
      </c>
      <c r="M176" s="133">
        <f>'Notes and Assumptions'!K153</f>
        <v>30000</v>
      </c>
      <c r="N176" s="133">
        <f>'Notes and Assumptions'!L153</f>
        <v>30000</v>
      </c>
      <c r="O176" s="133">
        <f>'Notes and Assumptions'!M153</f>
        <v>30000</v>
      </c>
      <c r="P176" s="134">
        <f t="shared" ref="P176:P182" si="32">SUM(I176:O176)</f>
        <v>210000</v>
      </c>
      <c r="Q176" s="153"/>
      <c r="R176" s="135"/>
      <c r="S176" s="135"/>
      <c r="T176" s="11">
        <v>5.0999999999999996</v>
      </c>
    </row>
    <row r="177" spans="1:38" ht="15" customHeight="1">
      <c r="A177" s="446"/>
      <c r="B177" s="435"/>
      <c r="C177" s="427"/>
      <c r="D177" s="461" t="s">
        <v>257</v>
      </c>
      <c r="E177" s="96" t="s">
        <v>26</v>
      </c>
      <c r="F177" s="96" t="s">
        <v>137</v>
      </c>
      <c r="G177" s="114" t="s">
        <v>219</v>
      </c>
      <c r="H177" s="293" t="s">
        <v>258</v>
      </c>
      <c r="I177" s="133">
        <f>'Notes and Assumptions'!G154</f>
        <v>57358</v>
      </c>
      <c r="J177" s="133">
        <f>'Notes and Assumptions'!H154</f>
        <v>57358</v>
      </c>
      <c r="K177" s="133">
        <f>'Notes and Assumptions'!I154</f>
        <v>57358</v>
      </c>
      <c r="L177" s="133">
        <f>'Notes and Assumptions'!J154</f>
        <v>57358</v>
      </c>
      <c r="M177" s="133">
        <f>'Notes and Assumptions'!K154</f>
        <v>57358</v>
      </c>
      <c r="N177" s="133">
        <f>'Notes and Assumptions'!L154</f>
        <v>57358</v>
      </c>
      <c r="O177" s="133">
        <f>'Notes and Assumptions'!M154</f>
        <v>57358</v>
      </c>
      <c r="P177" s="134">
        <f t="shared" si="32"/>
        <v>401506</v>
      </c>
      <c r="Q177" s="153"/>
      <c r="R177" s="135"/>
      <c r="S177" s="135"/>
      <c r="T177" s="11">
        <v>5.0999999999999996</v>
      </c>
    </row>
    <row r="178" spans="1:38">
      <c r="A178" s="446"/>
      <c r="B178" s="435"/>
      <c r="C178" s="427"/>
      <c r="D178" s="461"/>
      <c r="E178" s="96" t="s">
        <v>26</v>
      </c>
      <c r="F178" s="96" t="s">
        <v>137</v>
      </c>
      <c r="G178" s="100" t="s">
        <v>30</v>
      </c>
      <c r="H178" s="293" t="s">
        <v>259</v>
      </c>
      <c r="I178" s="133">
        <f>'Notes and Assumptions'!G155</f>
        <v>24000</v>
      </c>
      <c r="J178" s="133">
        <f>'Notes and Assumptions'!H155</f>
        <v>48000</v>
      </c>
      <c r="K178" s="133">
        <f>'Notes and Assumptions'!I155</f>
        <v>72000</v>
      </c>
      <c r="L178" s="133">
        <f>'Notes and Assumptions'!J155</f>
        <v>72000</v>
      </c>
      <c r="M178" s="133">
        <f>'Notes and Assumptions'!K155</f>
        <v>72000</v>
      </c>
      <c r="N178" s="133">
        <f>'Notes and Assumptions'!L155</f>
        <v>48000</v>
      </c>
      <c r="O178" s="133">
        <f>'Notes and Assumptions'!M155</f>
        <v>24000</v>
      </c>
      <c r="P178" s="134">
        <f t="shared" si="32"/>
        <v>360000</v>
      </c>
      <c r="Q178" s="153"/>
      <c r="R178" s="135"/>
      <c r="S178" s="135"/>
      <c r="T178" s="11">
        <v>5.0999999999999996</v>
      </c>
    </row>
    <row r="179" spans="1:38">
      <c r="A179" s="446"/>
      <c r="B179" s="435"/>
      <c r="C179" s="427"/>
      <c r="D179" s="95" t="s">
        <v>260</v>
      </c>
      <c r="E179" s="90" t="s">
        <v>37</v>
      </c>
      <c r="F179" s="96" t="s">
        <v>137</v>
      </c>
      <c r="G179" s="95" t="s">
        <v>38</v>
      </c>
      <c r="H179" s="293" t="s">
        <v>261</v>
      </c>
      <c r="I179" s="348">
        <f>'Co-financing Summary'!$D$37/7</f>
        <v>23135.08425528806</v>
      </c>
      <c r="J179" s="348">
        <f>'Co-financing Summary'!$D$37/7</f>
        <v>23135.08425528806</v>
      </c>
      <c r="K179" s="348">
        <f>'Co-financing Summary'!$D$37/7</f>
        <v>23135.08425528806</v>
      </c>
      <c r="L179" s="348">
        <f>'Co-financing Summary'!$D$37/7</f>
        <v>23135.08425528806</v>
      </c>
      <c r="M179" s="348">
        <f>'Co-financing Summary'!$D$37/7</f>
        <v>23135.08425528806</v>
      </c>
      <c r="N179" s="348">
        <f>'Co-financing Summary'!$D$37/7</f>
        <v>23135.08425528806</v>
      </c>
      <c r="O179" s="348">
        <f>'Co-financing Summary'!$D$37/7</f>
        <v>23135.08425528806</v>
      </c>
      <c r="P179" s="134">
        <f t="shared" si="32"/>
        <v>161945.58978701642</v>
      </c>
      <c r="Q179" s="153"/>
      <c r="R179" s="135"/>
      <c r="S179" s="135"/>
      <c r="T179" s="11">
        <v>5.0999999999999996</v>
      </c>
    </row>
    <row r="180" spans="1:38">
      <c r="A180" s="446"/>
      <c r="B180" s="435"/>
      <c r="C180" s="427"/>
      <c r="D180" s="461" t="s">
        <v>262</v>
      </c>
      <c r="E180" s="90" t="s">
        <v>26</v>
      </c>
      <c r="F180" s="96" t="s">
        <v>137</v>
      </c>
      <c r="G180" s="95" t="s">
        <v>219</v>
      </c>
      <c r="H180" s="293" t="s">
        <v>263</v>
      </c>
      <c r="I180" s="133">
        <f>'Notes and Assumptions'!G157</f>
        <v>4000</v>
      </c>
      <c r="J180" s="133">
        <f>'Notes and Assumptions'!H157</f>
        <v>4000</v>
      </c>
      <c r="K180" s="133">
        <f>'Notes and Assumptions'!I157</f>
        <v>4000</v>
      </c>
      <c r="L180" s="133">
        <f>'Notes and Assumptions'!J157</f>
        <v>4000</v>
      </c>
      <c r="M180" s="133">
        <f>'Notes and Assumptions'!K157</f>
        <v>0</v>
      </c>
      <c r="N180" s="133">
        <f>'Notes and Assumptions'!L157</f>
        <v>0</v>
      </c>
      <c r="O180" s="133">
        <f>'Notes and Assumptions'!M157</f>
        <v>0</v>
      </c>
      <c r="P180" s="134">
        <f t="shared" si="32"/>
        <v>16000</v>
      </c>
      <c r="Q180" s="153"/>
      <c r="R180" s="135"/>
      <c r="S180" s="135"/>
    </row>
    <row r="181" spans="1:38">
      <c r="A181" s="446"/>
      <c r="B181" s="435"/>
      <c r="C181" s="427"/>
      <c r="D181" s="461"/>
      <c r="E181" s="90" t="s">
        <v>26</v>
      </c>
      <c r="F181" s="96" t="s">
        <v>137</v>
      </c>
      <c r="G181" s="95" t="s">
        <v>34</v>
      </c>
      <c r="H181" s="293" t="s">
        <v>264</v>
      </c>
      <c r="I181" s="133">
        <f>'Notes and Assumptions'!G158</f>
        <v>7200</v>
      </c>
      <c r="J181" s="133">
        <f>'Notes and Assumptions'!H158</f>
        <v>7200</v>
      </c>
      <c r="K181" s="133">
        <f>'Notes and Assumptions'!I158</f>
        <v>0</v>
      </c>
      <c r="L181" s="133">
        <f>'Notes and Assumptions'!J158</f>
        <v>0</v>
      </c>
      <c r="M181" s="133">
        <f>'Notes and Assumptions'!K158</f>
        <v>0</v>
      </c>
      <c r="N181" s="133">
        <f>'Notes and Assumptions'!L158</f>
        <v>0</v>
      </c>
      <c r="O181" s="133">
        <f>'Notes and Assumptions'!M158</f>
        <v>0</v>
      </c>
      <c r="P181" s="134">
        <f t="shared" si="32"/>
        <v>14400</v>
      </c>
      <c r="Q181" s="153"/>
      <c r="R181" s="135"/>
      <c r="S181" s="135"/>
    </row>
    <row r="182" spans="1:38" ht="29">
      <c r="A182" s="446"/>
      <c r="B182" s="435"/>
      <c r="C182" s="427"/>
      <c r="D182" s="95" t="s">
        <v>265</v>
      </c>
      <c r="E182" s="96" t="s">
        <v>26</v>
      </c>
      <c r="F182" s="96" t="s">
        <v>137</v>
      </c>
      <c r="G182" s="100" t="s">
        <v>30</v>
      </c>
      <c r="H182" s="293" t="s">
        <v>266</v>
      </c>
      <c r="I182" s="133">
        <f>'Notes and Assumptions'!G159</f>
        <v>3000</v>
      </c>
      <c r="J182" s="133">
        <f>'Notes and Assumptions'!H159</f>
        <v>3000</v>
      </c>
      <c r="K182" s="133">
        <f>'Notes and Assumptions'!I159</f>
        <v>3000</v>
      </c>
      <c r="L182" s="133">
        <f>'Notes and Assumptions'!J159</f>
        <v>3000</v>
      </c>
      <c r="M182" s="133">
        <f>'Notes and Assumptions'!K159</f>
        <v>3000</v>
      </c>
      <c r="N182" s="133">
        <f>'Notes and Assumptions'!L159</f>
        <v>3000</v>
      </c>
      <c r="O182" s="133">
        <f>'Notes and Assumptions'!M159</f>
        <v>3000</v>
      </c>
      <c r="P182" s="134">
        <f t="shared" si="32"/>
        <v>21000</v>
      </c>
      <c r="Q182" s="153"/>
      <c r="R182" s="135"/>
      <c r="S182" s="135"/>
      <c r="T182" s="11">
        <v>5.0999999999999996</v>
      </c>
    </row>
    <row r="183" spans="1:38">
      <c r="A183" s="446"/>
      <c r="B183" s="435"/>
      <c r="C183" s="96"/>
      <c r="D183" s="98"/>
      <c r="E183" s="96"/>
      <c r="F183" s="96" t="s">
        <v>137</v>
      </c>
      <c r="G183" s="95"/>
      <c r="H183" s="293"/>
      <c r="I183" s="133"/>
      <c r="J183" s="133"/>
      <c r="K183" s="133"/>
      <c r="L183" s="133"/>
      <c r="M183" s="133"/>
      <c r="N183" s="133"/>
      <c r="O183" s="133"/>
      <c r="P183" s="134"/>
      <c r="Q183" s="153">
        <f>SUM(P176:P182)</f>
        <v>1184851.5897870164</v>
      </c>
      <c r="R183" s="153">
        <f>SUMIF(E176:E182,"GCF",P176:P182)</f>
        <v>1022906</v>
      </c>
      <c r="S183" s="153">
        <f>SUMIF(E176:E182,"GoG",P176:P182)</f>
        <v>161945.58978701642</v>
      </c>
      <c r="T183" s="11">
        <v>5.0999999999999996</v>
      </c>
    </row>
    <row r="184" spans="1:38" ht="43.5">
      <c r="A184" s="446"/>
      <c r="B184" s="435"/>
      <c r="C184" s="432" t="s">
        <v>267</v>
      </c>
      <c r="D184" s="98" t="s">
        <v>268</v>
      </c>
      <c r="E184" s="96" t="s">
        <v>26</v>
      </c>
      <c r="F184" s="96" t="s">
        <v>137</v>
      </c>
      <c r="G184" s="100" t="s">
        <v>30</v>
      </c>
      <c r="H184" s="293" t="s">
        <v>269</v>
      </c>
      <c r="I184" s="133">
        <f>'Notes and Assumptions'!G160</f>
        <v>30000</v>
      </c>
      <c r="J184" s="133">
        <f>'Notes and Assumptions'!H160</f>
        <v>0</v>
      </c>
      <c r="K184" s="133">
        <f>'Notes and Assumptions'!I160</f>
        <v>0</v>
      </c>
      <c r="L184" s="133">
        <f>'Notes and Assumptions'!J160</f>
        <v>0</v>
      </c>
      <c r="M184" s="133">
        <f>'Notes and Assumptions'!K160</f>
        <v>0</v>
      </c>
      <c r="N184" s="133">
        <f>'Notes and Assumptions'!L160</f>
        <v>0</v>
      </c>
      <c r="O184" s="133">
        <f>'Notes and Assumptions'!M160</f>
        <v>0</v>
      </c>
      <c r="P184" s="134">
        <f t="shared" ref="P184:P189" si="33">SUM(I184:O184)</f>
        <v>30000</v>
      </c>
      <c r="Q184" s="153"/>
      <c r="R184" s="135"/>
      <c r="S184" s="135"/>
      <c r="T184" s="11">
        <v>5.2</v>
      </c>
      <c r="U184" s="145"/>
    </row>
    <row r="185" spans="1:38" s="150" customFormat="1" ht="43.5">
      <c r="A185" s="446"/>
      <c r="B185" s="435"/>
      <c r="C185" s="432"/>
      <c r="D185" s="98" t="s">
        <v>270</v>
      </c>
      <c r="E185" s="96" t="s">
        <v>26</v>
      </c>
      <c r="F185" s="96" t="s">
        <v>137</v>
      </c>
      <c r="G185" s="100" t="s">
        <v>30</v>
      </c>
      <c r="H185" s="293" t="s">
        <v>271</v>
      </c>
      <c r="I185" s="133">
        <f>'Notes and Assumptions'!G161</f>
        <v>50000</v>
      </c>
      <c r="J185" s="133">
        <f>'Notes and Assumptions'!H161</f>
        <v>50000</v>
      </c>
      <c r="K185" s="133">
        <f>'Notes and Assumptions'!I161</f>
        <v>50000</v>
      </c>
      <c r="L185" s="133">
        <f>'Notes and Assumptions'!J161</f>
        <v>50000</v>
      </c>
      <c r="M185" s="133">
        <f>'Notes and Assumptions'!K161</f>
        <v>50000</v>
      </c>
      <c r="N185" s="133">
        <f>'Notes and Assumptions'!L161</f>
        <v>50000</v>
      </c>
      <c r="O185" s="133">
        <f>'Notes and Assumptions'!M161</f>
        <v>50000</v>
      </c>
      <c r="P185" s="134">
        <f t="shared" si="33"/>
        <v>350000</v>
      </c>
      <c r="Q185" s="153"/>
      <c r="R185" s="135"/>
      <c r="S185" s="135"/>
      <c r="T185" s="11">
        <v>5.2</v>
      </c>
      <c r="U185" s="11"/>
      <c r="V185" s="11"/>
      <c r="W185" s="11"/>
      <c r="X185" s="11"/>
      <c r="Y185" s="11"/>
      <c r="Z185" s="11"/>
      <c r="AA185" s="11"/>
      <c r="AB185" s="11"/>
      <c r="AC185" s="11"/>
      <c r="AD185" s="11"/>
      <c r="AE185" s="11"/>
      <c r="AF185" s="11"/>
      <c r="AG185" s="11"/>
      <c r="AH185" s="11"/>
      <c r="AI185" s="11"/>
      <c r="AJ185" s="11"/>
      <c r="AK185" s="11"/>
      <c r="AL185" s="11"/>
    </row>
    <row r="186" spans="1:38" ht="29">
      <c r="A186" s="446"/>
      <c r="B186" s="435"/>
      <c r="C186" s="432"/>
      <c r="D186" s="98" t="s">
        <v>272</v>
      </c>
      <c r="E186" s="96" t="s">
        <v>26</v>
      </c>
      <c r="F186" s="96" t="s">
        <v>137</v>
      </c>
      <c r="G186" s="95" t="s">
        <v>40</v>
      </c>
      <c r="H186" s="293" t="s">
        <v>273</v>
      </c>
      <c r="I186" s="133">
        <f>'Notes and Assumptions'!G162</f>
        <v>12000</v>
      </c>
      <c r="J186" s="133">
        <f>'Notes and Assumptions'!H162</f>
        <v>12000</v>
      </c>
      <c r="K186" s="133">
        <f>'Notes and Assumptions'!I162</f>
        <v>12000</v>
      </c>
      <c r="L186" s="133">
        <f>'Notes and Assumptions'!J162</f>
        <v>12000</v>
      </c>
      <c r="M186" s="133">
        <f>'Notes and Assumptions'!K162</f>
        <v>12000</v>
      </c>
      <c r="N186" s="133">
        <f>'Notes and Assumptions'!L162</f>
        <v>0</v>
      </c>
      <c r="O186" s="133">
        <f>'Notes and Assumptions'!M162</f>
        <v>0</v>
      </c>
      <c r="P186" s="134">
        <f t="shared" si="33"/>
        <v>60000</v>
      </c>
      <c r="Q186" s="153"/>
      <c r="R186" s="135"/>
      <c r="S186" s="135"/>
      <c r="T186" s="11">
        <v>5.2</v>
      </c>
    </row>
    <row r="187" spans="1:38">
      <c r="A187" s="446"/>
      <c r="B187" s="435"/>
      <c r="C187" s="432"/>
      <c r="D187" s="448" t="s">
        <v>274</v>
      </c>
      <c r="E187" s="96" t="s">
        <v>37</v>
      </c>
      <c r="F187" s="96" t="s">
        <v>137</v>
      </c>
      <c r="G187" s="95" t="s">
        <v>38</v>
      </c>
      <c r="H187" s="293" t="s">
        <v>275</v>
      </c>
      <c r="I187" s="133">
        <f>'Co-financing Summary'!$D$38/14</f>
        <v>12507.21140864781</v>
      </c>
      <c r="J187" s="133">
        <f>'Co-financing Summary'!$D$38/14</f>
        <v>12507.21140864781</v>
      </c>
      <c r="K187" s="133">
        <f>'Co-financing Summary'!$D$38/14</f>
        <v>12507.21140864781</v>
      </c>
      <c r="L187" s="133">
        <f>'Co-financing Summary'!$D$38/14</f>
        <v>12507.21140864781</v>
      </c>
      <c r="M187" s="133">
        <f>'Co-financing Summary'!$D$38/14</f>
        <v>12507.21140864781</v>
      </c>
      <c r="N187" s="133">
        <f>'Co-financing Summary'!$D$38/14</f>
        <v>12507.21140864781</v>
      </c>
      <c r="O187" s="133">
        <f>'Co-financing Summary'!$D$38/14</f>
        <v>12507.21140864781</v>
      </c>
      <c r="P187" s="134">
        <f t="shared" si="33"/>
        <v>87550.479860534673</v>
      </c>
      <c r="Q187" s="153"/>
      <c r="R187" s="135"/>
      <c r="S187" s="135"/>
      <c r="T187" s="11">
        <v>5.2</v>
      </c>
    </row>
    <row r="188" spans="1:38">
      <c r="A188" s="446"/>
      <c r="B188" s="435"/>
      <c r="C188" s="432"/>
      <c r="D188" s="448"/>
      <c r="E188" s="96" t="s">
        <v>26</v>
      </c>
      <c r="F188" s="96" t="s">
        <v>137</v>
      </c>
      <c r="G188" s="100" t="s">
        <v>30</v>
      </c>
      <c r="H188" s="293" t="s">
        <v>276</v>
      </c>
      <c r="I188" s="133">
        <f>'Notes and Assumptions'!G164</f>
        <v>0</v>
      </c>
      <c r="J188" s="133">
        <f>'Notes and Assumptions'!H164</f>
        <v>60000</v>
      </c>
      <c r="K188" s="133">
        <f>'Notes and Assumptions'!I164</f>
        <v>60000</v>
      </c>
      <c r="L188" s="133">
        <f>'Notes and Assumptions'!J164</f>
        <v>60000</v>
      </c>
      <c r="M188" s="133">
        <f>'Notes and Assumptions'!K164</f>
        <v>60000</v>
      </c>
      <c r="N188" s="133">
        <f>'Notes and Assumptions'!L164</f>
        <v>60000</v>
      </c>
      <c r="O188" s="133">
        <f>'Notes and Assumptions'!M164</f>
        <v>0</v>
      </c>
      <c r="P188" s="134">
        <f t="shared" si="33"/>
        <v>300000</v>
      </c>
      <c r="Q188" s="153"/>
      <c r="R188" s="135"/>
      <c r="S188" s="135"/>
      <c r="T188" s="11">
        <v>5.2</v>
      </c>
    </row>
    <row r="189" spans="1:38" ht="43.5">
      <c r="A189" s="446"/>
      <c r="B189" s="435"/>
      <c r="C189" s="432"/>
      <c r="D189" s="98" t="s">
        <v>277</v>
      </c>
      <c r="E189" s="96" t="s">
        <v>26</v>
      </c>
      <c r="F189" s="96" t="s">
        <v>137</v>
      </c>
      <c r="G189" s="100" t="s">
        <v>30</v>
      </c>
      <c r="H189" s="293" t="s">
        <v>278</v>
      </c>
      <c r="I189" s="133">
        <f>'Notes and Assumptions'!G165</f>
        <v>0</v>
      </c>
      <c r="J189" s="133">
        <f>'Notes and Assumptions'!H165</f>
        <v>0</v>
      </c>
      <c r="K189" s="133">
        <f>'Notes and Assumptions'!I165</f>
        <v>0</v>
      </c>
      <c r="L189" s="133">
        <f>'Notes and Assumptions'!J165</f>
        <v>15000</v>
      </c>
      <c r="M189" s="133">
        <f>'Notes and Assumptions'!K165</f>
        <v>0</v>
      </c>
      <c r="N189" s="133">
        <f>'Notes and Assumptions'!L165</f>
        <v>0</v>
      </c>
      <c r="O189" s="133">
        <f>'Notes and Assumptions'!M165</f>
        <v>15000</v>
      </c>
      <c r="P189" s="134">
        <f t="shared" si="33"/>
        <v>30000</v>
      </c>
      <c r="Q189" s="153"/>
      <c r="R189" s="135" t="s">
        <v>279</v>
      </c>
      <c r="S189" s="135"/>
      <c r="T189" s="11">
        <v>5.2</v>
      </c>
    </row>
    <row r="190" spans="1:38" ht="29">
      <c r="A190" s="446"/>
      <c r="B190" s="435"/>
      <c r="C190" s="432"/>
      <c r="D190" s="349" t="s">
        <v>280</v>
      </c>
      <c r="E190" s="90" t="s">
        <v>37</v>
      </c>
      <c r="F190" s="96" t="s">
        <v>137</v>
      </c>
      <c r="G190" s="342" t="s">
        <v>38</v>
      </c>
      <c r="H190" s="293" t="s">
        <v>281</v>
      </c>
      <c r="I190" s="133">
        <f>'Co-financing Summary'!$D$38/14</f>
        <v>12507.21140864781</v>
      </c>
      <c r="J190" s="133">
        <f>'Co-financing Summary'!$D$38/14</f>
        <v>12507.21140864781</v>
      </c>
      <c r="K190" s="133">
        <f>'Co-financing Summary'!$D$38/14</f>
        <v>12507.21140864781</v>
      </c>
      <c r="L190" s="133">
        <f>'Co-financing Summary'!$D$38/14</f>
        <v>12507.21140864781</v>
      </c>
      <c r="M190" s="133">
        <f>'Co-financing Summary'!$D$38/14</f>
        <v>12507.21140864781</v>
      </c>
      <c r="N190" s="133">
        <f>'Co-financing Summary'!$D$38/14</f>
        <v>12507.21140864781</v>
      </c>
      <c r="O190" s="133">
        <f>'Co-financing Summary'!$D$38/14</f>
        <v>12507.21140864781</v>
      </c>
      <c r="P190" s="134">
        <f>SUM(I190:O190)</f>
        <v>87550.479860534673</v>
      </c>
      <c r="Q190" s="153"/>
      <c r="R190" s="135"/>
      <c r="S190" s="135"/>
      <c r="T190" s="11">
        <v>5.2</v>
      </c>
    </row>
    <row r="191" spans="1:38" ht="43.5">
      <c r="A191" s="446"/>
      <c r="B191" s="435"/>
      <c r="C191" s="432"/>
      <c r="D191" s="95" t="s">
        <v>282</v>
      </c>
      <c r="E191" s="90" t="s">
        <v>26</v>
      </c>
      <c r="F191" s="96" t="s">
        <v>137</v>
      </c>
      <c r="G191" s="91" t="s">
        <v>32</v>
      </c>
      <c r="H191" s="293" t="s">
        <v>283</v>
      </c>
      <c r="I191" s="133">
        <f>'Notes and Assumptions'!G167</f>
        <v>48000</v>
      </c>
      <c r="J191" s="133">
        <f>'Notes and Assumptions'!H167</f>
        <v>48000</v>
      </c>
      <c r="K191" s="133">
        <f>'Notes and Assumptions'!I167</f>
        <v>48000</v>
      </c>
      <c r="L191" s="133">
        <f>'Notes and Assumptions'!J167</f>
        <v>48000</v>
      </c>
      <c r="M191" s="133">
        <f>'Notes and Assumptions'!K167</f>
        <v>48000</v>
      </c>
      <c r="N191" s="133">
        <f>'Notes and Assumptions'!L167</f>
        <v>48000</v>
      </c>
      <c r="O191" s="133">
        <f>'Notes and Assumptions'!M167</f>
        <v>48000</v>
      </c>
      <c r="P191" s="134">
        <f>SUM(I191:O191)</f>
        <v>336000</v>
      </c>
      <c r="Q191" s="153"/>
      <c r="R191" s="135"/>
      <c r="S191" s="135"/>
      <c r="T191" s="11">
        <v>5.2</v>
      </c>
    </row>
    <row r="192" spans="1:38">
      <c r="A192" s="446"/>
      <c r="B192" s="435"/>
      <c r="C192" s="332"/>
      <c r="D192" s="333"/>
      <c r="E192" s="90"/>
      <c r="F192" s="96"/>
      <c r="G192" s="91"/>
      <c r="H192" s="293"/>
      <c r="I192" s="133"/>
      <c r="J192" s="133"/>
      <c r="K192" s="133"/>
      <c r="L192" s="133"/>
      <c r="M192" s="133"/>
      <c r="N192" s="133"/>
      <c r="O192" s="133"/>
      <c r="P192" s="134"/>
      <c r="Q192" s="153">
        <f>SUM(P184:P191)</f>
        <v>1281100.9597210693</v>
      </c>
      <c r="R192" s="153">
        <f>SUMIF(E184:E191,"GCF",P184:P191)</f>
        <v>1106000</v>
      </c>
      <c r="S192" s="153">
        <f>SUMIF(E184:E191,"GoG",P184:P191)</f>
        <v>175100.95972106935</v>
      </c>
    </row>
    <row r="193" spans="1:21" ht="60" customHeight="1">
      <c r="A193" s="446"/>
      <c r="B193" s="435"/>
      <c r="C193" s="432" t="s">
        <v>284</v>
      </c>
      <c r="D193" s="432" t="s">
        <v>940</v>
      </c>
      <c r="E193" s="90" t="s">
        <v>26</v>
      </c>
      <c r="F193" s="96" t="s">
        <v>137</v>
      </c>
      <c r="G193" s="91" t="s">
        <v>32</v>
      </c>
      <c r="H193" s="293" t="s">
        <v>285</v>
      </c>
      <c r="I193" s="133">
        <f>'Notes and Assumptions'!G168</f>
        <v>48000</v>
      </c>
      <c r="J193" s="133">
        <f>'Notes and Assumptions'!H168</f>
        <v>48000</v>
      </c>
      <c r="K193" s="133">
        <f>'Notes and Assumptions'!I168</f>
        <v>48000</v>
      </c>
      <c r="L193" s="133">
        <f>'Notes and Assumptions'!J168</f>
        <v>48000</v>
      </c>
      <c r="M193" s="133">
        <f>'Notes and Assumptions'!K168</f>
        <v>48000</v>
      </c>
      <c r="N193" s="133">
        <f>'Notes and Assumptions'!L168</f>
        <v>48000</v>
      </c>
      <c r="O193" s="133">
        <f>'Notes and Assumptions'!M168</f>
        <v>48000</v>
      </c>
      <c r="P193" s="134">
        <f>SUM(I193:O193)</f>
        <v>336000</v>
      </c>
      <c r="Q193" s="153"/>
      <c r="R193" s="135"/>
      <c r="S193" s="135"/>
    </row>
    <row r="194" spans="1:21">
      <c r="A194" s="446"/>
      <c r="B194" s="436"/>
      <c r="C194" s="433"/>
      <c r="D194" s="433"/>
      <c r="E194" s="96" t="s">
        <v>57</v>
      </c>
      <c r="F194" s="96" t="s">
        <v>137</v>
      </c>
      <c r="G194" s="342" t="s">
        <v>38</v>
      </c>
      <c r="H194" s="293" t="s">
        <v>286</v>
      </c>
      <c r="I194" s="111">
        <f>'Co-financing Summary'!$D$39/7</f>
        <v>7599.3183242417081</v>
      </c>
      <c r="J194" s="111">
        <f>'Co-financing Summary'!$D$39/7</f>
        <v>7599.3183242417081</v>
      </c>
      <c r="K194" s="111">
        <f>'Co-financing Summary'!$D$39/7</f>
        <v>7599.3183242417081</v>
      </c>
      <c r="L194" s="111">
        <f>'Co-financing Summary'!$D$39/7</f>
        <v>7599.3183242417081</v>
      </c>
      <c r="M194" s="111">
        <f>'Co-financing Summary'!$D$39/7</f>
        <v>7599.3183242417081</v>
      </c>
      <c r="N194" s="111">
        <f>'Co-financing Summary'!$D$39/7</f>
        <v>7599.3183242417081</v>
      </c>
      <c r="O194" s="111">
        <f>'Co-financing Summary'!$D$39/7</f>
        <v>7599.3183242417081</v>
      </c>
      <c r="P194" s="134">
        <f>SUM(I194:O194)</f>
        <v>53195.228269691957</v>
      </c>
      <c r="Q194" s="153"/>
      <c r="R194" s="153"/>
      <c r="S194" s="153"/>
      <c r="T194" s="11">
        <v>5.2</v>
      </c>
      <c r="U194" s="145"/>
    </row>
    <row r="195" spans="1:21">
      <c r="A195" s="446"/>
      <c r="B195" s="378"/>
      <c r="C195" s="379"/>
      <c r="D195" s="379"/>
      <c r="E195" s="376"/>
      <c r="F195" s="376"/>
      <c r="G195" s="322"/>
      <c r="H195" s="380"/>
      <c r="I195" s="111"/>
      <c r="J195" s="111"/>
      <c r="K195" s="111"/>
      <c r="L195" s="111"/>
      <c r="M195" s="111"/>
      <c r="N195" s="111"/>
      <c r="O195" s="111"/>
      <c r="P195" s="134"/>
      <c r="Q195" s="153">
        <f>SUM(P193:P194)</f>
        <v>389195.22826969193</v>
      </c>
      <c r="R195" s="153">
        <f>SUMIF(E193:E194,"GCF",P193:P194)</f>
        <v>336000</v>
      </c>
      <c r="S195" s="153">
        <f ca="1">SUMIF(E193:E195,"GoG",P193:P194)</f>
        <v>53195.228269691957</v>
      </c>
      <c r="U195" s="145"/>
    </row>
    <row r="196" spans="1:21">
      <c r="A196" s="446"/>
      <c r="B196" s="426" t="s">
        <v>287</v>
      </c>
      <c r="C196" s="426"/>
      <c r="D196" s="426"/>
      <c r="E196" s="426"/>
      <c r="F196" s="426"/>
      <c r="G196" s="426"/>
      <c r="H196" s="426"/>
      <c r="I196" s="357">
        <f t="shared" ref="I196:N196" si="34">SUMIF($E$176:$E$194,"GCF",I176:I194)</f>
        <v>313558</v>
      </c>
      <c r="J196" s="357">
        <f t="shared" si="34"/>
        <v>367558</v>
      </c>
      <c r="K196" s="357">
        <f t="shared" si="34"/>
        <v>384358</v>
      </c>
      <c r="L196" s="357">
        <f t="shared" si="34"/>
        <v>399358</v>
      </c>
      <c r="M196" s="357">
        <f t="shared" si="34"/>
        <v>380358</v>
      </c>
      <c r="N196" s="357">
        <f t="shared" si="34"/>
        <v>344358</v>
      </c>
      <c r="O196" s="357">
        <f>SUMIF($E$176:$E$194,"GCF",O176:O194)</f>
        <v>275358</v>
      </c>
      <c r="P196" s="357">
        <f>SUM(I196:O196)</f>
        <v>2464906</v>
      </c>
      <c r="Q196" s="153"/>
      <c r="R196" s="153"/>
      <c r="S196" s="153"/>
      <c r="U196" s="145"/>
    </row>
    <row r="197" spans="1:21">
      <c r="A197" s="446"/>
      <c r="B197" s="426" t="s">
        <v>288</v>
      </c>
      <c r="C197" s="426"/>
      <c r="D197" s="426"/>
      <c r="E197" s="426"/>
      <c r="F197" s="426"/>
      <c r="G197" s="426"/>
      <c r="H197" s="426"/>
      <c r="I197" s="357">
        <f t="shared" ref="I197:O197" si="35">SUMIF($E$176:$E$194,"GoG",I176:I194)</f>
        <v>55748.825396825392</v>
      </c>
      <c r="J197" s="357">
        <f t="shared" si="35"/>
        <v>55748.825396825392</v>
      </c>
      <c r="K197" s="357">
        <f t="shared" si="35"/>
        <v>55748.825396825392</v>
      </c>
      <c r="L197" s="357">
        <f t="shared" si="35"/>
        <v>55748.825396825392</v>
      </c>
      <c r="M197" s="357">
        <f t="shared" si="35"/>
        <v>55748.825396825392</v>
      </c>
      <c r="N197" s="357">
        <f t="shared" si="35"/>
        <v>55748.825396825392</v>
      </c>
      <c r="O197" s="357">
        <f t="shared" si="35"/>
        <v>55748.825396825392</v>
      </c>
      <c r="P197" s="357">
        <f>SUM(I197:O197)</f>
        <v>390241.77777777775</v>
      </c>
      <c r="Q197" s="153">
        <f>SUM(Q183:Q195)</f>
        <v>2855147.7777777775</v>
      </c>
      <c r="R197" s="153">
        <f>SUM(R183:R195)</f>
        <v>2464906</v>
      </c>
      <c r="S197" s="153">
        <f ca="1">SUM(S183:S195)</f>
        <v>390241.77777777775</v>
      </c>
    </row>
    <row r="198" spans="1:21">
      <c r="A198" s="447"/>
      <c r="B198" s="460" t="s">
        <v>289</v>
      </c>
      <c r="C198" s="460"/>
      <c r="D198" s="460"/>
      <c r="E198" s="460"/>
      <c r="F198" s="460"/>
      <c r="G198" s="460"/>
      <c r="H198" s="460"/>
      <c r="I198" s="359">
        <f>I196+I197</f>
        <v>369306.82539682538</v>
      </c>
      <c r="J198" s="359">
        <f>J196+J197</f>
        <v>423306.82539682538</v>
      </c>
      <c r="K198" s="359">
        <f>K196+K197</f>
        <v>440106.82539682538</v>
      </c>
      <c r="L198" s="359">
        <f>L196+L197</f>
        <v>455106.82539682538</v>
      </c>
      <c r="M198" s="359">
        <f t="shared" ref="M198" si="36">M196+M197</f>
        <v>436106.82539682538</v>
      </c>
      <c r="N198" s="359">
        <f>N196+N197</f>
        <v>400106.82539682538</v>
      </c>
      <c r="O198" s="359">
        <f>O196+O197</f>
        <v>331106.82539682538</v>
      </c>
      <c r="P198" s="359">
        <f>SUM(I198:O198)</f>
        <v>2855147.777777778</v>
      </c>
      <c r="Q198" s="153"/>
      <c r="R198" s="135"/>
      <c r="S198" s="135"/>
    </row>
    <row r="199" spans="1:21">
      <c r="A199" s="430"/>
      <c r="B199" s="430"/>
      <c r="C199" s="128"/>
      <c r="D199" s="128"/>
      <c r="E199" s="128"/>
      <c r="F199" s="128"/>
      <c r="G199" s="128"/>
      <c r="H199" s="128"/>
      <c r="I199" s="154"/>
      <c r="J199" s="154"/>
      <c r="K199" s="154"/>
      <c r="L199" s="154"/>
      <c r="M199" s="154"/>
      <c r="N199" s="154"/>
      <c r="O199" s="154"/>
      <c r="P199" s="155"/>
      <c r="Q199" s="153"/>
      <c r="R199" s="135"/>
      <c r="S199" s="135"/>
    </row>
    <row r="200" spans="1:21">
      <c r="A200" s="431"/>
      <c r="B200" s="431"/>
      <c r="C200" s="129"/>
      <c r="D200" s="129"/>
      <c r="E200" s="129"/>
      <c r="F200" s="129"/>
      <c r="G200" s="129"/>
      <c r="H200" s="129"/>
      <c r="I200" s="129"/>
      <c r="J200" s="129"/>
      <c r="K200" s="129"/>
      <c r="L200" s="129"/>
      <c r="M200" s="129"/>
      <c r="N200" s="129"/>
      <c r="O200" s="129"/>
      <c r="Q200" s="280"/>
      <c r="R200" s="135"/>
      <c r="S200" s="135"/>
    </row>
    <row r="201" spans="1:21">
      <c r="A201" s="462" t="s">
        <v>952</v>
      </c>
      <c r="B201" s="462"/>
      <c r="C201" s="462"/>
      <c r="D201" s="462"/>
      <c r="E201" s="305"/>
      <c r="F201" s="305"/>
      <c r="G201" s="305"/>
      <c r="H201" s="305"/>
      <c r="I201" s="350"/>
      <c r="J201" s="350"/>
      <c r="K201" s="350"/>
      <c r="L201" s="350"/>
      <c r="M201" s="350"/>
      <c r="N201" s="350"/>
      <c r="O201" s="350"/>
      <c r="P201" s="350"/>
      <c r="Q201" s="144"/>
      <c r="R201" s="135"/>
      <c r="S201" s="135"/>
    </row>
    <row r="202" spans="1:21" ht="14.9" customHeight="1">
      <c r="A202" s="427" t="s">
        <v>290</v>
      </c>
      <c r="B202" s="427"/>
      <c r="C202" s="427"/>
      <c r="D202" s="427"/>
      <c r="E202" s="333" t="s">
        <v>26</v>
      </c>
      <c r="F202" s="96" t="s">
        <v>137</v>
      </c>
      <c r="G202" s="333" t="s">
        <v>291</v>
      </c>
      <c r="H202" s="95" t="s">
        <v>292</v>
      </c>
      <c r="I202" s="351">
        <f>'Notes and Assumptions'!G170</f>
        <v>100000</v>
      </c>
      <c r="J202" s="351">
        <f>'Notes and Assumptions'!H170</f>
        <v>0</v>
      </c>
      <c r="K202" s="351">
        <f>'Notes and Assumptions'!I170</f>
        <v>0</v>
      </c>
      <c r="L202" s="351">
        <f>'Notes and Assumptions'!J170</f>
        <v>0</v>
      </c>
      <c r="M202" s="351">
        <f>'Notes and Assumptions'!K170</f>
        <v>0</v>
      </c>
      <c r="N202" s="351">
        <f>'Notes and Assumptions'!L170</f>
        <v>0</v>
      </c>
      <c r="O202" s="351">
        <f>'Notes and Assumptions'!M170</f>
        <v>0</v>
      </c>
      <c r="P202" s="350">
        <f t="shared" ref="P202:P204" si="37">SUM(I202:O202)</f>
        <v>100000</v>
      </c>
      <c r="Q202" s="144"/>
      <c r="R202" s="135"/>
      <c r="S202" s="135"/>
      <c r="T202" s="11" t="s">
        <v>293</v>
      </c>
    </row>
    <row r="203" spans="1:21">
      <c r="A203" s="427" t="s">
        <v>953</v>
      </c>
      <c r="B203" s="427"/>
      <c r="C203" s="427"/>
      <c r="D203" s="427"/>
      <c r="E203" s="333" t="s">
        <v>26</v>
      </c>
      <c r="F203" s="96" t="s">
        <v>137</v>
      </c>
      <c r="G203" s="333" t="s">
        <v>219</v>
      </c>
      <c r="H203" s="95" t="s">
        <v>294</v>
      </c>
      <c r="I203" s="351">
        <f>'Notes and Assumptions'!G171</f>
        <v>46851</v>
      </c>
      <c r="J203" s="351">
        <f>'Notes and Assumptions'!H171</f>
        <v>46851</v>
      </c>
      <c r="K203" s="351">
        <f>'Notes and Assumptions'!I171</f>
        <v>46851</v>
      </c>
      <c r="L203" s="351">
        <f>'Notes and Assumptions'!J171</f>
        <v>46851</v>
      </c>
      <c r="M203" s="351">
        <f>'Notes and Assumptions'!K171</f>
        <v>46851</v>
      </c>
      <c r="N203" s="351">
        <f>'Notes and Assumptions'!L171</f>
        <v>46851</v>
      </c>
      <c r="O203" s="351">
        <f>'Notes and Assumptions'!M171</f>
        <v>46851</v>
      </c>
      <c r="P203" s="350">
        <f t="shared" si="37"/>
        <v>327957</v>
      </c>
      <c r="Q203" s="144"/>
      <c r="R203" s="135"/>
      <c r="S203" s="135"/>
      <c r="T203" s="11" t="s">
        <v>293</v>
      </c>
    </row>
    <row r="204" spans="1:21" ht="14.9" customHeight="1">
      <c r="A204" s="427" t="s">
        <v>954</v>
      </c>
      <c r="B204" s="427"/>
      <c r="C204" s="427"/>
      <c r="D204" s="427"/>
      <c r="E204" s="95" t="s">
        <v>26</v>
      </c>
      <c r="F204" s="96" t="s">
        <v>137</v>
      </c>
      <c r="G204" s="95" t="s">
        <v>219</v>
      </c>
      <c r="H204" s="95" t="s">
        <v>295</v>
      </c>
      <c r="I204" s="351">
        <f>'Notes and Assumptions'!G172</f>
        <v>46851</v>
      </c>
      <c r="J204" s="351">
        <f>'Notes and Assumptions'!H172</f>
        <v>46851</v>
      </c>
      <c r="K204" s="351">
        <f>'Notes and Assumptions'!I172</f>
        <v>46851</v>
      </c>
      <c r="L204" s="351">
        <f>'Notes and Assumptions'!J172</f>
        <v>46851</v>
      </c>
      <c r="M204" s="351">
        <f>'Notes and Assumptions'!K172</f>
        <v>46851</v>
      </c>
      <c r="N204" s="351">
        <f>'Notes and Assumptions'!L172</f>
        <v>46851</v>
      </c>
      <c r="O204" s="351">
        <f>'Notes and Assumptions'!M172</f>
        <v>46851</v>
      </c>
      <c r="P204" s="350">
        <f t="shared" si="37"/>
        <v>327957</v>
      </c>
      <c r="Q204" s="144"/>
      <c r="R204" s="135"/>
      <c r="S204" s="135"/>
      <c r="T204" s="11" t="s">
        <v>293</v>
      </c>
    </row>
    <row r="205" spans="1:21" ht="14.5" customHeight="1">
      <c r="A205" s="427" t="s">
        <v>296</v>
      </c>
      <c r="B205" s="427"/>
      <c r="C205" s="427"/>
      <c r="D205" s="427"/>
      <c r="E205" s="333" t="s">
        <v>26</v>
      </c>
      <c r="F205" s="96" t="s">
        <v>137</v>
      </c>
      <c r="G205" s="352" t="s">
        <v>291</v>
      </c>
      <c r="H205" s="95" t="s">
        <v>297</v>
      </c>
      <c r="I205" s="351">
        <f>'Notes and Assumptions'!G173</f>
        <v>0</v>
      </c>
      <c r="J205" s="351">
        <f>'Notes and Assumptions'!H173</f>
        <v>0</v>
      </c>
      <c r="K205" s="351">
        <f>'Notes and Assumptions'!I173</f>
        <v>0</v>
      </c>
      <c r="L205" s="351">
        <f>'Notes and Assumptions'!J173</f>
        <v>100000</v>
      </c>
      <c r="M205" s="351">
        <f>'Notes and Assumptions'!K173</f>
        <v>0</v>
      </c>
      <c r="N205" s="351">
        <f>'Notes and Assumptions'!L173</f>
        <v>0</v>
      </c>
      <c r="O205" s="351">
        <f>'Notes and Assumptions'!M173</f>
        <v>100000</v>
      </c>
      <c r="P205" s="350">
        <f t="shared" ref="P205:P210" si="38">SUM(I205:O205)</f>
        <v>200000</v>
      </c>
      <c r="Q205" s="144"/>
      <c r="R205" s="135"/>
      <c r="S205" s="135"/>
      <c r="T205" s="11" t="s">
        <v>293</v>
      </c>
    </row>
    <row r="206" spans="1:21" ht="14.5" customHeight="1">
      <c r="A206" s="427" t="s">
        <v>298</v>
      </c>
      <c r="B206" s="427"/>
      <c r="C206" s="427"/>
      <c r="D206" s="427"/>
      <c r="E206" s="333" t="s">
        <v>26</v>
      </c>
      <c r="F206" s="96" t="s">
        <v>137</v>
      </c>
      <c r="G206" s="100" t="s">
        <v>219</v>
      </c>
      <c r="H206" s="304" t="s">
        <v>299</v>
      </c>
      <c r="I206" s="351">
        <f>'Notes and Assumptions'!G174</f>
        <v>109500</v>
      </c>
      <c r="J206" s="351">
        <f>'Notes and Assumptions'!H174</f>
        <v>40000</v>
      </c>
      <c r="K206" s="351">
        <f>'Notes and Assumptions'!I174</f>
        <v>55000</v>
      </c>
      <c r="L206" s="351">
        <f>'Notes and Assumptions'!J174</f>
        <v>40000</v>
      </c>
      <c r="M206" s="351">
        <f>'Notes and Assumptions'!K174</f>
        <v>40000</v>
      </c>
      <c r="N206" s="351">
        <f>'Notes and Assumptions'!L174</f>
        <v>40000</v>
      </c>
      <c r="O206" s="351">
        <f>'Notes and Assumptions'!M174</f>
        <v>34000</v>
      </c>
      <c r="P206" s="350">
        <f t="shared" si="38"/>
        <v>358500</v>
      </c>
      <c r="Q206" s="144"/>
      <c r="R206" s="135"/>
      <c r="S206" s="135"/>
      <c r="T206" s="11" t="s">
        <v>293</v>
      </c>
    </row>
    <row r="207" spans="1:21">
      <c r="A207" s="427" t="s">
        <v>300</v>
      </c>
      <c r="B207" s="427"/>
      <c r="C207" s="100"/>
      <c r="D207" s="100"/>
      <c r="E207" s="90" t="s">
        <v>37</v>
      </c>
      <c r="F207" s="96" t="s">
        <v>137</v>
      </c>
      <c r="G207" s="353" t="s">
        <v>59</v>
      </c>
      <c r="H207" s="304" t="s">
        <v>301</v>
      </c>
      <c r="I207" s="351">
        <f>'Co-financing Summary'!$D$41/7</f>
        <v>11149.765079365079</v>
      </c>
      <c r="J207" s="351">
        <f t="shared" ref="J207:O207" si="39">$I$207</f>
        <v>11149.765079365079</v>
      </c>
      <c r="K207" s="351">
        <f t="shared" si="39"/>
        <v>11149.765079365079</v>
      </c>
      <c r="L207" s="351">
        <f t="shared" si="39"/>
        <v>11149.765079365079</v>
      </c>
      <c r="M207" s="351">
        <f t="shared" si="39"/>
        <v>11149.765079365079</v>
      </c>
      <c r="N207" s="351">
        <f t="shared" si="39"/>
        <v>11149.765079365079</v>
      </c>
      <c r="O207" s="351">
        <f t="shared" si="39"/>
        <v>11149.765079365079</v>
      </c>
      <c r="P207" s="350">
        <f t="shared" si="38"/>
        <v>78048.355555555565</v>
      </c>
      <c r="Q207" s="144"/>
      <c r="R207" s="135"/>
      <c r="S207" s="135"/>
    </row>
    <row r="208" spans="1:21">
      <c r="A208" s="331"/>
      <c r="B208" s="428" t="s">
        <v>302</v>
      </c>
      <c r="C208" s="428"/>
      <c r="D208" s="429"/>
      <c r="E208" s="354"/>
      <c r="F208" s="355"/>
      <c r="G208" s="355"/>
      <c r="H208" s="356"/>
      <c r="I208" s="357">
        <f>SUMIF($E$202:$E$207,"GCF",I202:I207)</f>
        <v>303202</v>
      </c>
      <c r="J208" s="357">
        <f t="shared" ref="J208:O208" si="40">SUMIF($E$202:$E$207,"GCF",J202:J207)</f>
        <v>133702</v>
      </c>
      <c r="K208" s="357">
        <f t="shared" si="40"/>
        <v>148702</v>
      </c>
      <c r="L208" s="357">
        <f t="shared" si="40"/>
        <v>233702</v>
      </c>
      <c r="M208" s="357">
        <f t="shared" si="40"/>
        <v>133702</v>
      </c>
      <c r="N208" s="357">
        <f t="shared" si="40"/>
        <v>133702</v>
      </c>
      <c r="O208" s="357">
        <f t="shared" si="40"/>
        <v>227702</v>
      </c>
      <c r="P208" s="358">
        <f t="shared" si="38"/>
        <v>1314414</v>
      </c>
      <c r="Q208" s="144">
        <f>SUM(P202:P207)</f>
        <v>1392462.3555555556</v>
      </c>
      <c r="R208" s="153">
        <f>SUMIF(E202:E207,"GCF",P202:P207)</f>
        <v>1314414</v>
      </c>
      <c r="S208" s="153">
        <f>SUMIF(E202:E207,"GoG",P202:P207)</f>
        <v>78048.355555555565</v>
      </c>
      <c r="T208" s="11" t="s">
        <v>293</v>
      </c>
    </row>
    <row r="209" spans="1:20">
      <c r="A209" s="331"/>
      <c r="B209" s="412" t="s">
        <v>303</v>
      </c>
      <c r="C209" s="412"/>
      <c r="D209" s="413"/>
      <c r="E209" s="354"/>
      <c r="F209" s="355"/>
      <c r="G209" s="355"/>
      <c r="H209" s="356"/>
      <c r="I209" s="357">
        <f>SUMIF($E$202:$E$207,"GoG",I202:I207)</f>
        <v>11149.765079365079</v>
      </c>
      <c r="J209" s="357">
        <f t="shared" ref="J209:O209" si="41">SUMIF($E$202:$E$207,"GoG",J202:J207)</f>
        <v>11149.765079365079</v>
      </c>
      <c r="K209" s="357">
        <f t="shared" si="41"/>
        <v>11149.765079365079</v>
      </c>
      <c r="L209" s="357">
        <f t="shared" si="41"/>
        <v>11149.765079365079</v>
      </c>
      <c r="M209" s="357">
        <f t="shared" si="41"/>
        <v>11149.765079365079</v>
      </c>
      <c r="N209" s="357">
        <f t="shared" si="41"/>
        <v>11149.765079365079</v>
      </c>
      <c r="O209" s="357">
        <f t="shared" si="41"/>
        <v>11149.765079365079</v>
      </c>
      <c r="P209" s="358">
        <f t="shared" si="38"/>
        <v>78048.355555555565</v>
      </c>
      <c r="Q209" s="144"/>
      <c r="R209" s="153"/>
      <c r="S209" s="153"/>
    </row>
    <row r="210" spans="1:20" ht="15" customHeight="1">
      <c r="A210" s="331"/>
      <c r="B210" s="410" t="s">
        <v>304</v>
      </c>
      <c r="C210" s="410"/>
      <c r="D210" s="411"/>
      <c r="E210" s="354"/>
      <c r="F210" s="355"/>
      <c r="G210" s="355"/>
      <c r="H210" s="356"/>
      <c r="I210" s="358">
        <f>SUM(I208:I209)</f>
        <v>314351.76507936505</v>
      </c>
      <c r="J210" s="358">
        <f t="shared" ref="J210:O210" si="42">SUM(J208:J209)</f>
        <v>144851.76507936508</v>
      </c>
      <c r="K210" s="358">
        <f t="shared" si="42"/>
        <v>159851.76507936508</v>
      </c>
      <c r="L210" s="358">
        <f t="shared" si="42"/>
        <v>244851.76507936508</v>
      </c>
      <c r="M210" s="358">
        <f t="shared" si="42"/>
        <v>144851.76507936508</v>
      </c>
      <c r="N210" s="358">
        <f t="shared" si="42"/>
        <v>144851.76507936508</v>
      </c>
      <c r="O210" s="358">
        <f t="shared" si="42"/>
        <v>238851.76507936508</v>
      </c>
      <c r="P210" s="358">
        <f t="shared" si="38"/>
        <v>1392462.3555555556</v>
      </c>
      <c r="Q210" s="144"/>
      <c r="R210" s="153"/>
      <c r="S210" s="153"/>
    </row>
    <row r="211" spans="1:20">
      <c r="A211" s="95"/>
      <c r="B211" s="305"/>
      <c r="C211" s="305"/>
      <c r="D211" s="11"/>
      <c r="E211" s="305"/>
      <c r="F211" s="306"/>
      <c r="G211" s="306"/>
      <c r="H211" s="305"/>
      <c r="I211" s="305"/>
      <c r="J211" s="305"/>
      <c r="K211" s="305"/>
      <c r="L211" s="305"/>
      <c r="M211" s="305"/>
      <c r="N211" s="305"/>
      <c r="O211" s="305"/>
      <c r="P211" s="305"/>
      <c r="Q211" s="280"/>
      <c r="R211" s="135"/>
      <c r="S211" s="135"/>
      <c r="T211" s="11" t="s">
        <v>293</v>
      </c>
    </row>
    <row r="212" spans="1:20">
      <c r="A212" s="416" t="s">
        <v>305</v>
      </c>
      <c r="B212" s="417"/>
      <c r="C212" s="420"/>
      <c r="D212" s="307" t="s">
        <v>306</v>
      </c>
      <c r="E212" s="90" t="s">
        <v>37</v>
      </c>
      <c r="F212" s="96" t="s">
        <v>137</v>
      </c>
      <c r="G212" s="304" t="s">
        <v>38</v>
      </c>
      <c r="H212" s="293" t="s">
        <v>307</v>
      </c>
      <c r="I212" s="133">
        <f>'Co-financing Summary'!$D$42/7</f>
        <v>11149.765079365079</v>
      </c>
      <c r="J212" s="133">
        <f>'Co-financing Summary'!$D$42/7</f>
        <v>11149.765079365079</v>
      </c>
      <c r="K212" s="133">
        <f>'Co-financing Summary'!$D$42/7</f>
        <v>11149.765079365079</v>
      </c>
      <c r="L212" s="133">
        <f>'Co-financing Summary'!$D$42/7</f>
        <v>11149.765079365079</v>
      </c>
      <c r="M212" s="133">
        <f>'Co-financing Summary'!$D$42/7</f>
        <v>11149.765079365079</v>
      </c>
      <c r="N212" s="133">
        <f>'Co-financing Summary'!$D$42/7</f>
        <v>11149.765079365079</v>
      </c>
      <c r="O212" s="133">
        <f>'Co-financing Summary'!$D$42/7</f>
        <v>11149.765079365079</v>
      </c>
      <c r="P212" s="134">
        <f>SUM(I212:O212)</f>
        <v>78048.355555555565</v>
      </c>
      <c r="Q212" s="153"/>
      <c r="R212" s="135"/>
      <c r="S212" s="135"/>
      <c r="T212" s="11" t="s">
        <v>308</v>
      </c>
    </row>
    <row r="213" spans="1:20">
      <c r="A213" s="416"/>
      <c r="B213" s="417"/>
      <c r="C213" s="421"/>
      <c r="D213" s="307" t="s">
        <v>309</v>
      </c>
      <c r="E213" s="90" t="s">
        <v>26</v>
      </c>
      <c r="F213" s="96" t="s">
        <v>137</v>
      </c>
      <c r="G213" s="304" t="s">
        <v>219</v>
      </c>
      <c r="H213" s="293" t="s">
        <v>310</v>
      </c>
      <c r="I213" s="133">
        <f>'Notes and Assumptions'!G178</f>
        <v>57358</v>
      </c>
      <c r="J213" s="133">
        <f>'Notes and Assumptions'!H178</f>
        <v>57358</v>
      </c>
      <c r="K213" s="133">
        <f>'Notes and Assumptions'!I178</f>
        <v>57358</v>
      </c>
      <c r="L213" s="133">
        <f>'Notes and Assumptions'!J178</f>
        <v>57358</v>
      </c>
      <c r="M213" s="133">
        <f>'Notes and Assumptions'!K178</f>
        <v>57358</v>
      </c>
      <c r="N213" s="133">
        <f>'Notes and Assumptions'!L178</f>
        <v>57358</v>
      </c>
      <c r="O213" s="133">
        <f>'Notes and Assumptions'!M178</f>
        <v>57358</v>
      </c>
      <c r="P213" s="134">
        <f>SUM(I213:O213)</f>
        <v>401506</v>
      </c>
      <c r="Q213" s="153"/>
      <c r="R213" s="135"/>
      <c r="S213" s="135"/>
      <c r="T213" s="11" t="s">
        <v>308</v>
      </c>
    </row>
    <row r="214" spans="1:20">
      <c r="A214" s="416"/>
      <c r="B214" s="417"/>
      <c r="C214" s="421"/>
      <c r="D214" s="307" t="s">
        <v>311</v>
      </c>
      <c r="E214" s="90" t="s">
        <v>26</v>
      </c>
      <c r="F214" s="96" t="s">
        <v>137</v>
      </c>
      <c r="G214" s="304" t="s">
        <v>219</v>
      </c>
      <c r="H214" s="293" t="s">
        <v>312</v>
      </c>
      <c r="I214" s="133">
        <f>'Notes and Assumptions'!G180</f>
        <v>46851</v>
      </c>
      <c r="J214" s="133">
        <f>'Notes and Assumptions'!H180</f>
        <v>46851</v>
      </c>
      <c r="K214" s="133">
        <f>'Notes and Assumptions'!I180</f>
        <v>46851</v>
      </c>
      <c r="L214" s="133">
        <f>'Notes and Assumptions'!J180</f>
        <v>46851</v>
      </c>
      <c r="M214" s="133">
        <f>'Notes and Assumptions'!K180</f>
        <v>46851</v>
      </c>
      <c r="N214" s="133">
        <f>'Notes and Assumptions'!L180</f>
        <v>46851</v>
      </c>
      <c r="O214" s="133">
        <f>'Notes and Assumptions'!M180</f>
        <v>46851</v>
      </c>
      <c r="P214" s="134">
        <f>SUM(I214:O214)</f>
        <v>327957</v>
      </c>
      <c r="Q214" s="153"/>
      <c r="R214" s="135"/>
      <c r="S214" s="135"/>
      <c r="T214" s="11" t="s">
        <v>308</v>
      </c>
    </row>
    <row r="215" spans="1:20">
      <c r="A215" s="416"/>
      <c r="B215" s="417"/>
      <c r="C215" s="421"/>
      <c r="D215" s="307" t="s">
        <v>313</v>
      </c>
      <c r="E215" s="90" t="s">
        <v>26</v>
      </c>
      <c r="F215" s="96" t="s">
        <v>137</v>
      </c>
      <c r="G215" s="304" t="s">
        <v>219</v>
      </c>
      <c r="H215" s="293" t="s">
        <v>314</v>
      </c>
      <c r="I215" s="133">
        <f>'Notes and Assumptions'!G180</f>
        <v>46851</v>
      </c>
      <c r="J215" s="133">
        <f>'Notes and Assumptions'!H180</f>
        <v>46851</v>
      </c>
      <c r="K215" s="133">
        <f>'Notes and Assumptions'!I180</f>
        <v>46851</v>
      </c>
      <c r="L215" s="133">
        <f>'Notes and Assumptions'!J180</f>
        <v>46851</v>
      </c>
      <c r="M215" s="133">
        <f>'Notes and Assumptions'!K180</f>
        <v>46851</v>
      </c>
      <c r="N215" s="133">
        <f>'Notes and Assumptions'!L180</f>
        <v>46851</v>
      </c>
      <c r="O215" s="133">
        <f>'Notes and Assumptions'!M180</f>
        <v>46851</v>
      </c>
      <c r="P215" s="134">
        <f>SUM(I215:O215)</f>
        <v>327957</v>
      </c>
      <c r="Q215" s="153"/>
      <c r="R215" s="135"/>
      <c r="S215" s="135"/>
      <c r="T215" s="11" t="s">
        <v>308</v>
      </c>
    </row>
    <row r="216" spans="1:20">
      <c r="A216" s="416"/>
      <c r="B216" s="417"/>
      <c r="C216" s="421"/>
      <c r="D216" s="307" t="s">
        <v>315</v>
      </c>
      <c r="E216" s="90" t="s">
        <v>26</v>
      </c>
      <c r="F216" s="96" t="s">
        <v>137</v>
      </c>
      <c r="G216" s="304" t="s">
        <v>219</v>
      </c>
      <c r="H216" s="293" t="s">
        <v>316</v>
      </c>
      <c r="I216" s="133">
        <f>'Notes and Assumptions'!G181</f>
        <v>46851</v>
      </c>
      <c r="J216" s="133">
        <f>'Notes and Assumptions'!H181</f>
        <v>46851</v>
      </c>
      <c r="K216" s="133">
        <f>'Notes and Assumptions'!I181</f>
        <v>46851</v>
      </c>
      <c r="L216" s="133">
        <f>'Notes and Assumptions'!J181</f>
        <v>46851</v>
      </c>
      <c r="M216" s="133">
        <f>'Notes and Assumptions'!K181</f>
        <v>46851</v>
      </c>
      <c r="N216" s="133">
        <f>'Notes and Assumptions'!L181</f>
        <v>46851</v>
      </c>
      <c r="O216" s="133">
        <f>'Notes and Assumptions'!M181</f>
        <v>46851</v>
      </c>
      <c r="P216" s="134">
        <f t="shared" ref="P216:P218" si="43">SUM(I216:O216)</f>
        <v>327957</v>
      </c>
      <c r="Q216" s="153"/>
      <c r="R216" s="135"/>
      <c r="S216" s="135"/>
      <c r="T216" s="11" t="s">
        <v>308</v>
      </c>
    </row>
    <row r="217" spans="1:20">
      <c r="A217" s="416"/>
      <c r="B217" s="417"/>
      <c r="C217" s="421"/>
      <c r="D217" s="336"/>
      <c r="E217" s="90" t="s">
        <v>26</v>
      </c>
      <c r="F217" s="96" t="s">
        <v>137</v>
      </c>
      <c r="G217" s="304"/>
      <c r="H217" s="293" t="s">
        <v>317</v>
      </c>
      <c r="I217" s="133">
        <f>'Notes and Assumptions'!G182</f>
        <v>0</v>
      </c>
      <c r="J217" s="133">
        <f>'Notes and Assumptions'!H182</f>
        <v>0</v>
      </c>
      <c r="K217" s="133">
        <f>'Notes and Assumptions'!I182</f>
        <v>0</v>
      </c>
      <c r="L217" s="133">
        <f>'Notes and Assumptions'!J182</f>
        <v>0</v>
      </c>
      <c r="M217" s="133">
        <f>'Notes and Assumptions'!K182</f>
        <v>0</v>
      </c>
      <c r="N217" s="133">
        <f>'Notes and Assumptions'!L182</f>
        <v>0</v>
      </c>
      <c r="O217" s="133">
        <f>'Notes and Assumptions'!M182</f>
        <v>0</v>
      </c>
      <c r="P217" s="134">
        <f t="shared" si="43"/>
        <v>0</v>
      </c>
      <c r="Q217" s="153"/>
      <c r="R217" s="135"/>
      <c r="S217" s="135"/>
      <c r="T217" s="11" t="s">
        <v>308</v>
      </c>
    </row>
    <row r="218" spans="1:20">
      <c r="A218" s="416"/>
      <c r="B218" s="417"/>
      <c r="C218" s="421"/>
      <c r="D218" s="307"/>
      <c r="E218" s="90" t="s">
        <v>26</v>
      </c>
      <c r="F218" s="96" t="s">
        <v>137</v>
      </c>
      <c r="G218" s="304"/>
      <c r="H218" s="293" t="s">
        <v>318</v>
      </c>
      <c r="I218" s="133">
        <f>'Notes and Assumptions'!G183</f>
        <v>0</v>
      </c>
      <c r="J218" s="133">
        <f>'Notes and Assumptions'!H183</f>
        <v>0</v>
      </c>
      <c r="K218" s="133">
        <f>'Notes and Assumptions'!I183</f>
        <v>0</v>
      </c>
      <c r="L218" s="133">
        <f>'Notes and Assumptions'!J183</f>
        <v>0</v>
      </c>
      <c r="M218" s="133">
        <f>'Notes and Assumptions'!K183</f>
        <v>0</v>
      </c>
      <c r="N218" s="133">
        <f>'Notes and Assumptions'!L183</f>
        <v>0</v>
      </c>
      <c r="O218" s="133">
        <f>'Notes and Assumptions'!M183</f>
        <v>0</v>
      </c>
      <c r="P218" s="134">
        <f t="shared" si="43"/>
        <v>0</v>
      </c>
      <c r="Q218" s="153"/>
      <c r="R218" s="135"/>
      <c r="S218" s="135"/>
      <c r="T218" s="11" t="s">
        <v>308</v>
      </c>
    </row>
    <row r="219" spans="1:20">
      <c r="A219" s="416"/>
      <c r="B219" s="417"/>
      <c r="C219" s="421"/>
      <c r="D219" s="365" t="s">
        <v>319</v>
      </c>
      <c r="E219" s="90" t="s">
        <v>26</v>
      </c>
      <c r="F219" s="96" t="s">
        <v>137</v>
      </c>
      <c r="G219" s="308" t="s">
        <v>40</v>
      </c>
      <c r="H219" s="293" t="s">
        <v>320</v>
      </c>
      <c r="I219" s="133">
        <f>'Notes and Assumptions'!G184</f>
        <v>12000</v>
      </c>
      <c r="J219" s="133">
        <f>'Notes and Assumptions'!H184</f>
        <v>12000</v>
      </c>
      <c r="K219" s="133">
        <f>'Notes and Assumptions'!I184</f>
        <v>12000</v>
      </c>
      <c r="L219" s="133">
        <f>'Notes and Assumptions'!J184</f>
        <v>12000</v>
      </c>
      <c r="M219" s="133">
        <f>'Notes and Assumptions'!K184</f>
        <v>12000</v>
      </c>
      <c r="N219" s="133">
        <f>'Notes and Assumptions'!L184</f>
        <v>12000</v>
      </c>
      <c r="O219" s="133">
        <f>'Notes and Assumptions'!M184</f>
        <v>12000</v>
      </c>
      <c r="P219" s="134">
        <f>SUM(I219:O219)</f>
        <v>84000</v>
      </c>
      <c r="Q219" s="153"/>
      <c r="R219" s="156"/>
      <c r="S219" s="156"/>
      <c r="T219" s="11" t="s">
        <v>308</v>
      </c>
    </row>
    <row r="220" spans="1:20">
      <c r="A220" s="416"/>
      <c r="B220" s="417"/>
      <c r="C220" s="421"/>
      <c r="D220" s="365" t="s">
        <v>321</v>
      </c>
      <c r="E220" s="90" t="s">
        <v>26</v>
      </c>
      <c r="F220" s="96" t="s">
        <v>137</v>
      </c>
      <c r="G220" s="346" t="s">
        <v>40</v>
      </c>
      <c r="H220" s="293" t="s">
        <v>322</v>
      </c>
      <c r="I220" s="133">
        <f>'Notes and Assumptions'!G185</f>
        <v>46700</v>
      </c>
      <c r="J220" s="133">
        <f>'Notes and Assumptions'!H185</f>
        <v>0</v>
      </c>
      <c r="K220" s="133">
        <f>'Notes and Assumptions'!I185</f>
        <v>0</v>
      </c>
      <c r="L220" s="133">
        <f>'Notes and Assumptions'!J185</f>
        <v>0</v>
      </c>
      <c r="M220" s="133">
        <f>'Notes and Assumptions'!K185</f>
        <v>0</v>
      </c>
      <c r="N220" s="133">
        <f>'Notes and Assumptions'!L185</f>
        <v>0</v>
      </c>
      <c r="O220" s="133">
        <f>'Notes and Assumptions'!M185</f>
        <v>0</v>
      </c>
      <c r="P220" s="134">
        <f t="shared" ref="P220:P230" si="44">SUM(I220:O220)</f>
        <v>46700</v>
      </c>
      <c r="Q220" s="153"/>
      <c r="R220" s="156"/>
      <c r="S220" s="156"/>
      <c r="T220" s="11" t="s">
        <v>308</v>
      </c>
    </row>
    <row r="221" spans="1:20">
      <c r="A221" s="416"/>
      <c r="B221" s="417"/>
      <c r="C221" s="421"/>
      <c r="D221" s="307" t="s">
        <v>323</v>
      </c>
      <c r="E221" s="90" t="s">
        <v>26</v>
      </c>
      <c r="F221" s="96" t="s">
        <v>137</v>
      </c>
      <c r="G221" s="308" t="s">
        <v>40</v>
      </c>
      <c r="H221" s="293" t="s">
        <v>324</v>
      </c>
      <c r="I221" s="133">
        <f>'Notes and Assumptions'!G186</f>
        <v>40000</v>
      </c>
      <c r="J221" s="133">
        <f>'Notes and Assumptions'!H186</f>
        <v>0</v>
      </c>
      <c r="K221" s="133">
        <f>'Notes and Assumptions'!I186</f>
        <v>0</v>
      </c>
      <c r="L221" s="133">
        <f>'Notes and Assumptions'!J186</f>
        <v>0</v>
      </c>
      <c r="M221" s="133">
        <f>'Notes and Assumptions'!K186</f>
        <v>0</v>
      </c>
      <c r="N221" s="133">
        <f>'Notes and Assumptions'!L186</f>
        <v>0</v>
      </c>
      <c r="O221" s="133">
        <f>'Notes and Assumptions'!M186</f>
        <v>0</v>
      </c>
      <c r="P221" s="134">
        <f t="shared" si="44"/>
        <v>40000</v>
      </c>
      <c r="Q221" s="153"/>
      <c r="R221" s="156"/>
      <c r="S221" s="156"/>
      <c r="T221" s="11" t="s">
        <v>308</v>
      </c>
    </row>
    <row r="222" spans="1:20">
      <c r="A222" s="416"/>
      <c r="B222" s="417"/>
      <c r="C222" s="421"/>
      <c r="D222" s="322" t="s">
        <v>325</v>
      </c>
      <c r="E222" s="90" t="s">
        <v>26</v>
      </c>
      <c r="F222" s="96" t="s">
        <v>137</v>
      </c>
      <c r="G222" s="308" t="s">
        <v>326</v>
      </c>
      <c r="H222" s="293" t="s">
        <v>327</v>
      </c>
      <c r="I222" s="133">
        <f>'Notes and Assumptions'!G187</f>
        <v>2000</v>
      </c>
      <c r="J222" s="133">
        <f>'Notes and Assumptions'!H187</f>
        <v>2000</v>
      </c>
      <c r="K222" s="133">
        <f>'Notes and Assumptions'!I187</f>
        <v>2000</v>
      </c>
      <c r="L222" s="133">
        <f>'Notes and Assumptions'!J187</f>
        <v>2000</v>
      </c>
      <c r="M222" s="133">
        <f>'Notes and Assumptions'!K187</f>
        <v>2000</v>
      </c>
      <c r="N222" s="133">
        <f>'Notes and Assumptions'!L187</f>
        <v>2000</v>
      </c>
      <c r="O222" s="133">
        <f>'Notes and Assumptions'!M187</f>
        <v>2000</v>
      </c>
      <c r="P222" s="134">
        <f t="shared" si="44"/>
        <v>14000</v>
      </c>
      <c r="Q222" s="153"/>
      <c r="R222" s="156"/>
      <c r="S222" s="156"/>
      <c r="T222" s="11" t="s">
        <v>308</v>
      </c>
    </row>
    <row r="223" spans="1:20">
      <c r="A223" s="416"/>
      <c r="B223" s="417"/>
      <c r="C223" s="421"/>
      <c r="D223" s="307" t="s">
        <v>328</v>
      </c>
      <c r="E223" s="90" t="s">
        <v>26</v>
      </c>
      <c r="F223" s="96" t="s">
        <v>137</v>
      </c>
      <c r="G223" s="308" t="s">
        <v>326</v>
      </c>
      <c r="H223" s="293" t="s">
        <v>329</v>
      </c>
      <c r="I223" s="133">
        <f>'Notes and Assumptions'!G188</f>
        <v>7500</v>
      </c>
      <c r="J223" s="133">
        <f>'Notes and Assumptions'!H188</f>
        <v>7500</v>
      </c>
      <c r="K223" s="133">
        <f>'Notes and Assumptions'!I188</f>
        <v>7500</v>
      </c>
      <c r="L223" s="133">
        <f>'Notes and Assumptions'!J188</f>
        <v>7500</v>
      </c>
      <c r="M223" s="133">
        <f>'Notes and Assumptions'!K188</f>
        <v>7500</v>
      </c>
      <c r="N223" s="133">
        <f>'Notes and Assumptions'!L188</f>
        <v>7500</v>
      </c>
      <c r="O223" s="133">
        <f>'Notes and Assumptions'!M188</f>
        <v>7500</v>
      </c>
      <c r="P223" s="134">
        <f t="shared" si="44"/>
        <v>52500</v>
      </c>
      <c r="Q223" s="153"/>
      <c r="R223" s="156"/>
      <c r="S223" s="156"/>
      <c r="T223" s="11" t="s">
        <v>308</v>
      </c>
    </row>
    <row r="224" spans="1:20">
      <c r="A224" s="416"/>
      <c r="B224" s="417"/>
      <c r="C224" s="421"/>
      <c r="D224" s="307" t="s">
        <v>330</v>
      </c>
      <c r="E224" s="90" t="s">
        <v>26</v>
      </c>
      <c r="F224" s="96" t="s">
        <v>137</v>
      </c>
      <c r="G224" s="308" t="s">
        <v>326</v>
      </c>
      <c r="H224" s="293" t="s">
        <v>331</v>
      </c>
      <c r="I224" s="133">
        <f>'Notes and Assumptions'!G189</f>
        <v>1500</v>
      </c>
      <c r="J224" s="133">
        <f>'Notes and Assumptions'!H189</f>
        <v>1500</v>
      </c>
      <c r="K224" s="133">
        <f>'Notes and Assumptions'!I189</f>
        <v>1500</v>
      </c>
      <c r="L224" s="133">
        <f>'Notes and Assumptions'!J189</f>
        <v>1500</v>
      </c>
      <c r="M224" s="133">
        <f>'Notes and Assumptions'!K189</f>
        <v>1500</v>
      </c>
      <c r="N224" s="133">
        <f>'Notes and Assumptions'!L189</f>
        <v>1500</v>
      </c>
      <c r="O224" s="133">
        <f>'Notes and Assumptions'!M189</f>
        <v>1500</v>
      </c>
      <c r="P224" s="134">
        <f t="shared" si="44"/>
        <v>10500</v>
      </c>
      <c r="Q224" s="153"/>
      <c r="R224" s="156"/>
      <c r="S224" s="156"/>
      <c r="T224" s="11" t="s">
        <v>308</v>
      </c>
    </row>
    <row r="225" spans="1:25">
      <c r="A225" s="416"/>
      <c r="B225" s="417"/>
      <c r="C225" s="421"/>
      <c r="D225" s="307" t="s">
        <v>332</v>
      </c>
      <c r="E225" s="90" t="s">
        <v>26</v>
      </c>
      <c r="F225" s="96" t="s">
        <v>137</v>
      </c>
      <c r="G225" s="323" t="s">
        <v>34</v>
      </c>
      <c r="H225" s="293" t="s">
        <v>333</v>
      </c>
      <c r="I225" s="133">
        <f>'Notes and Assumptions'!G190</f>
        <v>50000</v>
      </c>
      <c r="J225" s="133">
        <f>'Notes and Assumptions'!H190</f>
        <v>50000</v>
      </c>
      <c r="K225" s="133">
        <f>'Notes and Assumptions'!I190</f>
        <v>50000</v>
      </c>
      <c r="L225" s="133">
        <f>'Notes and Assumptions'!J190</f>
        <v>50000</v>
      </c>
      <c r="M225" s="133">
        <f>'Notes and Assumptions'!K190</f>
        <v>50000</v>
      </c>
      <c r="N225" s="133">
        <f>'Notes and Assumptions'!L190</f>
        <v>50000</v>
      </c>
      <c r="O225" s="133">
        <f>'Notes and Assumptions'!M190</f>
        <v>50000</v>
      </c>
      <c r="P225" s="134">
        <f t="shared" si="44"/>
        <v>350000</v>
      </c>
      <c r="Q225" s="153"/>
      <c r="R225" s="156"/>
      <c r="S225" s="156"/>
      <c r="T225" s="11" t="s">
        <v>308</v>
      </c>
    </row>
    <row r="226" spans="1:25">
      <c r="A226" s="416"/>
      <c r="B226" s="417"/>
      <c r="C226" s="421"/>
      <c r="D226" s="322" t="s">
        <v>334</v>
      </c>
      <c r="E226" s="90" t="s">
        <v>26</v>
      </c>
      <c r="F226" s="96" t="s">
        <v>137</v>
      </c>
      <c r="G226" s="323" t="s">
        <v>32</v>
      </c>
      <c r="H226" s="293" t="s">
        <v>335</v>
      </c>
      <c r="I226" s="133">
        <f>'Notes and Assumptions'!G191</f>
        <v>5000</v>
      </c>
      <c r="J226" s="133">
        <f>'Notes and Assumptions'!H191</f>
        <v>5000</v>
      </c>
      <c r="K226" s="133">
        <f>'Notes and Assumptions'!I191</f>
        <v>5000</v>
      </c>
      <c r="L226" s="133">
        <f>'Notes and Assumptions'!J191</f>
        <v>5000</v>
      </c>
      <c r="M226" s="133">
        <f>'Notes and Assumptions'!K191</f>
        <v>5000</v>
      </c>
      <c r="N226" s="133">
        <f>'Notes and Assumptions'!L191</f>
        <v>5000</v>
      </c>
      <c r="O226" s="133">
        <f>'Notes and Assumptions'!M191</f>
        <v>5000</v>
      </c>
      <c r="P226" s="134">
        <f t="shared" si="44"/>
        <v>35000</v>
      </c>
      <c r="Q226" s="153"/>
      <c r="R226" s="156"/>
      <c r="S226" s="156"/>
      <c r="T226" s="11" t="s">
        <v>308</v>
      </c>
    </row>
    <row r="227" spans="1:25">
      <c r="A227" s="416"/>
      <c r="B227" s="417"/>
      <c r="C227" s="421"/>
      <c r="D227" s="307" t="s">
        <v>336</v>
      </c>
      <c r="E227" s="90" t="s">
        <v>26</v>
      </c>
      <c r="F227" s="96" t="s">
        <v>137</v>
      </c>
      <c r="G227" s="304" t="s">
        <v>34</v>
      </c>
      <c r="H227" s="293" t="s">
        <v>337</v>
      </c>
      <c r="I227" s="133">
        <f>'Notes and Assumptions'!G192</f>
        <v>10000</v>
      </c>
      <c r="J227" s="133">
        <f>'Notes and Assumptions'!H192</f>
        <v>10000</v>
      </c>
      <c r="K227" s="133">
        <f>'Notes and Assumptions'!I192</f>
        <v>10000</v>
      </c>
      <c r="L227" s="133">
        <f>'Notes and Assumptions'!J192</f>
        <v>10000</v>
      </c>
      <c r="M227" s="133">
        <f>'Notes and Assumptions'!K192</f>
        <v>10000</v>
      </c>
      <c r="N227" s="133">
        <f>'Notes and Assumptions'!L192</f>
        <v>10000</v>
      </c>
      <c r="O227" s="133">
        <f>'Notes and Assumptions'!M192</f>
        <v>10000</v>
      </c>
      <c r="P227" s="134">
        <f t="shared" si="44"/>
        <v>70000</v>
      </c>
      <c r="Q227" s="153"/>
      <c r="R227" s="156"/>
      <c r="S227" s="156"/>
      <c r="T227" s="11" t="s">
        <v>308</v>
      </c>
    </row>
    <row r="228" spans="1:25">
      <c r="A228" s="416"/>
      <c r="B228" s="417"/>
      <c r="C228" s="421"/>
      <c r="D228" s="307" t="s">
        <v>338</v>
      </c>
      <c r="E228" s="90" t="s">
        <v>26</v>
      </c>
      <c r="F228" s="96" t="s">
        <v>137</v>
      </c>
      <c r="G228" s="323" t="s">
        <v>32</v>
      </c>
      <c r="H228" s="293" t="s">
        <v>339</v>
      </c>
      <c r="I228" s="133">
        <f>'Notes and Assumptions'!G193</f>
        <v>4500</v>
      </c>
      <c r="J228" s="133">
        <f>'Notes and Assumptions'!H193</f>
        <v>4500</v>
      </c>
      <c r="K228" s="133">
        <f>'Notes and Assumptions'!I193</f>
        <v>4500</v>
      </c>
      <c r="L228" s="133">
        <f>'Notes and Assumptions'!J193</f>
        <v>4500</v>
      </c>
      <c r="M228" s="133">
        <f>'Notes and Assumptions'!K193</f>
        <v>4500</v>
      </c>
      <c r="N228" s="133">
        <f>'Notes and Assumptions'!L193</f>
        <v>4500</v>
      </c>
      <c r="O228" s="133">
        <f>'Notes and Assumptions'!M193</f>
        <v>4500</v>
      </c>
      <c r="P228" s="134">
        <f t="shared" si="44"/>
        <v>31500</v>
      </c>
      <c r="Q228" s="153"/>
      <c r="R228" s="156"/>
      <c r="S228" s="156"/>
      <c r="T228" s="11" t="s">
        <v>308</v>
      </c>
      <c r="U228" s="135"/>
    </row>
    <row r="229" spans="1:25">
      <c r="A229" s="416"/>
      <c r="B229" s="417"/>
      <c r="C229" s="421"/>
      <c r="D229" s="307" t="s">
        <v>340</v>
      </c>
      <c r="E229" s="90" t="s">
        <v>26</v>
      </c>
      <c r="F229" s="96" t="s">
        <v>137</v>
      </c>
      <c r="G229" s="308" t="s">
        <v>326</v>
      </c>
      <c r="H229" s="293" t="s">
        <v>341</v>
      </c>
      <c r="I229" s="133">
        <f>'Notes and Assumptions'!G194</f>
        <v>5000</v>
      </c>
      <c r="J229" s="133">
        <f>'Notes and Assumptions'!H194</f>
        <v>5000</v>
      </c>
      <c r="K229" s="133">
        <f>'Notes and Assumptions'!I194</f>
        <v>5000</v>
      </c>
      <c r="L229" s="133">
        <f>'Notes and Assumptions'!J194</f>
        <v>5000</v>
      </c>
      <c r="M229" s="133">
        <f>'Notes and Assumptions'!K194</f>
        <v>5000</v>
      </c>
      <c r="N229" s="133">
        <f>'Notes and Assumptions'!L194</f>
        <v>5000</v>
      </c>
      <c r="O229" s="133">
        <f>'Notes and Assumptions'!M194</f>
        <v>5000</v>
      </c>
      <c r="P229" s="134">
        <f t="shared" si="44"/>
        <v>35000</v>
      </c>
      <c r="Q229" s="153"/>
      <c r="R229" s="156"/>
      <c r="S229" s="156"/>
      <c r="T229" s="11" t="s">
        <v>308</v>
      </c>
    </row>
    <row r="230" spans="1:25">
      <c r="A230" s="416"/>
      <c r="B230" s="417"/>
      <c r="C230" s="421"/>
      <c r="D230" s="307" t="s">
        <v>342</v>
      </c>
      <c r="E230" s="90" t="s">
        <v>26</v>
      </c>
      <c r="F230" s="96" t="s">
        <v>137</v>
      </c>
      <c r="G230" s="308" t="s">
        <v>326</v>
      </c>
      <c r="H230" s="293" t="s">
        <v>343</v>
      </c>
      <c r="I230" s="133">
        <f>'Notes and Assumptions'!G195</f>
        <v>15000</v>
      </c>
      <c r="J230" s="133">
        <f>'Notes and Assumptions'!H195</f>
        <v>15000</v>
      </c>
      <c r="K230" s="133">
        <f>'Notes and Assumptions'!I195</f>
        <v>15000</v>
      </c>
      <c r="L230" s="133">
        <f>'Notes and Assumptions'!J195</f>
        <v>15000</v>
      </c>
      <c r="M230" s="133">
        <f>'Notes and Assumptions'!K195</f>
        <v>15000</v>
      </c>
      <c r="N230" s="133">
        <f>'Notes and Assumptions'!L195</f>
        <v>15000</v>
      </c>
      <c r="O230" s="133">
        <f>'Notes and Assumptions'!M195</f>
        <v>15000</v>
      </c>
      <c r="P230" s="134">
        <f t="shared" si="44"/>
        <v>105000</v>
      </c>
      <c r="Q230" s="153"/>
      <c r="R230" s="156"/>
      <c r="S230" s="156"/>
      <c r="T230" s="11" t="s">
        <v>308</v>
      </c>
    </row>
    <row r="231" spans="1:25">
      <c r="B231" s="157"/>
      <c r="C231" s="158"/>
      <c r="D231" s="138"/>
      <c r="E231" s="99"/>
      <c r="F231" s="99"/>
      <c r="G231" s="157"/>
      <c r="H231" s="157"/>
      <c r="I231" s="159"/>
      <c r="J231" s="159"/>
      <c r="K231" s="159"/>
      <c r="L231" s="159"/>
      <c r="M231" s="159"/>
      <c r="N231" s="159"/>
      <c r="O231" s="159"/>
      <c r="P231" s="160"/>
      <c r="Q231" s="161">
        <f>SUM(P212:P230)</f>
        <v>2337625.3555555558</v>
      </c>
      <c r="R231" s="161">
        <f>SUMIF(E212:E230,"GCF",P212:P230)</f>
        <v>2259577</v>
      </c>
      <c r="S231" s="161">
        <f>SUMIF(E212:E230,"GoG",P212:P230)</f>
        <v>78048.355555555565</v>
      </c>
      <c r="T231" s="11" t="s">
        <v>308</v>
      </c>
      <c r="U231" s="162"/>
    </row>
    <row r="232" spans="1:25">
      <c r="A232" s="418" t="s">
        <v>344</v>
      </c>
      <c r="B232" s="418"/>
      <c r="C232" s="418"/>
      <c r="D232" s="418"/>
      <c r="E232" s="418"/>
      <c r="F232" s="418"/>
      <c r="G232" s="418"/>
      <c r="H232" s="419"/>
      <c r="I232" s="151">
        <f>SUMIF($E$212:$E$230,"GCF",I212:I230)</f>
        <v>397111</v>
      </c>
      <c r="J232" s="151">
        <f t="shared" ref="J232:O232" si="45">SUMIF($E$212:$E$230,"GCF",J212:J230)</f>
        <v>310411</v>
      </c>
      <c r="K232" s="151">
        <f t="shared" si="45"/>
        <v>310411</v>
      </c>
      <c r="L232" s="151">
        <f t="shared" si="45"/>
        <v>310411</v>
      </c>
      <c r="M232" s="151">
        <f t="shared" si="45"/>
        <v>310411</v>
      </c>
      <c r="N232" s="151">
        <f t="shared" si="45"/>
        <v>310411</v>
      </c>
      <c r="O232" s="151">
        <f t="shared" si="45"/>
        <v>310411</v>
      </c>
      <c r="P232" s="151">
        <f>SUM(I232:O232)</f>
        <v>2259577</v>
      </c>
      <c r="Q232" s="153"/>
      <c r="R232" s="135"/>
      <c r="S232" s="135"/>
      <c r="T232" s="163"/>
      <c r="U232" s="163"/>
      <c r="V232" s="163"/>
      <c r="W232" s="163"/>
      <c r="X232" s="163"/>
      <c r="Y232" s="163"/>
    </row>
    <row r="233" spans="1:25">
      <c r="A233" s="418" t="s">
        <v>345</v>
      </c>
      <c r="B233" s="418"/>
      <c r="C233" s="418"/>
      <c r="D233" s="418"/>
      <c r="E233" s="418"/>
      <c r="F233" s="418"/>
      <c r="G233" s="418"/>
      <c r="H233" s="419"/>
      <c r="I233" s="151">
        <f t="shared" ref="I233:O233" si="46">SUMIF($E$212:$E$230,"GoG",I212:I230)</f>
        <v>11149.765079365079</v>
      </c>
      <c r="J233" s="151">
        <f t="shared" si="46"/>
        <v>11149.765079365079</v>
      </c>
      <c r="K233" s="151">
        <f t="shared" si="46"/>
        <v>11149.765079365079</v>
      </c>
      <c r="L233" s="151">
        <f t="shared" si="46"/>
        <v>11149.765079365079</v>
      </c>
      <c r="M233" s="151">
        <f t="shared" si="46"/>
        <v>11149.765079365079</v>
      </c>
      <c r="N233" s="151">
        <f t="shared" si="46"/>
        <v>11149.765079365079</v>
      </c>
      <c r="O233" s="151">
        <f t="shared" si="46"/>
        <v>11149.765079365079</v>
      </c>
      <c r="P233" s="151">
        <f>SUM(I233:O233)</f>
        <v>78048.355555555565</v>
      </c>
      <c r="Q233" s="153"/>
      <c r="R233" s="369"/>
      <c r="S233" s="135"/>
      <c r="T233" s="163"/>
      <c r="U233" s="163"/>
      <c r="V233" s="163"/>
      <c r="W233" s="163"/>
      <c r="X233" s="163"/>
      <c r="Y233" s="163"/>
    </row>
    <row r="234" spans="1:25">
      <c r="A234" s="418" t="s">
        <v>346</v>
      </c>
      <c r="B234" s="418"/>
      <c r="C234" s="418"/>
      <c r="D234" s="418"/>
      <c r="E234" s="418"/>
      <c r="F234" s="418"/>
      <c r="G234" s="418"/>
      <c r="H234" s="419"/>
      <c r="I234" s="151">
        <f t="shared" ref="I234:O234" si="47">I232+I233</f>
        <v>408260.76507936505</v>
      </c>
      <c r="J234" s="151">
        <f t="shared" si="47"/>
        <v>321560.76507936505</v>
      </c>
      <c r="K234" s="151">
        <f t="shared" si="47"/>
        <v>321560.76507936505</v>
      </c>
      <c r="L234" s="151">
        <f t="shared" si="47"/>
        <v>321560.76507936505</v>
      </c>
      <c r="M234" s="151">
        <f t="shared" si="47"/>
        <v>321560.76507936505</v>
      </c>
      <c r="N234" s="151">
        <f t="shared" si="47"/>
        <v>321560.76507936505</v>
      </c>
      <c r="O234" s="151">
        <f t="shared" si="47"/>
        <v>321560.76507936505</v>
      </c>
      <c r="P234" s="151">
        <f>SUM(I234:O234)</f>
        <v>2337625.3555555553</v>
      </c>
      <c r="Q234" s="153"/>
      <c r="R234" s="370"/>
      <c r="S234" s="287"/>
      <c r="T234" s="163"/>
      <c r="U234" s="163"/>
      <c r="V234" s="163"/>
      <c r="W234" s="163"/>
      <c r="X234" s="163"/>
      <c r="Y234" s="163"/>
    </row>
    <row r="235" spans="1:25">
      <c r="B235" s="152"/>
      <c r="C235" s="316"/>
      <c r="D235" s="315"/>
      <c r="E235" s="317"/>
      <c r="F235" s="317"/>
      <c r="G235" s="152"/>
      <c r="H235" s="152"/>
      <c r="I235" s="133"/>
      <c r="J235" s="133"/>
      <c r="K235" s="133"/>
      <c r="L235" s="133"/>
      <c r="M235" s="133"/>
      <c r="N235" s="133"/>
      <c r="O235" s="133"/>
      <c r="P235" s="134"/>
      <c r="Q235" s="153"/>
      <c r="R235" s="371"/>
      <c r="S235" s="135"/>
      <c r="T235" s="163"/>
      <c r="U235" s="163"/>
      <c r="V235" s="163"/>
      <c r="W235" s="163"/>
      <c r="X235" s="163"/>
      <c r="Y235" s="163"/>
    </row>
    <row r="236" spans="1:25">
      <c r="A236" s="414" t="s">
        <v>347</v>
      </c>
      <c r="B236" s="414"/>
      <c r="C236" s="414"/>
      <c r="D236" s="414"/>
      <c r="E236" s="414"/>
      <c r="F236" s="414"/>
      <c r="G236" s="414"/>
      <c r="H236" s="414"/>
      <c r="I236" s="164">
        <f>I128+I136+I172+I196+I85</f>
        <v>9425008</v>
      </c>
      <c r="J236" s="164">
        <f t="shared" ref="J236:O236" si="48">J128+J136+J172+J196+J85</f>
        <v>12364718</v>
      </c>
      <c r="K236" s="164">
        <f t="shared" si="48"/>
        <v>11987584.666666666</v>
      </c>
      <c r="L236" s="164">
        <f t="shared" si="48"/>
        <v>9605634.666666666</v>
      </c>
      <c r="M236" s="164">
        <f t="shared" si="48"/>
        <v>9509884.666666666</v>
      </c>
      <c r="N236" s="164">
        <f t="shared" si="48"/>
        <v>4621560</v>
      </c>
      <c r="O236" s="164">
        <f t="shared" si="48"/>
        <v>2122760</v>
      </c>
      <c r="P236" s="368">
        <f>P196+P172+P136+P85+P128</f>
        <v>59637150</v>
      </c>
      <c r="Q236" s="153">
        <f>SUM(I236:O236)</f>
        <v>59637149.999999993</v>
      </c>
      <c r="R236" s="373">
        <f>P232/P236</f>
        <v>3.78887488754912E-2</v>
      </c>
      <c r="S236" s="165"/>
      <c r="T236" s="163"/>
      <c r="U236" s="163"/>
      <c r="V236" s="163"/>
      <c r="W236" s="163"/>
      <c r="X236" s="163"/>
      <c r="Y236" s="163"/>
    </row>
    <row r="237" spans="1:25" ht="14.9" customHeight="1">
      <c r="A237" s="415" t="s">
        <v>348</v>
      </c>
      <c r="B237" s="415"/>
      <c r="C237" s="415"/>
      <c r="D237" s="415"/>
      <c r="E237" s="415"/>
      <c r="F237" s="415"/>
      <c r="G237" s="415"/>
      <c r="H237" s="415"/>
      <c r="I237" s="299">
        <f>I129+I137+I173+I197+I86</f>
        <v>1289925.8672076971</v>
      </c>
      <c r="J237" s="299">
        <f t="shared" ref="J237:N237" si="49">J129+J137+J173+J197+J86</f>
        <v>1014625.7681594666</v>
      </c>
      <c r="K237" s="299">
        <f t="shared" si="49"/>
        <v>1021512.8524336838</v>
      </c>
      <c r="L237" s="299">
        <f t="shared" si="49"/>
        <v>953879.92681050848</v>
      </c>
      <c r="M237" s="299">
        <f t="shared" si="49"/>
        <v>857879.92681050848</v>
      </c>
      <c r="N237" s="299">
        <f t="shared" si="49"/>
        <v>846879.92681050848</v>
      </c>
      <c r="O237" s="299">
        <f>O129+O137+O173+O197+O86</f>
        <v>846879.92681050848</v>
      </c>
      <c r="P237" s="299">
        <f>SUM(I237:O237)</f>
        <v>6831584.1950428812</v>
      </c>
      <c r="Q237" s="367"/>
      <c r="R237" s="135"/>
      <c r="S237" s="165"/>
      <c r="T237" s="163"/>
      <c r="U237" s="163"/>
      <c r="V237" s="163"/>
      <c r="W237" s="163"/>
      <c r="X237" s="163"/>
      <c r="Y237" s="163"/>
    </row>
    <row r="238" spans="1:25">
      <c r="A238" s="414" t="s">
        <v>349</v>
      </c>
      <c r="B238" s="414"/>
      <c r="C238" s="414"/>
      <c r="D238" s="414"/>
      <c r="E238" s="414"/>
      <c r="F238" s="414"/>
      <c r="G238" s="414"/>
      <c r="H238" s="414"/>
      <c r="I238" s="164">
        <f>SUM(I236:I237)</f>
        <v>10714933.867207697</v>
      </c>
      <c r="J238" s="164">
        <f>SUM(J236:J237)</f>
        <v>13379343.768159466</v>
      </c>
      <c r="K238" s="164">
        <f>SUM(K236:K237)</f>
        <v>13009097.519100349</v>
      </c>
      <c r="L238" s="164">
        <f t="shared" ref="L238" si="50">SUM(L236:L237)</f>
        <v>10559514.593477175</v>
      </c>
      <c r="M238" s="164">
        <f>SUM(M236:M237)</f>
        <v>10367764.593477175</v>
      </c>
      <c r="N238" s="164">
        <f>SUM(N236:N237)</f>
        <v>5468439.9268105086</v>
      </c>
      <c r="O238" s="164">
        <f>SUM(O236:O237)</f>
        <v>2969639.9268105086</v>
      </c>
      <c r="P238" s="164">
        <f>SUM(P236:P237)</f>
        <v>66468734.195042878</v>
      </c>
      <c r="Q238" s="381"/>
      <c r="R238" s="135"/>
      <c r="S238" s="135"/>
      <c r="T238" s="163"/>
      <c r="U238" s="163"/>
      <c r="V238" s="163"/>
      <c r="W238" s="163"/>
      <c r="X238" s="163"/>
      <c r="Y238" s="163"/>
    </row>
    <row r="239" spans="1:25">
      <c r="B239" s="143"/>
      <c r="C239" s="143"/>
      <c r="D239" s="143"/>
      <c r="E239" s="143"/>
      <c r="F239" s="143"/>
      <c r="G239" s="143"/>
      <c r="H239" s="143"/>
      <c r="I239" s="144"/>
      <c r="J239" s="144"/>
      <c r="K239" s="144"/>
      <c r="L239" s="144"/>
      <c r="M239" s="144"/>
      <c r="N239" s="144"/>
      <c r="O239" s="144"/>
      <c r="P239" s="153"/>
      <c r="Q239" s="153"/>
      <c r="R239" s="135"/>
      <c r="S239" s="135"/>
      <c r="T239" s="163"/>
      <c r="U239" s="163"/>
      <c r="V239" s="163"/>
      <c r="W239" s="163"/>
      <c r="X239" s="163"/>
      <c r="Y239" s="163"/>
    </row>
    <row r="240" spans="1:25">
      <c r="A240" s="414" t="s">
        <v>350</v>
      </c>
      <c r="B240" s="414"/>
      <c r="C240" s="318"/>
      <c r="D240" s="318"/>
      <c r="E240" s="318"/>
      <c r="F240" s="318"/>
      <c r="G240" s="318"/>
      <c r="H240" s="318"/>
      <c r="I240" s="164">
        <f t="shared" ref="I240:O240" si="51">I236+I232+I208</f>
        <v>10125321</v>
      </c>
      <c r="J240" s="164">
        <f t="shared" si="51"/>
        <v>12808831</v>
      </c>
      <c r="K240" s="164">
        <f t="shared" si="51"/>
        <v>12446697.666666666</v>
      </c>
      <c r="L240" s="164">
        <f t="shared" si="51"/>
        <v>10149747.666666666</v>
      </c>
      <c r="M240" s="164">
        <f t="shared" si="51"/>
        <v>9953997.666666666</v>
      </c>
      <c r="N240" s="164">
        <f t="shared" si="51"/>
        <v>5065673</v>
      </c>
      <c r="O240" s="164">
        <f t="shared" si="51"/>
        <v>2660873</v>
      </c>
      <c r="P240" s="164">
        <f>P236+P232+P208</f>
        <v>63211141</v>
      </c>
      <c r="Q240" s="153"/>
      <c r="R240" s="135"/>
      <c r="S240" s="135"/>
      <c r="T240" s="163"/>
      <c r="U240" s="163"/>
      <c r="V240" s="163"/>
      <c r="W240" s="163"/>
      <c r="X240" s="163"/>
      <c r="Y240" s="163"/>
    </row>
    <row r="241" spans="1:25">
      <c r="A241" s="415" t="s">
        <v>351</v>
      </c>
      <c r="B241" s="415"/>
      <c r="C241" s="319"/>
      <c r="D241" s="319"/>
      <c r="E241" s="319"/>
      <c r="F241" s="319"/>
      <c r="G241" s="319"/>
      <c r="H241" s="319"/>
      <c r="I241" s="299">
        <f t="shared" ref="I241:O241" si="52">I237+I233+I209</f>
        <v>1312225.3973664274</v>
      </c>
      <c r="J241" s="299">
        <f t="shared" si="52"/>
        <v>1036925.2983181968</v>
      </c>
      <c r="K241" s="299">
        <f t="shared" si="52"/>
        <v>1043812.382592414</v>
      </c>
      <c r="L241" s="299">
        <f t="shared" si="52"/>
        <v>976179.4569692387</v>
      </c>
      <c r="M241" s="299">
        <f t="shared" si="52"/>
        <v>880179.4569692387</v>
      </c>
      <c r="N241" s="299">
        <f t="shared" si="52"/>
        <v>869179.4569692387</v>
      </c>
      <c r="O241" s="299">
        <f t="shared" si="52"/>
        <v>869179.4569692387</v>
      </c>
      <c r="P241" s="299">
        <f>P237+P233+P207</f>
        <v>6987680.9061539927</v>
      </c>
      <c r="Q241" s="381"/>
      <c r="R241" s="135"/>
      <c r="S241" s="135"/>
      <c r="T241" s="102"/>
      <c r="U241" s="163"/>
      <c r="V241" s="163"/>
      <c r="W241" s="163"/>
      <c r="X241" s="163"/>
      <c r="Y241" s="163"/>
    </row>
    <row r="242" spans="1:25">
      <c r="A242" s="414" t="s">
        <v>352</v>
      </c>
      <c r="B242" s="414"/>
      <c r="C242" s="414"/>
      <c r="D242" s="414"/>
      <c r="E242" s="414"/>
      <c r="F242" s="414"/>
      <c r="G242" s="414"/>
      <c r="H242" s="414"/>
      <c r="I242" s="164">
        <f t="shared" ref="I242:P242" si="53">SUM(I240:I241)</f>
        <v>11437546.397366427</v>
      </c>
      <c r="J242" s="164">
        <f t="shared" si="53"/>
        <v>13845756.298318196</v>
      </c>
      <c r="K242" s="164">
        <f t="shared" si="53"/>
        <v>13490510.04925908</v>
      </c>
      <c r="L242" s="164">
        <f t="shared" si="53"/>
        <v>11125927.123635905</v>
      </c>
      <c r="M242" s="164">
        <f t="shared" si="53"/>
        <v>10834177.123635905</v>
      </c>
      <c r="N242" s="164">
        <f t="shared" si="53"/>
        <v>5934852.4569692388</v>
      </c>
      <c r="O242" s="164">
        <f t="shared" si="53"/>
        <v>3530052.4569692388</v>
      </c>
      <c r="P242" s="164">
        <f t="shared" si="53"/>
        <v>70198821.906153992</v>
      </c>
      <c r="Q242" s="153"/>
      <c r="R242" s="135"/>
      <c r="S242" s="135"/>
      <c r="T242" s="163"/>
      <c r="U242" s="163"/>
      <c r="V242" s="163"/>
      <c r="W242" s="163"/>
      <c r="X242" s="163"/>
      <c r="Y242" s="163"/>
    </row>
    <row r="243" spans="1:25">
      <c r="C243" s="166"/>
      <c r="D243" s="139"/>
      <c r="E243" s="3"/>
      <c r="F243" s="3"/>
      <c r="O243" s="145"/>
      <c r="P243" s="167"/>
      <c r="Q243" s="167"/>
      <c r="R243" s="163"/>
      <c r="S243" s="163"/>
      <c r="T243" s="163"/>
      <c r="U243" s="163"/>
      <c r="V243" s="163"/>
      <c r="W243" s="163"/>
      <c r="X243" s="163"/>
      <c r="Y243" s="163"/>
    </row>
    <row r="244" spans="1:25">
      <c r="C244" s="166"/>
      <c r="D244" s="139"/>
      <c r="E244" s="3"/>
      <c r="F244" s="3"/>
      <c r="G244" s="1"/>
      <c r="H244" s="294"/>
      <c r="I244" s="145"/>
      <c r="J244" s="145"/>
      <c r="K244" s="145"/>
      <c r="L244" s="145"/>
      <c r="M244" s="145"/>
      <c r="N244" s="145"/>
      <c r="O244" s="145"/>
      <c r="P244" s="167"/>
      <c r="Q244" s="167"/>
      <c r="R244" s="163"/>
      <c r="S244" s="163"/>
      <c r="T244" s="163"/>
      <c r="U244" s="163"/>
      <c r="V244" s="163"/>
      <c r="W244" s="163"/>
      <c r="X244" s="163"/>
      <c r="Y244" s="163"/>
    </row>
    <row r="245" spans="1:25" ht="15" thickBot="1">
      <c r="C245" s="166"/>
      <c r="D245" s="139"/>
      <c r="E245" s="3"/>
      <c r="F245" s="3"/>
      <c r="G245" s="1"/>
      <c r="H245" s="294"/>
      <c r="I245" s="135"/>
      <c r="P245" s="334"/>
    </row>
    <row r="246" spans="1:25" ht="18.5">
      <c r="C246" s="166"/>
      <c r="D246" s="139"/>
      <c r="E246" s="3"/>
      <c r="F246" s="3"/>
      <c r="G246" s="422" t="s">
        <v>353</v>
      </c>
      <c r="H246" s="423"/>
      <c r="I246" s="423"/>
      <c r="J246" s="424"/>
      <c r="K246" s="145"/>
      <c r="L246" s="145"/>
      <c r="M246" s="145"/>
      <c r="N246" s="145"/>
      <c r="O246" s="145"/>
      <c r="P246" s="167"/>
      <c r="Q246" s="167"/>
    </row>
    <row r="247" spans="1:25">
      <c r="B247" s="3"/>
      <c r="C247" s="3"/>
      <c r="D247" s="3"/>
      <c r="E247" s="3"/>
      <c r="F247" s="3"/>
      <c r="G247" s="390"/>
      <c r="H247" s="293" t="s">
        <v>354</v>
      </c>
      <c r="I247" s="90" t="s">
        <v>355</v>
      </c>
      <c r="J247" s="391" t="s">
        <v>356</v>
      </c>
      <c r="P247" s="167"/>
      <c r="Q247" s="167"/>
      <c r="R247" s="145"/>
      <c r="S247" s="145"/>
    </row>
    <row r="248" spans="1:25">
      <c r="E248" s="3"/>
      <c r="F248" s="3"/>
      <c r="G248" s="392" t="s">
        <v>357</v>
      </c>
      <c r="H248" s="134">
        <f>SUM(P137+P173+P197+P209+P233)-428000</f>
        <v>1560967.1111111112</v>
      </c>
      <c r="I248" s="133">
        <f>P90+428000</f>
        <v>678000</v>
      </c>
      <c r="J248" s="393">
        <f>SUM(H248:I248)</f>
        <v>2238967.111111111</v>
      </c>
      <c r="P248" s="167"/>
      <c r="Q248" s="167"/>
    </row>
    <row r="249" spans="1:25">
      <c r="B249" s="3"/>
      <c r="C249" s="3"/>
      <c r="D249" s="3"/>
      <c r="E249" s="3"/>
      <c r="F249" s="3"/>
      <c r="G249" s="394" t="s">
        <v>358</v>
      </c>
      <c r="H249" s="111">
        <f>+P10+P17+P23+P37+P53+P72</f>
        <v>1400000.5000000002</v>
      </c>
      <c r="I249" s="395">
        <v>0</v>
      </c>
      <c r="J249" s="393">
        <f t="shared" ref="J249:J251" si="54">SUM(H249:I249)</f>
        <v>1400000.5000000002</v>
      </c>
      <c r="K249" s="169"/>
      <c r="L249" s="169"/>
      <c r="M249" s="169"/>
      <c r="N249" s="169"/>
      <c r="O249" s="169"/>
      <c r="P249" s="167"/>
      <c r="Q249" s="167"/>
      <c r="T249" s="145"/>
    </row>
    <row r="250" spans="1:25">
      <c r="B250" s="3"/>
      <c r="C250" s="3"/>
      <c r="D250" s="324"/>
      <c r="E250" s="3"/>
      <c r="F250" s="3"/>
      <c r="G250" s="394" t="s">
        <v>359</v>
      </c>
      <c r="H250" s="111">
        <f>+P24</f>
        <v>499999.49999999994</v>
      </c>
      <c r="I250" s="395">
        <v>0</v>
      </c>
      <c r="J250" s="393">
        <f t="shared" si="54"/>
        <v>499999.49999999994</v>
      </c>
      <c r="K250" s="169"/>
      <c r="L250" s="169"/>
      <c r="M250" s="169"/>
      <c r="N250" s="169"/>
      <c r="O250" s="169"/>
      <c r="P250" s="167"/>
      <c r="Q250" s="167"/>
    </row>
    <row r="251" spans="1:25">
      <c r="B251" s="3"/>
      <c r="C251" s="3"/>
      <c r="D251" s="324"/>
      <c r="E251" s="18"/>
      <c r="F251" s="18"/>
      <c r="G251" s="394" t="s">
        <v>360</v>
      </c>
      <c r="H251" s="111">
        <f>+P129-250000</f>
        <v>2848713.7950428808</v>
      </c>
      <c r="I251" s="395">
        <v>0</v>
      </c>
      <c r="J251" s="393">
        <f t="shared" si="54"/>
        <v>2848713.7950428808</v>
      </c>
      <c r="K251" s="169"/>
      <c r="L251" s="169"/>
      <c r="M251" s="169"/>
      <c r="N251" s="169"/>
      <c r="O251" s="169"/>
      <c r="P251" s="167"/>
      <c r="Q251" s="167"/>
    </row>
    <row r="252" spans="1:25" ht="19" thickBot="1">
      <c r="B252" s="3"/>
      <c r="C252" s="3"/>
      <c r="D252" s="324"/>
      <c r="E252" s="18"/>
      <c r="F252" s="18"/>
      <c r="G252" s="396" t="s">
        <v>361</v>
      </c>
      <c r="H252" s="397"/>
      <c r="I252" s="398"/>
      <c r="J252" s="399">
        <f>SUM(J248:J251)</f>
        <v>6987680.9061539918</v>
      </c>
      <c r="K252" s="169"/>
      <c r="L252" s="169"/>
      <c r="M252" s="169"/>
      <c r="N252" s="169"/>
      <c r="O252" s="169"/>
      <c r="P252" s="167"/>
      <c r="Q252" s="167"/>
    </row>
    <row r="253" spans="1:25">
      <c r="B253" s="3"/>
      <c r="C253" s="3"/>
      <c r="D253" s="324"/>
      <c r="E253" s="18"/>
      <c r="F253" s="18"/>
      <c r="G253" s="3"/>
      <c r="H253" s="294"/>
      <c r="I253" s="169"/>
      <c r="J253" s="169"/>
      <c r="K253" s="169"/>
      <c r="L253" s="169"/>
      <c r="M253" s="169"/>
      <c r="N253" s="169"/>
      <c r="O253" s="169"/>
      <c r="P253" s="167"/>
      <c r="Q253" s="167"/>
    </row>
    <row r="254" spans="1:25">
      <c r="B254" s="3"/>
      <c r="C254" s="3"/>
      <c r="D254" s="324"/>
      <c r="E254" s="18"/>
      <c r="F254" s="18"/>
      <c r="G254" s="3"/>
      <c r="H254" s="294"/>
      <c r="I254" s="169"/>
      <c r="J254" s="169"/>
      <c r="K254" s="169"/>
      <c r="L254" s="169"/>
      <c r="M254" s="170"/>
      <c r="N254" s="170"/>
      <c r="O254" s="170"/>
      <c r="P254" s="167"/>
      <c r="Q254" s="167"/>
    </row>
    <row r="255" spans="1:25">
      <c r="B255" s="3"/>
      <c r="C255" s="3"/>
      <c r="D255" s="324"/>
      <c r="E255" s="18"/>
      <c r="F255" s="18"/>
      <c r="G255" s="3"/>
      <c r="H255" s="294"/>
      <c r="I255" s="169"/>
      <c r="J255" s="169"/>
      <c r="K255" s="169"/>
      <c r="L255" s="169"/>
      <c r="M255" s="169"/>
      <c r="N255" s="169"/>
      <c r="O255" s="169"/>
      <c r="P255" s="167"/>
      <c r="Q255" s="167"/>
    </row>
    <row r="256" spans="1:25">
      <c r="B256" s="3"/>
      <c r="C256" s="3"/>
      <c r="D256" s="324"/>
      <c r="E256" s="18"/>
      <c r="F256" s="18"/>
      <c r="G256" s="3"/>
      <c r="H256" s="294"/>
      <c r="I256" s="169"/>
      <c r="J256" s="169"/>
      <c r="K256" s="169"/>
      <c r="L256" s="169"/>
      <c r="M256" s="169"/>
      <c r="N256" s="169"/>
      <c r="O256" s="169"/>
      <c r="P256" s="167"/>
      <c r="Q256" s="167"/>
    </row>
    <row r="257" spans="1:38">
      <c r="B257" s="1"/>
      <c r="C257" s="1"/>
      <c r="E257" s="18"/>
      <c r="F257" s="18"/>
      <c r="G257" s="3"/>
      <c r="H257" s="294"/>
      <c r="I257" s="171"/>
      <c r="J257" s="171"/>
      <c r="K257" s="171"/>
      <c r="L257" s="172"/>
      <c r="M257" s="172"/>
      <c r="N257" s="172"/>
      <c r="O257" s="172"/>
      <c r="P257" s="167"/>
      <c r="Q257" s="167"/>
    </row>
    <row r="258" spans="1:38">
      <c r="B258" s="1"/>
      <c r="C258" s="1"/>
      <c r="E258" s="18"/>
      <c r="F258" s="18"/>
      <c r="G258" s="1"/>
      <c r="I258" s="145"/>
      <c r="J258" s="145"/>
      <c r="K258" s="145"/>
      <c r="L258" s="145"/>
      <c r="M258" s="145"/>
      <c r="N258" s="145"/>
      <c r="O258" s="145"/>
      <c r="P258" s="167"/>
      <c r="Q258" s="167"/>
    </row>
    <row r="259" spans="1:38">
      <c r="B259" s="1"/>
      <c r="C259" s="1"/>
      <c r="E259" s="18"/>
      <c r="F259" s="18"/>
      <c r="G259" s="3"/>
      <c r="H259" s="294"/>
      <c r="I259" s="169"/>
      <c r="J259" s="169"/>
      <c r="K259" s="169"/>
      <c r="L259" s="169"/>
      <c r="M259" s="169"/>
      <c r="N259" s="169"/>
      <c r="O259" s="169"/>
      <c r="P259" s="167"/>
      <c r="Q259" s="167"/>
    </row>
    <row r="260" spans="1:38" s="150" customFormat="1">
      <c r="A260" s="1"/>
      <c r="B260" s="1"/>
      <c r="C260" s="1"/>
      <c r="D260" s="1"/>
      <c r="E260" s="18"/>
      <c r="F260" s="18"/>
      <c r="G260" s="1"/>
      <c r="H260" s="11"/>
      <c r="I260" s="145"/>
      <c r="J260" s="145"/>
      <c r="K260" s="145"/>
      <c r="L260" s="145"/>
      <c r="M260" s="145"/>
      <c r="N260" s="145"/>
      <c r="O260" s="145"/>
      <c r="P260" s="167"/>
      <c r="Q260" s="167"/>
      <c r="R260" s="145"/>
      <c r="S260" s="145"/>
      <c r="T260" s="11"/>
      <c r="U260" s="145"/>
      <c r="V260" s="11"/>
      <c r="W260" s="11"/>
      <c r="X260" s="11"/>
      <c r="Y260" s="11"/>
      <c r="Z260" s="11"/>
      <c r="AA260" s="11"/>
      <c r="AB260" s="11"/>
      <c r="AC260" s="11"/>
      <c r="AD260" s="11"/>
      <c r="AE260" s="11"/>
      <c r="AF260" s="11"/>
      <c r="AG260" s="11"/>
      <c r="AH260" s="11"/>
      <c r="AI260" s="11"/>
      <c r="AJ260" s="11"/>
      <c r="AK260" s="11"/>
      <c r="AL260" s="11"/>
    </row>
    <row r="261" spans="1:38">
      <c r="B261" s="3"/>
      <c r="C261" s="3"/>
      <c r="D261" s="3"/>
      <c r="E261" s="18"/>
      <c r="F261" s="18"/>
      <c r="G261" s="3"/>
      <c r="H261" s="294"/>
      <c r="I261" s="169"/>
      <c r="J261" s="169"/>
      <c r="K261" s="169"/>
      <c r="L261" s="169"/>
      <c r="M261" s="169"/>
      <c r="N261" s="169"/>
      <c r="O261" s="169"/>
      <c r="P261" s="167"/>
      <c r="Q261" s="167"/>
    </row>
    <row r="262" spans="1:38">
      <c r="B262" s="3"/>
      <c r="C262" s="3"/>
      <c r="D262" s="3"/>
      <c r="E262" s="18"/>
      <c r="F262" s="18"/>
      <c r="G262" s="3"/>
      <c r="H262" s="294"/>
      <c r="I262" s="169"/>
      <c r="J262" s="169"/>
      <c r="K262" s="169"/>
      <c r="L262" s="169"/>
      <c r="M262" s="169"/>
      <c r="N262" s="169"/>
      <c r="O262" s="169"/>
      <c r="P262" s="167"/>
      <c r="Q262" s="167"/>
    </row>
    <row r="263" spans="1:38">
      <c r="B263" s="3"/>
      <c r="C263" s="3"/>
      <c r="D263" s="3"/>
      <c r="E263" s="18"/>
      <c r="F263" s="18"/>
      <c r="G263" s="3"/>
      <c r="H263" s="294"/>
      <c r="I263" s="169"/>
      <c r="J263" s="169"/>
      <c r="K263" s="169"/>
      <c r="L263" s="169"/>
      <c r="M263" s="169"/>
      <c r="N263" s="169"/>
      <c r="O263" s="169"/>
      <c r="P263" s="167"/>
      <c r="Q263" s="167"/>
    </row>
    <row r="264" spans="1:38">
      <c r="B264" s="3"/>
      <c r="C264" s="3"/>
      <c r="D264" s="3"/>
      <c r="E264" s="18"/>
      <c r="F264" s="18"/>
      <c r="G264" s="168"/>
      <c r="H264" s="294"/>
      <c r="I264" s="169"/>
      <c r="J264" s="169"/>
      <c r="K264" s="169"/>
      <c r="L264" s="169"/>
      <c r="M264" s="169"/>
      <c r="N264" s="169"/>
      <c r="O264" s="169"/>
      <c r="P264" s="167"/>
      <c r="Q264" s="167"/>
    </row>
    <row r="265" spans="1:38">
      <c r="B265" s="3"/>
      <c r="C265" s="3"/>
      <c r="D265" s="3"/>
      <c r="E265" s="18"/>
      <c r="F265" s="18"/>
      <c r="G265" s="1"/>
      <c r="I265" s="145"/>
      <c r="J265" s="145"/>
      <c r="K265" s="145"/>
      <c r="L265" s="145"/>
      <c r="M265" s="145"/>
      <c r="N265" s="145"/>
      <c r="O265" s="145"/>
      <c r="P265" s="167"/>
      <c r="Q265" s="167"/>
    </row>
    <row r="266" spans="1:38">
      <c r="B266" s="3"/>
      <c r="C266" s="3"/>
      <c r="D266" s="3"/>
      <c r="E266" s="18"/>
      <c r="F266" s="18"/>
      <c r="G266" s="1"/>
      <c r="I266" s="145"/>
      <c r="J266" s="145"/>
      <c r="K266" s="145"/>
      <c r="L266" s="145"/>
      <c r="M266" s="145"/>
      <c r="N266" s="145"/>
      <c r="O266" s="145"/>
      <c r="P266" s="167"/>
      <c r="Q266" s="167"/>
    </row>
    <row r="267" spans="1:38">
      <c r="B267" s="3"/>
      <c r="C267" s="3"/>
      <c r="D267" s="3"/>
      <c r="E267" s="18"/>
      <c r="F267" s="18"/>
      <c r="G267" s="1"/>
      <c r="I267" s="145"/>
      <c r="J267" s="145"/>
      <c r="K267" s="145"/>
      <c r="L267" s="145"/>
      <c r="M267" s="145"/>
      <c r="N267" s="145"/>
      <c r="O267" s="145"/>
      <c r="P267" s="167"/>
      <c r="Q267" s="167"/>
    </row>
    <row r="268" spans="1:38" s="53" customFormat="1">
      <c r="A268" s="4"/>
      <c r="C268" s="7"/>
      <c r="D268" s="7"/>
      <c r="E268" s="19"/>
      <c r="F268" s="19"/>
      <c r="G268" s="173"/>
      <c r="H268" s="173"/>
      <c r="I268" s="174"/>
      <c r="J268" s="174"/>
      <c r="K268" s="174"/>
      <c r="L268" s="175"/>
      <c r="M268" s="175"/>
      <c r="N268" s="175"/>
      <c r="O268" s="175"/>
      <c r="P268" s="167"/>
      <c r="Q268" s="167"/>
    </row>
    <row r="269" spans="1:38" s="53" customFormat="1">
      <c r="A269" s="4"/>
      <c r="B269" s="7"/>
      <c r="C269" s="7"/>
      <c r="D269" s="7"/>
      <c r="E269" s="52"/>
      <c r="F269" s="52"/>
      <c r="G269" s="4"/>
      <c r="H269" s="4"/>
      <c r="I269" s="162"/>
      <c r="J269" s="162"/>
      <c r="K269" s="162"/>
      <c r="L269" s="162"/>
      <c r="M269" s="162"/>
      <c r="N269" s="162"/>
      <c r="O269" s="162"/>
      <c r="P269" s="167"/>
      <c r="Q269" s="167"/>
    </row>
    <row r="270" spans="1:38" s="53" customFormat="1">
      <c r="A270" s="4"/>
      <c r="B270" s="7"/>
      <c r="C270" s="52"/>
      <c r="D270" s="140"/>
      <c r="E270" s="52"/>
      <c r="F270" s="52"/>
      <c r="G270" s="4"/>
      <c r="H270" s="4"/>
      <c r="I270" s="162"/>
      <c r="J270" s="162"/>
      <c r="K270" s="162"/>
      <c r="L270" s="162"/>
      <c r="M270" s="162"/>
      <c r="N270" s="162"/>
      <c r="O270" s="162"/>
      <c r="P270" s="167"/>
      <c r="Q270" s="167"/>
    </row>
    <row r="271" spans="1:38" s="53" customFormat="1">
      <c r="A271" s="4"/>
      <c r="C271" s="52"/>
      <c r="D271" s="140"/>
      <c r="E271" s="19"/>
      <c r="F271" s="19"/>
      <c r="P271" s="167"/>
      <c r="Q271" s="167"/>
    </row>
    <row r="272" spans="1:38" s="53" customFormat="1">
      <c r="A272" s="4"/>
      <c r="C272" s="52"/>
      <c r="D272" s="140"/>
      <c r="E272" s="19"/>
      <c r="F272" s="19"/>
      <c r="P272" s="167"/>
      <c r="Q272" s="167"/>
      <c r="R272" s="162"/>
      <c r="S272" s="162"/>
    </row>
    <row r="273" spans="1:21" s="53" customFormat="1">
      <c r="A273" s="4"/>
      <c r="D273" s="4"/>
      <c r="P273" s="167"/>
      <c r="Q273" s="167"/>
    </row>
    <row r="274" spans="1:21" s="53" customFormat="1">
      <c r="A274" s="4"/>
      <c r="C274" s="7"/>
      <c r="D274" s="7"/>
      <c r="E274" s="19"/>
      <c r="F274" s="19"/>
      <c r="G274" s="8"/>
      <c r="H274" s="8"/>
      <c r="I274" s="176"/>
      <c r="J274" s="176"/>
      <c r="K274" s="176"/>
      <c r="L274" s="177"/>
      <c r="M274" s="176"/>
      <c r="N274" s="176"/>
      <c r="O274" s="176"/>
      <c r="P274" s="167"/>
      <c r="Q274" s="167"/>
      <c r="R274" s="178"/>
      <c r="S274" s="178"/>
      <c r="T274" s="162"/>
      <c r="U274" s="178"/>
    </row>
    <row r="275" spans="1:21" s="53" customFormat="1">
      <c r="A275" s="4"/>
      <c r="B275" s="179"/>
      <c r="C275" s="7"/>
      <c r="D275" s="7"/>
      <c r="E275" s="19"/>
      <c r="F275" s="19"/>
      <c r="G275" s="180"/>
      <c r="H275" s="180"/>
      <c r="I275" s="181"/>
      <c r="J275" s="181"/>
      <c r="K275" s="181"/>
      <c r="L275" s="182"/>
      <c r="M275" s="183"/>
      <c r="N275" s="183"/>
      <c r="O275" s="183"/>
      <c r="P275" s="167"/>
      <c r="Q275" s="167"/>
    </row>
    <row r="276" spans="1:21" s="53" customFormat="1">
      <c r="A276" s="4"/>
      <c r="C276" s="7"/>
      <c r="D276" s="7"/>
      <c r="E276" s="19"/>
      <c r="F276" s="19"/>
      <c r="G276" s="173"/>
      <c r="H276" s="173"/>
      <c r="I276" s="183"/>
      <c r="J276" s="183"/>
      <c r="K276" s="183"/>
      <c r="L276" s="182"/>
      <c r="M276" s="183"/>
      <c r="N276" s="183"/>
      <c r="O276" s="183"/>
      <c r="P276" s="167"/>
      <c r="Q276" s="167"/>
    </row>
    <row r="277" spans="1:21">
      <c r="P277" s="167"/>
      <c r="Q277" s="167"/>
    </row>
    <row r="278" spans="1:21">
      <c r="I278" s="145"/>
      <c r="J278" s="145"/>
      <c r="K278" s="145"/>
      <c r="L278" s="145"/>
      <c r="M278" s="145"/>
      <c r="N278" s="145"/>
      <c r="O278" s="145"/>
      <c r="P278" s="167"/>
      <c r="Q278" s="167"/>
      <c r="R278" s="145"/>
      <c r="S278" s="145"/>
    </row>
    <row r="279" spans="1:21">
      <c r="P279" s="167"/>
      <c r="Q279" s="167"/>
    </row>
    <row r="280" spans="1:21">
      <c r="P280" s="167"/>
      <c r="Q280" s="167"/>
    </row>
    <row r="281" spans="1:21">
      <c r="P281" s="167"/>
      <c r="Q281" s="167"/>
    </row>
    <row r="286" spans="1:21">
      <c r="H286" s="295"/>
    </row>
    <row r="287" spans="1:21">
      <c r="H287" s="295"/>
    </row>
  </sheetData>
  <autoFilter ref="A1:T87" xr:uid="{00000000-0001-0000-0100-000000000000}"/>
  <sortState xmlns:xlrd2="http://schemas.microsoft.com/office/spreadsheetml/2017/richdata2" ref="B5:R271">
    <sortCondition ref="B5:B271"/>
    <sortCondition ref="C5:C271"/>
  </sortState>
  <mergeCells count="100">
    <mergeCell ref="C33:C47"/>
    <mergeCell ref="C150:C170"/>
    <mergeCell ref="D169:D170"/>
    <mergeCell ref="D140:D141"/>
    <mergeCell ref="D159:D163"/>
    <mergeCell ref="D89:D93"/>
    <mergeCell ref="C68:C83"/>
    <mergeCell ref="D33:D37"/>
    <mergeCell ref="B138:H138"/>
    <mergeCell ref="C117:C121"/>
    <mergeCell ref="D105:D106"/>
    <mergeCell ref="B5:B83"/>
    <mergeCell ref="D12:D18"/>
    <mergeCell ref="D5:D11"/>
    <mergeCell ref="D30:D31"/>
    <mergeCell ref="B140:B170"/>
    <mergeCell ref="A5:A87"/>
    <mergeCell ref="C5:C18"/>
    <mergeCell ref="D20:D29"/>
    <mergeCell ref="D79:D83"/>
    <mergeCell ref="D74:D78"/>
    <mergeCell ref="C20:C31"/>
    <mergeCell ref="D43:D47"/>
    <mergeCell ref="D62:D66"/>
    <mergeCell ref="B85:H85"/>
    <mergeCell ref="B86:H86"/>
    <mergeCell ref="B87:H87"/>
    <mergeCell ref="C49:C66"/>
    <mergeCell ref="D49:D55"/>
    <mergeCell ref="D38:D42"/>
    <mergeCell ref="D56:D61"/>
    <mergeCell ref="D68:D73"/>
    <mergeCell ref="D134:D135"/>
    <mergeCell ref="C131:C135"/>
    <mergeCell ref="A202:D202"/>
    <mergeCell ref="B173:H173"/>
    <mergeCell ref="B174:H174"/>
    <mergeCell ref="B196:H196"/>
    <mergeCell ref="B198:H198"/>
    <mergeCell ref="C176:C182"/>
    <mergeCell ref="D187:D188"/>
    <mergeCell ref="B197:H197"/>
    <mergeCell ref="D180:D181"/>
    <mergeCell ref="A176:A198"/>
    <mergeCell ref="C184:C191"/>
    <mergeCell ref="D177:D178"/>
    <mergeCell ref="D193:D194"/>
    <mergeCell ref="A201:D201"/>
    <mergeCell ref="B89:B127"/>
    <mergeCell ref="D120:D121"/>
    <mergeCell ref="C89:C96"/>
    <mergeCell ref="C99:C108"/>
    <mergeCell ref="C110:C115"/>
    <mergeCell ref="D99:D102"/>
    <mergeCell ref="D95:D96"/>
    <mergeCell ref="B131:B135"/>
    <mergeCell ref="C146:C148"/>
    <mergeCell ref="A89:A138"/>
    <mergeCell ref="A140:A174"/>
    <mergeCell ref="D126:D127"/>
    <mergeCell ref="B172:H172"/>
    <mergeCell ref="D110:D114"/>
    <mergeCell ref="D117:D119"/>
    <mergeCell ref="B128:H128"/>
    <mergeCell ref="B129:H129"/>
    <mergeCell ref="B130:H130"/>
    <mergeCell ref="D131:D132"/>
    <mergeCell ref="C123:C127"/>
    <mergeCell ref="B136:H136"/>
    <mergeCell ref="D164:D167"/>
    <mergeCell ref="D150:D155"/>
    <mergeCell ref="G246:J246"/>
    <mergeCell ref="D156:D158"/>
    <mergeCell ref="B137:H137"/>
    <mergeCell ref="A204:D204"/>
    <mergeCell ref="A205:D205"/>
    <mergeCell ref="B208:D208"/>
    <mergeCell ref="A199:B199"/>
    <mergeCell ref="A200:B200"/>
    <mergeCell ref="A206:D206"/>
    <mergeCell ref="A207:B207"/>
    <mergeCell ref="A203:D203"/>
    <mergeCell ref="D147:D148"/>
    <mergeCell ref="D142:D144"/>
    <mergeCell ref="C140:C144"/>
    <mergeCell ref="C193:C194"/>
    <mergeCell ref="B176:B194"/>
    <mergeCell ref="B210:D210"/>
    <mergeCell ref="B209:D209"/>
    <mergeCell ref="A240:B240"/>
    <mergeCell ref="A241:B241"/>
    <mergeCell ref="A242:H242"/>
    <mergeCell ref="A212:B230"/>
    <mergeCell ref="A232:H232"/>
    <mergeCell ref="A233:H233"/>
    <mergeCell ref="A234:H234"/>
    <mergeCell ref="C212:C230"/>
    <mergeCell ref="A236:H236"/>
    <mergeCell ref="A237:H237"/>
    <mergeCell ref="A238:H238"/>
  </mergeCells>
  <phoneticPr fontId="34" type="noConversion"/>
  <dataValidations disablePrompts="1" count="1">
    <dataValidation type="list" allowBlank="1" showInputMessage="1" showErrorMessage="1" sqref="G7 G22 G26 G14" xr:uid="{F3E9EE49-8D01-4515-957D-C131E638FEEA}"/>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0"/>
  <sheetViews>
    <sheetView workbookViewId="0">
      <selection activeCell="I16" sqref="I16"/>
    </sheetView>
  </sheetViews>
  <sheetFormatPr defaultRowHeight="14.5"/>
  <cols>
    <col min="1" max="1" width="20" customWidth="1"/>
    <col min="2" max="2" width="10.453125" bestFit="1" customWidth="1"/>
    <col min="4" max="4" width="12.1796875" customWidth="1"/>
    <col min="6" max="6" width="16" customWidth="1"/>
    <col min="8" max="8" width="9.54296875" customWidth="1"/>
    <col min="10" max="10" width="12" customWidth="1"/>
  </cols>
  <sheetData>
    <row r="1" spans="1:10">
      <c r="A1" s="6" t="s">
        <v>776</v>
      </c>
      <c r="E1" s="54">
        <f>B1*C1*D1</f>
        <v>0</v>
      </c>
    </row>
    <row r="2" spans="1:10">
      <c r="A2" t="s">
        <v>777</v>
      </c>
      <c r="E2" s="54">
        <f>B2*C2*D2</f>
        <v>0</v>
      </c>
    </row>
    <row r="3" spans="1:10" ht="29">
      <c r="A3" s="15" t="s">
        <v>778</v>
      </c>
      <c r="B3" s="10" t="s">
        <v>779</v>
      </c>
      <c r="C3" t="s">
        <v>780</v>
      </c>
      <c r="E3" s="54"/>
    </row>
    <row r="4" spans="1:10" ht="46.5">
      <c r="A4" s="15" t="s">
        <v>786</v>
      </c>
      <c r="B4" s="16">
        <v>1000</v>
      </c>
      <c r="C4" s="14">
        <v>10</v>
      </c>
      <c r="D4" s="13">
        <f t="shared" ref="D4:D9" si="0">C4*B4</f>
        <v>10000</v>
      </c>
      <c r="E4" s="54"/>
    </row>
    <row r="5" spans="1:10" ht="15.5">
      <c r="A5" s="14" t="s">
        <v>782</v>
      </c>
      <c r="B5" s="16">
        <v>250</v>
      </c>
      <c r="C5" s="14">
        <v>10</v>
      </c>
      <c r="D5" s="13">
        <f t="shared" si="0"/>
        <v>2500</v>
      </c>
      <c r="E5" s="54"/>
    </row>
    <row r="6" spans="1:10" ht="46.5">
      <c r="A6" s="15" t="s">
        <v>787</v>
      </c>
      <c r="B6" s="16">
        <v>5000</v>
      </c>
      <c r="C6" s="14">
        <v>3</v>
      </c>
      <c r="D6" s="13">
        <f t="shared" si="0"/>
        <v>15000</v>
      </c>
      <c r="E6" s="54"/>
    </row>
    <row r="7" spans="1:10" ht="15.5">
      <c r="A7" s="14" t="s">
        <v>784</v>
      </c>
      <c r="B7" s="16">
        <v>200</v>
      </c>
      <c r="C7" s="14">
        <v>6</v>
      </c>
      <c r="D7" s="13">
        <f t="shared" si="0"/>
        <v>1200</v>
      </c>
      <c r="E7" s="17"/>
    </row>
    <row r="8" spans="1:10" ht="15.5">
      <c r="A8" s="14" t="s">
        <v>785</v>
      </c>
      <c r="B8" s="16">
        <v>300</v>
      </c>
      <c r="C8" s="14">
        <v>4</v>
      </c>
      <c r="D8" s="13">
        <f t="shared" si="0"/>
        <v>1200</v>
      </c>
    </row>
    <row r="9" spans="1:10" ht="15.5">
      <c r="A9" s="14" t="s">
        <v>788</v>
      </c>
      <c r="B9" s="16">
        <v>1200</v>
      </c>
      <c r="C9" s="14">
        <v>14</v>
      </c>
      <c r="D9" s="13">
        <f t="shared" si="0"/>
        <v>16800</v>
      </c>
    </row>
    <row r="10" spans="1:10">
      <c r="D10" s="12">
        <f>SUM(D4:D9)</f>
        <v>46700</v>
      </c>
    </row>
    <row r="14" spans="1:10">
      <c r="F14" t="s">
        <v>781</v>
      </c>
      <c r="G14">
        <v>5</v>
      </c>
      <c r="H14" s="54">
        <v>1000</v>
      </c>
      <c r="I14">
        <v>2</v>
      </c>
      <c r="J14" s="54">
        <f t="shared" ref="J14:J19" si="1">G14*H14*I14</f>
        <v>10000</v>
      </c>
    </row>
    <row r="15" spans="1:10">
      <c r="F15" t="s">
        <v>782</v>
      </c>
      <c r="G15">
        <v>5</v>
      </c>
      <c r="H15" s="54">
        <v>250</v>
      </c>
      <c r="I15">
        <v>2</v>
      </c>
      <c r="J15" s="54">
        <f t="shared" si="1"/>
        <v>2500</v>
      </c>
    </row>
    <row r="16" spans="1:10">
      <c r="F16" t="s">
        <v>783</v>
      </c>
      <c r="G16">
        <v>5</v>
      </c>
      <c r="H16" s="54">
        <v>2500</v>
      </c>
      <c r="I16">
        <v>2</v>
      </c>
      <c r="J16" s="54">
        <f t="shared" si="1"/>
        <v>25000</v>
      </c>
    </row>
    <row r="17" spans="6:10">
      <c r="F17" t="s">
        <v>784</v>
      </c>
      <c r="G17">
        <v>6</v>
      </c>
      <c r="H17" s="54">
        <v>200</v>
      </c>
      <c r="I17">
        <v>2</v>
      </c>
      <c r="J17" s="54">
        <f t="shared" si="1"/>
        <v>2400</v>
      </c>
    </row>
    <row r="18" spans="6:10">
      <c r="F18" t="s">
        <v>785</v>
      </c>
      <c r="G18">
        <v>4</v>
      </c>
      <c r="H18" s="54">
        <v>300</v>
      </c>
      <c r="I18">
        <v>2</v>
      </c>
      <c r="J18" s="54">
        <f t="shared" si="1"/>
        <v>2400</v>
      </c>
    </row>
    <row r="19" spans="6:10">
      <c r="F19" t="s">
        <v>788</v>
      </c>
      <c r="G19">
        <v>3</v>
      </c>
      <c r="H19" s="54">
        <v>1200</v>
      </c>
      <c r="I19">
        <v>2</v>
      </c>
      <c r="J19" s="54">
        <f t="shared" si="1"/>
        <v>7200</v>
      </c>
    </row>
    <row r="20" spans="6:10" ht="15.5">
      <c r="H20" s="54"/>
      <c r="J20" s="17">
        <f>SUM(J14:J19)</f>
        <v>49500</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7"/>
  <sheetViews>
    <sheetView workbookViewId="0">
      <selection activeCell="A10" sqref="A10"/>
    </sheetView>
  </sheetViews>
  <sheetFormatPr defaultRowHeight="14.5"/>
  <cols>
    <col min="1" max="1" width="33.1796875" bestFit="1" customWidth="1"/>
    <col min="2" max="2" width="12.81640625" customWidth="1"/>
    <col min="4" max="4" width="12.1796875" customWidth="1"/>
    <col min="5" max="5" width="11.54296875" bestFit="1" customWidth="1"/>
  </cols>
  <sheetData>
    <row r="1" spans="1:5">
      <c r="A1" s="6" t="s">
        <v>789</v>
      </c>
    </row>
    <row r="2" spans="1:5">
      <c r="A2" t="s">
        <v>777</v>
      </c>
    </row>
    <row r="3" spans="1:5" ht="29">
      <c r="A3" s="15" t="s">
        <v>778</v>
      </c>
      <c r="B3" s="10" t="s">
        <v>779</v>
      </c>
      <c r="C3" t="s">
        <v>780</v>
      </c>
    </row>
    <row r="4" spans="1:5" ht="31">
      <c r="A4" s="15" t="s">
        <v>790</v>
      </c>
      <c r="B4" s="16">
        <v>1000</v>
      </c>
      <c r="C4">
        <v>2</v>
      </c>
      <c r="D4" s="13">
        <f t="shared" ref="D4:D9" si="0">B4*C4</f>
        <v>2000</v>
      </c>
    </row>
    <row r="5" spans="1:5" ht="15.5">
      <c r="A5" s="14" t="s">
        <v>782</v>
      </c>
      <c r="B5" s="16">
        <v>250</v>
      </c>
      <c r="C5">
        <v>2</v>
      </c>
      <c r="D5" s="13">
        <f t="shared" si="0"/>
        <v>500</v>
      </c>
    </row>
    <row r="6" spans="1:5" ht="15.5">
      <c r="A6" s="14" t="s">
        <v>791</v>
      </c>
      <c r="B6" s="16">
        <v>2500</v>
      </c>
      <c r="C6">
        <v>2</v>
      </c>
      <c r="D6" s="13">
        <f t="shared" si="0"/>
        <v>5000</v>
      </c>
    </row>
    <row r="7" spans="1:5" ht="15.5">
      <c r="A7" s="14" t="s">
        <v>784</v>
      </c>
      <c r="B7" s="16">
        <v>200</v>
      </c>
      <c r="C7">
        <v>8</v>
      </c>
      <c r="D7" s="13">
        <f t="shared" si="0"/>
        <v>1600</v>
      </c>
    </row>
    <row r="8" spans="1:5" ht="15.5">
      <c r="A8" s="14" t="s">
        <v>785</v>
      </c>
      <c r="B8" s="16">
        <v>200</v>
      </c>
      <c r="C8">
        <v>8</v>
      </c>
      <c r="D8" s="13">
        <f t="shared" si="0"/>
        <v>1600</v>
      </c>
    </row>
    <row r="9" spans="1:5" ht="15.5">
      <c r="A9" s="14" t="s">
        <v>792</v>
      </c>
      <c r="B9" s="16">
        <v>200</v>
      </c>
      <c r="C9">
        <v>2</v>
      </c>
      <c r="D9" s="13">
        <f t="shared" si="0"/>
        <v>400</v>
      </c>
    </row>
    <row r="10" spans="1:5">
      <c r="D10" s="12">
        <f>SUM(D4:D9)</f>
        <v>11100</v>
      </c>
    </row>
    <row r="12" spans="1:5" ht="15.5">
      <c r="B12" s="14"/>
      <c r="D12" s="14"/>
      <c r="E12" s="16"/>
    </row>
    <row r="13" spans="1:5" ht="15.5">
      <c r="B13" s="14"/>
      <c r="D13" s="14"/>
      <c r="E13" s="16"/>
    </row>
    <row r="14" spans="1:5" ht="15.5">
      <c r="B14" s="14"/>
      <c r="D14" s="14"/>
      <c r="E14" s="16"/>
    </row>
    <row r="15" spans="1:5" ht="15.5">
      <c r="B15" s="14"/>
      <c r="D15" s="14"/>
      <c r="E15" s="16"/>
    </row>
    <row r="16" spans="1:5" ht="15.5">
      <c r="B16" s="14"/>
      <c r="D16" s="14"/>
      <c r="E16" s="16"/>
    </row>
    <row r="17" spans="2:5" ht="15.5">
      <c r="B17" s="14"/>
      <c r="D17" s="14"/>
      <c r="E17" s="16"/>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29"/>
  <sheetViews>
    <sheetView workbookViewId="0">
      <selection activeCell="D17" sqref="D17"/>
    </sheetView>
  </sheetViews>
  <sheetFormatPr defaultRowHeight="14.5"/>
  <cols>
    <col min="1" max="1" width="19.1796875" customWidth="1"/>
  </cols>
  <sheetData>
    <row r="1" spans="1:8">
      <c r="A1" s="6" t="s">
        <v>793</v>
      </c>
    </row>
    <row r="2" spans="1:8">
      <c r="A2" t="s">
        <v>794</v>
      </c>
      <c r="B2">
        <v>40000</v>
      </c>
    </row>
    <row r="3" spans="1:8">
      <c r="A3" t="s">
        <v>795</v>
      </c>
      <c r="B3">
        <v>24000</v>
      </c>
    </row>
    <row r="4" spans="1:8">
      <c r="A4" t="s">
        <v>796</v>
      </c>
      <c r="B4">
        <v>16000</v>
      </c>
    </row>
    <row r="5" spans="1:8">
      <c r="A5" t="s">
        <v>608</v>
      </c>
      <c r="B5">
        <f>SUM(B2:B4)</f>
        <v>80000</v>
      </c>
    </row>
    <row r="7" spans="1:8">
      <c r="A7" s="6" t="s">
        <v>797</v>
      </c>
    </row>
    <row r="8" spans="1:8">
      <c r="A8">
        <v>3</v>
      </c>
    </row>
    <row r="10" spans="1:8">
      <c r="A10" s="6" t="s">
        <v>798</v>
      </c>
    </row>
    <row r="11" spans="1:8">
      <c r="A11">
        <v>8</v>
      </c>
    </row>
    <row r="13" spans="1:8">
      <c r="A13" t="s">
        <v>799</v>
      </c>
    </row>
    <row r="14" spans="1:8">
      <c r="B14">
        <v>1</v>
      </c>
      <c r="C14">
        <v>2</v>
      </c>
      <c r="D14">
        <v>3</v>
      </c>
      <c r="E14">
        <v>4</v>
      </c>
      <c r="F14">
        <v>5</v>
      </c>
      <c r="G14">
        <v>6</v>
      </c>
      <c r="H14">
        <v>7</v>
      </c>
    </row>
    <row r="15" spans="1:8">
      <c r="B15">
        <f>$B$2*$A$8*$A$11</f>
        <v>960000</v>
      </c>
      <c r="C15">
        <f>$B$3*$A$8*$A$11</f>
        <v>576000</v>
      </c>
      <c r="D15">
        <f>$B$4*$A$8*$A$11</f>
        <v>384000</v>
      </c>
    </row>
    <row r="16" spans="1:8">
      <c r="C16">
        <f>$B$2*$A$8*$A$11</f>
        <v>960000</v>
      </c>
      <c r="D16">
        <f>$B$3*$A$8*$A$11</f>
        <v>576000</v>
      </c>
      <c r="E16">
        <f>$B$4*$A$8*$A$11</f>
        <v>384000</v>
      </c>
    </row>
    <row r="17" spans="1:17">
      <c r="D17">
        <f>$B$2*$A$8*$A$11</f>
        <v>960000</v>
      </c>
      <c r="E17">
        <f>$B$3*$A$8*$A$11</f>
        <v>576000</v>
      </c>
      <c r="F17">
        <f>$B$4*$A$8*$A$11</f>
        <v>384000</v>
      </c>
    </row>
    <row r="18" spans="1:17">
      <c r="E18">
        <f>$B$2*$A$8*$A$11</f>
        <v>960000</v>
      </c>
      <c r="F18">
        <f>$B$3*$A$8*$A$11</f>
        <v>576000</v>
      </c>
      <c r="G18">
        <f>$B$4*$A$8*$A$11</f>
        <v>384000</v>
      </c>
    </row>
    <row r="19" spans="1:17">
      <c r="F19">
        <f>$B$2*$A$8*$A$11</f>
        <v>960000</v>
      </c>
      <c r="G19">
        <f>$B$3*$A$8*$A$11</f>
        <v>576000</v>
      </c>
      <c r="H19">
        <f>$B$4*$A$8*$A$11</f>
        <v>384000</v>
      </c>
    </row>
    <row r="20" spans="1:17">
      <c r="A20" s="6" t="s">
        <v>608</v>
      </c>
      <c r="B20" s="6">
        <f>SUM(B15:B19)</f>
        <v>960000</v>
      </c>
      <c r="C20" s="6">
        <f t="shared" ref="C20:H20" si="0">SUM(C15:C19)</f>
        <v>1536000</v>
      </c>
      <c r="D20" s="6">
        <f t="shared" si="0"/>
        <v>1920000</v>
      </c>
      <c r="E20" s="6">
        <f t="shared" si="0"/>
        <v>1920000</v>
      </c>
      <c r="F20" s="6">
        <f t="shared" si="0"/>
        <v>1920000</v>
      </c>
      <c r="G20" s="6">
        <f t="shared" si="0"/>
        <v>960000</v>
      </c>
      <c r="H20" s="6">
        <f t="shared" si="0"/>
        <v>384000</v>
      </c>
      <c r="J20" s="6"/>
    </row>
    <row r="21" spans="1:17">
      <c r="B21" s="116">
        <f>B20/9600000</f>
        <v>0.1</v>
      </c>
      <c r="C21" s="116">
        <f t="shared" ref="C21:H21" si="1">C20/9600000</f>
        <v>0.16</v>
      </c>
      <c r="D21" s="116">
        <f t="shared" si="1"/>
        <v>0.2</v>
      </c>
      <c r="E21" s="116">
        <f t="shared" si="1"/>
        <v>0.2</v>
      </c>
      <c r="F21" s="116">
        <f t="shared" si="1"/>
        <v>0.2</v>
      </c>
      <c r="G21" s="116">
        <f t="shared" si="1"/>
        <v>0.1</v>
      </c>
      <c r="H21" s="116">
        <f t="shared" si="1"/>
        <v>0.04</v>
      </c>
      <c r="K21">
        <v>0.1</v>
      </c>
      <c r="L21">
        <v>0.16</v>
      </c>
      <c r="M21">
        <v>0.2</v>
      </c>
      <c r="N21">
        <v>0.2</v>
      </c>
      <c r="O21">
        <v>0.2</v>
      </c>
      <c r="P21">
        <v>0.1</v>
      </c>
      <c r="Q21">
        <v>0.04</v>
      </c>
    </row>
    <row r="23" spans="1:17">
      <c r="A23" t="s">
        <v>367</v>
      </c>
      <c r="B23" s="115">
        <v>0.1</v>
      </c>
    </row>
    <row r="24" spans="1:17">
      <c r="A24" t="s">
        <v>368</v>
      </c>
      <c r="B24" s="115">
        <v>0.16</v>
      </c>
    </row>
    <row r="25" spans="1:17">
      <c r="A25" t="s">
        <v>369</v>
      </c>
      <c r="B25" s="115">
        <v>0.2</v>
      </c>
    </row>
    <row r="26" spans="1:17">
      <c r="A26" t="s">
        <v>370</v>
      </c>
      <c r="B26" s="115">
        <v>0.2</v>
      </c>
    </row>
    <row r="27" spans="1:17">
      <c r="A27" t="s">
        <v>371</v>
      </c>
      <c r="B27" s="115">
        <v>0.2</v>
      </c>
    </row>
    <row r="28" spans="1:17">
      <c r="A28" t="s">
        <v>372</v>
      </c>
      <c r="B28" s="115">
        <v>0.1</v>
      </c>
    </row>
    <row r="29" spans="1:17">
      <c r="A29" t="s">
        <v>373</v>
      </c>
      <c r="B29" s="115">
        <v>0.04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48BB2-9D9B-4028-BEFF-D8AD0FDA8A31}">
  <dimension ref="A1:L47"/>
  <sheetViews>
    <sheetView workbookViewId="0">
      <selection activeCell="J36" sqref="J36"/>
    </sheetView>
  </sheetViews>
  <sheetFormatPr defaultRowHeight="14.5"/>
  <cols>
    <col min="1" max="1" width="25.81640625" bestFit="1" customWidth="1"/>
    <col min="2" max="2" width="20.81640625" customWidth="1"/>
    <col min="3" max="3" width="15.81640625" bestFit="1" customWidth="1"/>
    <col min="4" max="4" width="18.1796875" bestFit="1" customWidth="1"/>
    <col min="5" max="5" width="16.81640625" bestFit="1" customWidth="1"/>
    <col min="6" max="6" width="15.81640625" bestFit="1" customWidth="1"/>
    <col min="7" max="7" width="18.81640625" bestFit="1" customWidth="1"/>
    <col min="8" max="8" width="13.1796875" bestFit="1" customWidth="1"/>
    <col min="10" max="10" width="18.54296875" bestFit="1" customWidth="1"/>
    <col min="11" max="12" width="12" bestFit="1" customWidth="1"/>
  </cols>
  <sheetData>
    <row r="1" spans="1:12">
      <c r="A1" t="s">
        <v>800</v>
      </c>
      <c r="B1" s="120">
        <f>80000*120</f>
        <v>9600000</v>
      </c>
    </row>
    <row r="2" spans="1:12">
      <c r="A2" t="s">
        <v>801</v>
      </c>
      <c r="B2" s="2">
        <v>80000</v>
      </c>
    </row>
    <row r="4" spans="1:12">
      <c r="A4" s="124" t="s">
        <v>802</v>
      </c>
      <c r="B4" s="123" t="s">
        <v>803</v>
      </c>
      <c r="C4" s="122" t="s">
        <v>804</v>
      </c>
      <c r="D4" s="122" t="s">
        <v>805</v>
      </c>
      <c r="E4" s="122" t="s">
        <v>806</v>
      </c>
      <c r="F4" s="122" t="s">
        <v>807</v>
      </c>
      <c r="G4" s="122" t="s">
        <v>808</v>
      </c>
    </row>
    <row r="5" spans="1:12">
      <c r="A5" s="490" t="s">
        <v>627</v>
      </c>
      <c r="B5" s="121" t="s">
        <v>809</v>
      </c>
      <c r="C5" s="2">
        <v>105287</v>
      </c>
      <c r="D5">
        <v>6.9</v>
      </c>
      <c r="E5">
        <f t="shared" ref="E5:E12" si="0">C5/D5</f>
        <v>15258.985507246376</v>
      </c>
      <c r="F5">
        <f t="shared" ref="F5:F12" si="1">E5/(SUM($E$5:$E$12))</f>
        <v>0.16459160784229446</v>
      </c>
      <c r="G5" s="127">
        <f t="shared" ref="G5:G12" si="2">$B$1*F5/15</f>
        <v>105338.62901906845</v>
      </c>
    </row>
    <row r="6" spans="1:12">
      <c r="A6" s="490"/>
      <c r="B6" s="121" t="s">
        <v>810</v>
      </c>
      <c r="C6" s="2">
        <v>81850</v>
      </c>
      <c r="D6">
        <v>8.6</v>
      </c>
      <c r="E6">
        <f t="shared" si="0"/>
        <v>9517.4418604651164</v>
      </c>
      <c r="F6">
        <f t="shared" si="1"/>
        <v>0.10266023633193681</v>
      </c>
      <c r="G6" s="127">
        <f t="shared" si="2"/>
        <v>65702.55125243956</v>
      </c>
    </row>
    <row r="7" spans="1:12">
      <c r="A7" s="490" t="s">
        <v>626</v>
      </c>
      <c r="B7" s="121" t="s">
        <v>811</v>
      </c>
      <c r="C7" s="2">
        <v>123738</v>
      </c>
      <c r="D7">
        <v>7.3</v>
      </c>
      <c r="E7">
        <f t="shared" si="0"/>
        <v>16950.410958904111</v>
      </c>
      <c r="F7">
        <f t="shared" si="1"/>
        <v>0.18283623062547477</v>
      </c>
      <c r="G7" s="127">
        <f t="shared" si="2"/>
        <v>117015.18760030386</v>
      </c>
    </row>
    <row r="8" spans="1:12">
      <c r="A8" s="490"/>
      <c r="B8" s="121" t="s">
        <v>812</v>
      </c>
      <c r="C8" s="2">
        <v>40279</v>
      </c>
      <c r="D8">
        <v>6.8</v>
      </c>
      <c r="E8">
        <f t="shared" si="0"/>
        <v>5923.3823529411766</v>
      </c>
      <c r="F8">
        <f t="shared" si="1"/>
        <v>6.3892781395740256E-2</v>
      </c>
      <c r="G8" s="127">
        <f t="shared" si="2"/>
        <v>40891.380093273758</v>
      </c>
    </row>
    <row r="9" spans="1:12">
      <c r="A9" s="491" t="s">
        <v>620</v>
      </c>
      <c r="B9" s="121" t="s">
        <v>813</v>
      </c>
      <c r="C9" s="2">
        <v>87539</v>
      </c>
      <c r="D9">
        <v>5.9</v>
      </c>
      <c r="E9">
        <f t="shared" si="0"/>
        <v>14837.118644067796</v>
      </c>
      <c r="F9">
        <f t="shared" si="1"/>
        <v>0.16004112542175783</v>
      </c>
      <c r="G9" s="127">
        <f t="shared" si="2"/>
        <v>102426.32026992501</v>
      </c>
    </row>
    <row r="10" spans="1:12">
      <c r="A10" s="491"/>
      <c r="B10" s="121" t="s">
        <v>814</v>
      </c>
      <c r="C10" s="2">
        <v>44785</v>
      </c>
      <c r="D10">
        <v>6.8</v>
      </c>
      <c r="E10">
        <f t="shared" si="0"/>
        <v>6586.0294117647063</v>
      </c>
      <c r="F10">
        <f t="shared" si="1"/>
        <v>7.1040448243705839E-2</v>
      </c>
      <c r="G10" s="127">
        <f t="shared" si="2"/>
        <v>45465.886875971737</v>
      </c>
    </row>
    <row r="11" spans="1:12">
      <c r="A11" s="491"/>
      <c r="B11" s="121" t="s">
        <v>815</v>
      </c>
      <c r="C11" s="2">
        <v>75686</v>
      </c>
      <c r="D11">
        <v>6.3</v>
      </c>
      <c r="E11">
        <f t="shared" si="0"/>
        <v>12013.650793650793</v>
      </c>
      <c r="F11">
        <f t="shared" si="1"/>
        <v>0.12958568570917209</v>
      </c>
      <c r="G11" s="127">
        <f t="shared" si="2"/>
        <v>82934.838853870126</v>
      </c>
    </row>
    <row r="12" spans="1:12">
      <c r="A12" s="491"/>
      <c r="B12" s="121" t="s">
        <v>816</v>
      </c>
      <c r="C12" s="2">
        <v>81348</v>
      </c>
      <c r="D12">
        <v>7</v>
      </c>
      <c r="E12">
        <f t="shared" si="0"/>
        <v>11621.142857142857</v>
      </c>
      <c r="F12">
        <f t="shared" si="1"/>
        <v>0.12535188442991779</v>
      </c>
      <c r="G12" s="127">
        <f t="shared" si="2"/>
        <v>80225.206035147392</v>
      </c>
    </row>
    <row r="13" spans="1:12">
      <c r="A13" s="118"/>
      <c r="B13" s="121"/>
      <c r="G13" s="127">
        <f>SUM(G5:G12)*15</f>
        <v>9599999.9999999981</v>
      </c>
    </row>
    <row r="14" spans="1:12">
      <c r="A14" t="s">
        <v>817</v>
      </c>
    </row>
    <row r="15" spans="1:12">
      <c r="A15" s="124" t="s">
        <v>802</v>
      </c>
      <c r="B15" s="123" t="s">
        <v>803</v>
      </c>
      <c r="C15" s="122" t="s">
        <v>818</v>
      </c>
      <c r="D15" s="122" t="s">
        <v>819</v>
      </c>
      <c r="E15" s="122" t="s">
        <v>820</v>
      </c>
      <c r="F15" s="122" t="s">
        <v>821</v>
      </c>
      <c r="G15" s="122" t="s">
        <v>822</v>
      </c>
      <c r="H15" s="122" t="s">
        <v>823</v>
      </c>
      <c r="K15" t="s">
        <v>818</v>
      </c>
      <c r="L15" t="s">
        <v>819</v>
      </c>
    </row>
    <row r="16" spans="1:12">
      <c r="A16" s="490" t="s">
        <v>627</v>
      </c>
      <c r="B16" s="121" t="s">
        <v>809</v>
      </c>
      <c r="C16">
        <v>25</v>
      </c>
      <c r="D16">
        <v>50</v>
      </c>
      <c r="E16">
        <v>5</v>
      </c>
      <c r="F16">
        <v>10</v>
      </c>
      <c r="G16">
        <v>10</v>
      </c>
      <c r="H16" s="126">
        <f t="shared" ref="H16:H23" si="3">SUM(C16:G16)</f>
        <v>100</v>
      </c>
      <c r="J16" s="121" t="s">
        <v>809</v>
      </c>
      <c r="K16" s="125">
        <v>0.50375101868841676</v>
      </c>
      <c r="L16" s="125">
        <v>0.49624898131158318</v>
      </c>
    </row>
    <row r="17" spans="1:12">
      <c r="A17" s="490"/>
      <c r="B17" s="121" t="s">
        <v>810</v>
      </c>
      <c r="C17">
        <v>25</v>
      </c>
      <c r="D17">
        <v>50</v>
      </c>
      <c r="E17">
        <v>5</v>
      </c>
      <c r="F17">
        <v>10</v>
      </c>
      <c r="G17">
        <v>10</v>
      </c>
      <c r="H17" s="126">
        <f t="shared" si="3"/>
        <v>100</v>
      </c>
      <c r="J17" s="121" t="s">
        <v>810</v>
      </c>
      <c r="K17" s="125">
        <v>0.30821594909977168</v>
      </c>
      <c r="L17" s="125">
        <v>0.69178405090022832</v>
      </c>
    </row>
    <row r="18" spans="1:12">
      <c r="A18" s="490" t="s">
        <v>626</v>
      </c>
      <c r="B18" s="121" t="s">
        <v>811</v>
      </c>
      <c r="C18">
        <v>25</v>
      </c>
      <c r="D18">
        <v>50</v>
      </c>
      <c r="E18">
        <v>5</v>
      </c>
      <c r="F18">
        <v>10</v>
      </c>
      <c r="G18">
        <v>10</v>
      </c>
      <c r="H18" s="126">
        <f t="shared" si="3"/>
        <v>100</v>
      </c>
      <c r="J18" s="121" t="s">
        <v>811</v>
      </c>
      <c r="K18" s="125">
        <v>0.21294672370808571</v>
      </c>
      <c r="L18" s="125">
        <v>0.78705327629191435</v>
      </c>
    </row>
    <row r="19" spans="1:12">
      <c r="A19" s="490"/>
      <c r="B19" s="121" t="s">
        <v>812</v>
      </c>
      <c r="C19">
        <v>25</v>
      </c>
      <c r="D19">
        <v>50</v>
      </c>
      <c r="E19">
        <v>5</v>
      </c>
      <c r="F19">
        <v>10</v>
      </c>
      <c r="G19">
        <v>10</v>
      </c>
      <c r="H19" s="126">
        <f t="shared" si="3"/>
        <v>100</v>
      </c>
      <c r="J19" s="121" t="s">
        <v>812</v>
      </c>
      <c r="K19" s="125">
        <v>0.15134553227012715</v>
      </c>
      <c r="L19" s="125">
        <v>0.84865446772987285</v>
      </c>
    </row>
    <row r="20" spans="1:12">
      <c r="A20" s="491" t="s">
        <v>620</v>
      </c>
      <c r="B20" s="121" t="s">
        <v>813</v>
      </c>
      <c r="C20">
        <v>25</v>
      </c>
      <c r="D20">
        <v>50</v>
      </c>
      <c r="E20">
        <v>5</v>
      </c>
      <c r="F20">
        <v>10</v>
      </c>
      <c r="G20">
        <v>10</v>
      </c>
      <c r="H20" s="126">
        <f t="shared" si="3"/>
        <v>100</v>
      </c>
      <c r="J20" s="121" t="s">
        <v>813</v>
      </c>
      <c r="K20" s="125">
        <v>0.57255740264981514</v>
      </c>
      <c r="L20" s="125">
        <v>0.42744259735018492</v>
      </c>
    </row>
    <row r="21" spans="1:12">
      <c r="A21" s="491"/>
      <c r="B21" s="121" t="s">
        <v>814</v>
      </c>
      <c r="C21">
        <v>25</v>
      </c>
      <c r="D21">
        <v>50</v>
      </c>
      <c r="E21">
        <v>5</v>
      </c>
      <c r="F21">
        <v>10</v>
      </c>
      <c r="G21">
        <v>10</v>
      </c>
      <c r="H21" s="126">
        <f t="shared" si="3"/>
        <v>100</v>
      </c>
      <c r="J21" s="121" t="s">
        <v>814</v>
      </c>
      <c r="K21" s="125">
        <v>0.68975697892143806</v>
      </c>
      <c r="L21" s="125">
        <v>0.31024302107856194</v>
      </c>
    </row>
    <row r="22" spans="1:12">
      <c r="A22" s="491"/>
      <c r="B22" s="121" t="s">
        <v>815</v>
      </c>
      <c r="C22">
        <v>25</v>
      </c>
      <c r="D22">
        <v>50</v>
      </c>
      <c r="E22">
        <v>5</v>
      </c>
      <c r="F22">
        <v>10</v>
      </c>
      <c r="G22">
        <v>10</v>
      </c>
      <c r="H22" s="126">
        <f t="shared" si="3"/>
        <v>100</v>
      </c>
      <c r="J22" s="121" t="s">
        <v>815</v>
      </c>
      <c r="K22" s="125">
        <v>0.68975697892143806</v>
      </c>
      <c r="L22" s="125">
        <v>0.31024302107856194</v>
      </c>
    </row>
    <row r="23" spans="1:12">
      <c r="A23" s="491"/>
      <c r="B23" s="121" t="s">
        <v>816</v>
      </c>
      <c r="C23">
        <v>25</v>
      </c>
      <c r="D23">
        <v>50</v>
      </c>
      <c r="E23">
        <v>5</v>
      </c>
      <c r="F23">
        <v>10</v>
      </c>
      <c r="G23">
        <v>10</v>
      </c>
      <c r="H23" s="126">
        <f t="shared" si="3"/>
        <v>100</v>
      </c>
      <c r="J23" s="121" t="s">
        <v>816</v>
      </c>
      <c r="K23" s="125">
        <v>0.89223570959285781</v>
      </c>
      <c r="L23" s="125">
        <v>0.10776429040714222</v>
      </c>
    </row>
    <row r="25" spans="1:12">
      <c r="A25" t="s">
        <v>824</v>
      </c>
    </row>
    <row r="26" spans="1:12">
      <c r="A26" s="124" t="s">
        <v>802</v>
      </c>
      <c r="B26" s="123" t="s">
        <v>803</v>
      </c>
      <c r="C26" s="122" t="s">
        <v>818</v>
      </c>
      <c r="D26" s="122" t="s">
        <v>819</v>
      </c>
      <c r="E26" s="122" t="s">
        <v>820</v>
      </c>
      <c r="F26" s="122" t="s">
        <v>821</v>
      </c>
      <c r="G26" s="122" t="s">
        <v>822</v>
      </c>
    </row>
    <row r="27" spans="1:12">
      <c r="A27" s="490" t="s">
        <v>627</v>
      </c>
      <c r="B27" s="121" t="s">
        <v>809</v>
      </c>
      <c r="C27" s="120">
        <f t="shared" ref="C27:G34" si="4">C16*$B$2/100</f>
        <v>20000</v>
      </c>
      <c r="D27" s="120">
        <f t="shared" si="4"/>
        <v>40000</v>
      </c>
      <c r="E27" s="120">
        <f t="shared" si="4"/>
        <v>4000</v>
      </c>
      <c r="F27" s="120">
        <f t="shared" si="4"/>
        <v>8000</v>
      </c>
      <c r="G27" s="120">
        <f t="shared" si="4"/>
        <v>8000</v>
      </c>
      <c r="H27" s="119">
        <f t="shared" ref="H27:H34" si="5">SUM(C27:G27)</f>
        <v>80000</v>
      </c>
    </row>
    <row r="28" spans="1:12">
      <c r="A28" s="490"/>
      <c r="B28" s="121" t="s">
        <v>810</v>
      </c>
      <c r="C28" s="120">
        <f t="shared" si="4"/>
        <v>20000</v>
      </c>
      <c r="D28" s="120">
        <f t="shared" si="4"/>
        <v>40000</v>
      </c>
      <c r="E28" s="120">
        <f t="shared" si="4"/>
        <v>4000</v>
      </c>
      <c r="F28" s="120">
        <f t="shared" si="4"/>
        <v>8000</v>
      </c>
      <c r="G28" s="120">
        <f t="shared" si="4"/>
        <v>8000</v>
      </c>
      <c r="H28" s="119">
        <f t="shared" si="5"/>
        <v>80000</v>
      </c>
    </row>
    <row r="29" spans="1:12">
      <c r="A29" s="490" t="s">
        <v>626</v>
      </c>
      <c r="B29" s="121" t="s">
        <v>811</v>
      </c>
      <c r="C29" s="120">
        <f t="shared" si="4"/>
        <v>20000</v>
      </c>
      <c r="D29" s="120">
        <f t="shared" si="4"/>
        <v>40000</v>
      </c>
      <c r="E29" s="120">
        <f t="shared" si="4"/>
        <v>4000</v>
      </c>
      <c r="F29" s="120">
        <f t="shared" si="4"/>
        <v>8000</v>
      </c>
      <c r="G29" s="120">
        <f t="shared" si="4"/>
        <v>8000</v>
      </c>
      <c r="H29" s="119">
        <f t="shared" si="5"/>
        <v>80000</v>
      </c>
    </row>
    <row r="30" spans="1:12">
      <c r="A30" s="490"/>
      <c r="B30" s="121" t="s">
        <v>812</v>
      </c>
      <c r="C30" s="120">
        <f t="shared" si="4"/>
        <v>20000</v>
      </c>
      <c r="D30" s="120">
        <f t="shared" si="4"/>
        <v>40000</v>
      </c>
      <c r="E30" s="120">
        <f t="shared" si="4"/>
        <v>4000</v>
      </c>
      <c r="F30" s="120">
        <f t="shared" si="4"/>
        <v>8000</v>
      </c>
      <c r="G30" s="120">
        <f t="shared" si="4"/>
        <v>8000</v>
      </c>
      <c r="H30" s="119">
        <f t="shared" si="5"/>
        <v>80000</v>
      </c>
    </row>
    <row r="31" spans="1:12">
      <c r="A31" s="491" t="s">
        <v>620</v>
      </c>
      <c r="B31" s="121" t="s">
        <v>813</v>
      </c>
      <c r="C31" s="120">
        <f t="shared" si="4"/>
        <v>20000</v>
      </c>
      <c r="D31" s="120">
        <f t="shared" si="4"/>
        <v>40000</v>
      </c>
      <c r="E31" s="120">
        <f t="shared" si="4"/>
        <v>4000</v>
      </c>
      <c r="F31" s="120">
        <f t="shared" si="4"/>
        <v>8000</v>
      </c>
      <c r="G31" s="120">
        <f t="shared" si="4"/>
        <v>8000</v>
      </c>
      <c r="H31" s="119">
        <f t="shared" si="5"/>
        <v>80000</v>
      </c>
    </row>
    <row r="32" spans="1:12">
      <c r="A32" s="491"/>
      <c r="B32" s="121" t="s">
        <v>814</v>
      </c>
      <c r="C32" s="120">
        <f t="shared" si="4"/>
        <v>20000</v>
      </c>
      <c r="D32" s="120">
        <f t="shared" si="4"/>
        <v>40000</v>
      </c>
      <c r="E32" s="120">
        <f t="shared" si="4"/>
        <v>4000</v>
      </c>
      <c r="F32" s="120">
        <f t="shared" si="4"/>
        <v>8000</v>
      </c>
      <c r="G32" s="120">
        <f t="shared" si="4"/>
        <v>8000</v>
      </c>
      <c r="H32" s="119">
        <f t="shared" si="5"/>
        <v>80000</v>
      </c>
    </row>
    <row r="33" spans="1:8">
      <c r="A33" s="491"/>
      <c r="B33" s="121" t="s">
        <v>815</v>
      </c>
      <c r="C33" s="120">
        <f t="shared" si="4"/>
        <v>20000</v>
      </c>
      <c r="D33" s="120">
        <f t="shared" si="4"/>
        <v>40000</v>
      </c>
      <c r="E33" s="120">
        <f t="shared" si="4"/>
        <v>4000</v>
      </c>
      <c r="F33" s="120">
        <f t="shared" si="4"/>
        <v>8000</v>
      </c>
      <c r="G33" s="120">
        <f t="shared" si="4"/>
        <v>8000</v>
      </c>
      <c r="H33" s="119">
        <f t="shared" si="5"/>
        <v>80000</v>
      </c>
    </row>
    <row r="34" spans="1:8">
      <c r="A34" s="491"/>
      <c r="B34" s="121" t="s">
        <v>816</v>
      </c>
      <c r="C34" s="120">
        <f t="shared" si="4"/>
        <v>20000</v>
      </c>
      <c r="D34" s="120">
        <f t="shared" si="4"/>
        <v>40000</v>
      </c>
      <c r="E34" s="120">
        <f t="shared" si="4"/>
        <v>4000</v>
      </c>
      <c r="F34" s="120">
        <f t="shared" si="4"/>
        <v>8000</v>
      </c>
      <c r="G34" s="120">
        <f t="shared" si="4"/>
        <v>8000</v>
      </c>
      <c r="H34" s="119">
        <f t="shared" si="5"/>
        <v>80000</v>
      </c>
    </row>
    <row r="35" spans="1:8">
      <c r="A35" s="118" t="s">
        <v>825</v>
      </c>
      <c r="B35" s="121"/>
      <c r="C35" s="117">
        <f t="shared" ref="C35:H35" si="6">SUM(C27:C34)*15</f>
        <v>2400000</v>
      </c>
      <c r="D35" s="117">
        <f t="shared" si="6"/>
        <v>4800000</v>
      </c>
      <c r="E35" s="117">
        <f t="shared" si="6"/>
        <v>480000</v>
      </c>
      <c r="F35" s="117">
        <f t="shared" si="6"/>
        <v>960000</v>
      </c>
      <c r="G35" s="117">
        <f t="shared" si="6"/>
        <v>960000</v>
      </c>
      <c r="H35" s="117">
        <f t="shared" si="6"/>
        <v>9600000</v>
      </c>
    </row>
    <row r="37" spans="1:8">
      <c r="A37" t="s">
        <v>826</v>
      </c>
    </row>
    <row r="38" spans="1:8">
      <c r="A38" s="124" t="s">
        <v>802</v>
      </c>
      <c r="B38" s="123" t="s">
        <v>803</v>
      </c>
      <c r="C38" s="122" t="s">
        <v>818</v>
      </c>
      <c r="D38" s="122" t="s">
        <v>819</v>
      </c>
      <c r="E38" s="122" t="s">
        <v>820</v>
      </c>
      <c r="F38" s="122" t="s">
        <v>821</v>
      </c>
      <c r="G38" s="122" t="s">
        <v>822</v>
      </c>
    </row>
    <row r="39" spans="1:8">
      <c r="A39" s="490" t="s">
        <v>627</v>
      </c>
      <c r="B39" s="121" t="s">
        <v>809</v>
      </c>
      <c r="C39" s="120">
        <f t="shared" ref="C39:C46" si="7">C16*G5/100</f>
        <v>26334.657254767117</v>
      </c>
      <c r="D39" s="120">
        <f t="shared" ref="D39:D46" si="8">D16*G5/100</f>
        <v>52669.314509534233</v>
      </c>
      <c r="E39" s="120">
        <f t="shared" ref="E39:E46" si="9">E16*G5/100</f>
        <v>5266.9314509534233</v>
      </c>
      <c r="F39" s="120">
        <f t="shared" ref="F39:F46" si="10">F16*G5/100</f>
        <v>10533.862901906847</v>
      </c>
      <c r="G39" s="120">
        <f t="shared" ref="G39:G46" si="11">G16*G5/100</f>
        <v>10533.862901906847</v>
      </c>
      <c r="H39" s="119">
        <f t="shared" ref="H39:H47" si="12">SUM(C39:G39)</f>
        <v>105338.62901906847</v>
      </c>
    </row>
    <row r="40" spans="1:8">
      <c r="A40" s="490"/>
      <c r="B40" s="121" t="s">
        <v>810</v>
      </c>
      <c r="C40" s="120">
        <f t="shared" si="7"/>
        <v>16425.63781310989</v>
      </c>
      <c r="D40" s="120">
        <f t="shared" si="8"/>
        <v>32851.27562621978</v>
      </c>
      <c r="E40" s="120">
        <f t="shared" si="9"/>
        <v>3285.1275626219781</v>
      </c>
      <c r="F40" s="120">
        <f t="shared" si="10"/>
        <v>6570.2551252439562</v>
      </c>
      <c r="G40" s="120">
        <f t="shared" si="11"/>
        <v>6570.2551252439562</v>
      </c>
      <c r="H40" s="119">
        <f t="shared" si="12"/>
        <v>65702.55125243956</v>
      </c>
    </row>
    <row r="41" spans="1:8">
      <c r="A41" s="490" t="s">
        <v>626</v>
      </c>
      <c r="B41" s="121" t="s">
        <v>811</v>
      </c>
      <c r="C41" s="120">
        <f t="shared" si="7"/>
        <v>29253.796900075966</v>
      </c>
      <c r="D41" s="120">
        <f t="shared" si="8"/>
        <v>58507.593800151932</v>
      </c>
      <c r="E41" s="120">
        <f t="shared" si="9"/>
        <v>5850.7593800151926</v>
      </c>
      <c r="F41" s="120">
        <f t="shared" si="10"/>
        <v>11701.518760030385</v>
      </c>
      <c r="G41" s="120">
        <f t="shared" si="11"/>
        <v>11701.518760030385</v>
      </c>
      <c r="H41" s="119">
        <f t="shared" si="12"/>
        <v>117015.18760030388</v>
      </c>
    </row>
    <row r="42" spans="1:8">
      <c r="A42" s="490"/>
      <c r="B42" s="121" t="s">
        <v>812</v>
      </c>
      <c r="C42" s="120">
        <f t="shared" si="7"/>
        <v>10222.845023318439</v>
      </c>
      <c r="D42" s="120">
        <f t="shared" si="8"/>
        <v>20445.690046636879</v>
      </c>
      <c r="E42" s="120">
        <f t="shared" si="9"/>
        <v>2044.569004663688</v>
      </c>
      <c r="F42" s="120">
        <f t="shared" si="10"/>
        <v>4089.138009327376</v>
      </c>
      <c r="G42" s="120">
        <f t="shared" si="11"/>
        <v>4089.138009327376</v>
      </c>
      <c r="H42" s="119">
        <f t="shared" si="12"/>
        <v>40891.380093273758</v>
      </c>
    </row>
    <row r="43" spans="1:8">
      <c r="A43" s="491" t="s">
        <v>620</v>
      </c>
      <c r="B43" s="121" t="s">
        <v>813</v>
      </c>
      <c r="C43" s="120">
        <f t="shared" si="7"/>
        <v>25606.580067481253</v>
      </c>
      <c r="D43" s="120">
        <f t="shared" si="8"/>
        <v>51213.160134962505</v>
      </c>
      <c r="E43" s="120">
        <f t="shared" si="9"/>
        <v>5121.31601349625</v>
      </c>
      <c r="F43" s="120">
        <f t="shared" si="10"/>
        <v>10242.6320269925</v>
      </c>
      <c r="G43" s="120">
        <f t="shared" si="11"/>
        <v>10242.6320269925</v>
      </c>
      <c r="H43" s="119">
        <f t="shared" si="12"/>
        <v>102426.32026992503</v>
      </c>
    </row>
    <row r="44" spans="1:8">
      <c r="A44" s="491"/>
      <c r="B44" s="121" t="s">
        <v>814</v>
      </c>
      <c r="C44" s="120">
        <f t="shared" si="7"/>
        <v>11366.471718992932</v>
      </c>
      <c r="D44" s="120">
        <f t="shared" si="8"/>
        <v>22732.943437985865</v>
      </c>
      <c r="E44" s="120">
        <f t="shared" si="9"/>
        <v>2273.2943437985869</v>
      </c>
      <c r="F44" s="120">
        <f t="shared" si="10"/>
        <v>4546.5886875971737</v>
      </c>
      <c r="G44" s="120">
        <f t="shared" si="11"/>
        <v>4546.5886875971737</v>
      </c>
      <c r="H44" s="119">
        <f t="shared" si="12"/>
        <v>45465.88687597173</v>
      </c>
    </row>
    <row r="45" spans="1:8">
      <c r="A45" s="491"/>
      <c r="B45" s="121" t="s">
        <v>815</v>
      </c>
      <c r="C45" s="120">
        <f t="shared" si="7"/>
        <v>20733.709713467531</v>
      </c>
      <c r="D45" s="120">
        <f t="shared" si="8"/>
        <v>41467.419426935063</v>
      </c>
      <c r="E45" s="120">
        <f t="shared" si="9"/>
        <v>4146.7419426935057</v>
      </c>
      <c r="F45" s="120">
        <f t="shared" si="10"/>
        <v>8293.4838853870115</v>
      </c>
      <c r="G45" s="120">
        <f t="shared" si="11"/>
        <v>8293.4838853870115</v>
      </c>
      <c r="H45" s="119">
        <f t="shared" si="12"/>
        <v>82934.83885387014</v>
      </c>
    </row>
    <row r="46" spans="1:8">
      <c r="A46" s="491"/>
      <c r="B46" s="121" t="s">
        <v>816</v>
      </c>
      <c r="C46" s="120">
        <f t="shared" si="7"/>
        <v>20056.301508786848</v>
      </c>
      <c r="D46" s="120">
        <f t="shared" si="8"/>
        <v>40112.603017573696</v>
      </c>
      <c r="E46" s="120">
        <f t="shared" si="9"/>
        <v>4011.2603017573697</v>
      </c>
      <c r="F46" s="120">
        <f t="shared" si="10"/>
        <v>8022.5206035147394</v>
      </c>
      <c r="G46" s="120">
        <f t="shared" si="11"/>
        <v>8022.5206035147394</v>
      </c>
      <c r="H46" s="119">
        <f t="shared" si="12"/>
        <v>80225.206035147392</v>
      </c>
    </row>
    <row r="47" spans="1:8">
      <c r="A47" s="118" t="s">
        <v>825</v>
      </c>
      <c r="C47" s="117">
        <f>SUM(C39:C46)*15</f>
        <v>2400000</v>
      </c>
      <c r="D47" s="117">
        <f>SUM(D39:D46)*15</f>
        <v>4800000</v>
      </c>
      <c r="E47" s="117">
        <f>SUM(E39:E46)*15</f>
        <v>479999.99999999994</v>
      </c>
      <c r="F47" s="117">
        <f>SUM(F39:F46)*15</f>
        <v>959999.99999999988</v>
      </c>
      <c r="G47" s="117">
        <f>SUM(G39:G46)*15</f>
        <v>959999.99999999988</v>
      </c>
      <c r="H47" s="117">
        <f t="shared" si="12"/>
        <v>9600000</v>
      </c>
    </row>
  </sheetData>
  <mergeCells count="12">
    <mergeCell ref="A41:A42"/>
    <mergeCell ref="A43:A46"/>
    <mergeCell ref="A20:A23"/>
    <mergeCell ref="A27:A28"/>
    <mergeCell ref="A29:A30"/>
    <mergeCell ref="A31:A34"/>
    <mergeCell ref="A39:A40"/>
    <mergeCell ref="A5:A6"/>
    <mergeCell ref="A7:A8"/>
    <mergeCell ref="A9:A12"/>
    <mergeCell ref="A16:A17"/>
    <mergeCell ref="A18:A19"/>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06BAD-FD64-4A0C-BFD8-099C1899D761}">
  <dimension ref="A1:J39"/>
  <sheetViews>
    <sheetView workbookViewId="0">
      <selection activeCell="J1" sqref="J1"/>
    </sheetView>
  </sheetViews>
  <sheetFormatPr defaultRowHeight="14.5"/>
  <cols>
    <col min="1" max="1" width="25.81640625" bestFit="1" customWidth="1"/>
    <col min="2" max="2" width="20.81640625" customWidth="1"/>
    <col min="3" max="3" width="15.81640625" bestFit="1" customWidth="1"/>
    <col min="4" max="4" width="18.1796875" bestFit="1" customWidth="1"/>
    <col min="5" max="5" width="16.81640625" bestFit="1" customWidth="1"/>
    <col min="6" max="6" width="15.81640625" bestFit="1" customWidth="1"/>
    <col min="7" max="7" width="18.81640625" bestFit="1" customWidth="1"/>
    <col min="8" max="8" width="13.1796875" bestFit="1" customWidth="1"/>
    <col min="10" max="10" width="18.54296875" bestFit="1" customWidth="1"/>
    <col min="11" max="12" width="12" bestFit="1" customWidth="1"/>
  </cols>
  <sheetData>
    <row r="1" spans="1:10">
      <c r="A1" t="s">
        <v>800</v>
      </c>
      <c r="B1" s="120">
        <f>80000*120</f>
        <v>9600000</v>
      </c>
    </row>
    <row r="2" spans="1:10">
      <c r="A2" t="s">
        <v>801</v>
      </c>
      <c r="B2" s="2">
        <v>80000</v>
      </c>
    </row>
    <row r="4" spans="1:10" ht="25">
      <c r="A4" s="118" t="s">
        <v>827</v>
      </c>
      <c r="B4" s="121"/>
      <c r="G4" s="127"/>
    </row>
    <row r="5" spans="1:10">
      <c r="A5" s="124" t="s">
        <v>802</v>
      </c>
      <c r="B5" s="123" t="s">
        <v>803</v>
      </c>
      <c r="C5" s="122" t="s">
        <v>818</v>
      </c>
      <c r="D5" s="122" t="s">
        <v>819</v>
      </c>
    </row>
    <row r="6" spans="1:10">
      <c r="A6" s="490" t="s">
        <v>627</v>
      </c>
      <c r="B6" s="121" t="s">
        <v>809</v>
      </c>
      <c r="C6" s="125">
        <v>0.50375101868841676</v>
      </c>
      <c r="D6" s="125">
        <v>0.49624898131158318</v>
      </c>
    </row>
    <row r="7" spans="1:10">
      <c r="A7" s="490"/>
      <c r="B7" s="121" t="s">
        <v>810</v>
      </c>
      <c r="C7" s="125">
        <v>0.30821594909977168</v>
      </c>
      <c r="D7" s="125">
        <v>0.69178405090022832</v>
      </c>
      <c r="J7" s="121"/>
    </row>
    <row r="8" spans="1:10">
      <c r="A8" s="490" t="s">
        <v>626</v>
      </c>
      <c r="B8" s="121" t="s">
        <v>811</v>
      </c>
      <c r="C8" s="125">
        <v>0.21294672370808571</v>
      </c>
      <c r="D8" s="125">
        <v>0.78705327629191435</v>
      </c>
      <c r="J8" s="121"/>
    </row>
    <row r="9" spans="1:10">
      <c r="A9" s="490"/>
      <c r="B9" s="121" t="s">
        <v>812</v>
      </c>
      <c r="C9" s="125">
        <v>0.15134553227012715</v>
      </c>
      <c r="D9" s="125">
        <v>0.84865446772987285</v>
      </c>
      <c r="J9" s="121"/>
    </row>
    <row r="10" spans="1:10">
      <c r="A10" s="491" t="s">
        <v>620</v>
      </c>
      <c r="B10" s="121" t="s">
        <v>813</v>
      </c>
      <c r="C10" s="125">
        <v>0.57255740264981514</v>
      </c>
      <c r="D10" s="125">
        <v>0.42744259735018492</v>
      </c>
      <c r="J10" s="121"/>
    </row>
    <row r="11" spans="1:10">
      <c r="A11" s="491"/>
      <c r="B11" s="121" t="s">
        <v>814</v>
      </c>
      <c r="C11" s="125">
        <v>0.68975697892143806</v>
      </c>
      <c r="D11" s="125">
        <v>0.31024302107856194</v>
      </c>
      <c r="J11" s="121"/>
    </row>
    <row r="12" spans="1:10">
      <c r="A12" s="491"/>
      <c r="B12" s="121" t="s">
        <v>815</v>
      </c>
      <c r="C12" s="125">
        <v>0.68975697892143806</v>
      </c>
      <c r="D12" s="125">
        <v>0.31024302107856194</v>
      </c>
      <c r="J12" s="121"/>
    </row>
    <row r="13" spans="1:10">
      <c r="A13" s="491"/>
      <c r="B13" s="121" t="s">
        <v>816</v>
      </c>
      <c r="C13" s="125">
        <v>0.89223570959285781</v>
      </c>
      <c r="D13" s="125">
        <v>0.10776429040714222</v>
      </c>
      <c r="J13" s="121"/>
    </row>
    <row r="14" spans="1:10">
      <c r="J14" s="121"/>
    </row>
    <row r="16" spans="1:10">
      <c r="A16" t="s">
        <v>828</v>
      </c>
      <c r="B16">
        <v>75</v>
      </c>
    </row>
    <row r="18" spans="1:8">
      <c r="A18" t="s">
        <v>817</v>
      </c>
    </row>
    <row r="19" spans="1:8">
      <c r="A19" s="124" t="s">
        <v>802</v>
      </c>
      <c r="B19" s="123" t="s">
        <v>803</v>
      </c>
      <c r="C19" s="122" t="s">
        <v>818</v>
      </c>
      <c r="D19" s="122" t="s">
        <v>819</v>
      </c>
      <c r="E19" s="122" t="s">
        <v>820</v>
      </c>
      <c r="F19" s="122" t="s">
        <v>821</v>
      </c>
      <c r="G19" s="122" t="s">
        <v>822</v>
      </c>
      <c r="H19" s="122" t="s">
        <v>823</v>
      </c>
    </row>
    <row r="20" spans="1:8">
      <c r="A20" s="490" t="s">
        <v>627</v>
      </c>
      <c r="B20" s="121" t="s">
        <v>809</v>
      </c>
      <c r="C20" s="101">
        <f t="shared" ref="C20:D27" si="0">$B$16*C6</f>
        <v>37.781326401631254</v>
      </c>
      <c r="D20" s="101">
        <f t="shared" si="0"/>
        <v>37.218673598368738</v>
      </c>
      <c r="E20">
        <v>5</v>
      </c>
      <c r="F20">
        <v>10</v>
      </c>
      <c r="G20">
        <v>10</v>
      </c>
      <c r="H20" s="126">
        <f t="shared" ref="H20:H27" si="1">SUM(C20:G20)</f>
        <v>100</v>
      </c>
    </row>
    <row r="21" spans="1:8">
      <c r="A21" s="490"/>
      <c r="B21" s="121" t="s">
        <v>810</v>
      </c>
      <c r="C21" s="101">
        <f t="shared" si="0"/>
        <v>23.116196182482877</v>
      </c>
      <c r="D21" s="101">
        <f t="shared" si="0"/>
        <v>51.883803817517126</v>
      </c>
      <c r="E21">
        <v>5</v>
      </c>
      <c r="F21">
        <v>10</v>
      </c>
      <c r="G21">
        <v>10</v>
      </c>
      <c r="H21" s="126">
        <f t="shared" si="1"/>
        <v>100</v>
      </c>
    </row>
    <row r="22" spans="1:8">
      <c r="A22" s="490" t="s">
        <v>626</v>
      </c>
      <c r="B22" s="121" t="s">
        <v>811</v>
      </c>
      <c r="C22" s="101">
        <f t="shared" si="0"/>
        <v>15.971004278106427</v>
      </c>
      <c r="D22" s="101">
        <f t="shared" si="0"/>
        <v>59.02899572189358</v>
      </c>
      <c r="E22">
        <v>5</v>
      </c>
      <c r="F22">
        <v>10</v>
      </c>
      <c r="G22">
        <v>10</v>
      </c>
      <c r="H22" s="126">
        <f t="shared" si="1"/>
        <v>100</v>
      </c>
    </row>
    <row r="23" spans="1:8">
      <c r="A23" s="490"/>
      <c r="B23" s="121" t="s">
        <v>812</v>
      </c>
      <c r="C23" s="101">
        <f t="shared" si="0"/>
        <v>11.350914920259536</v>
      </c>
      <c r="D23" s="101">
        <f t="shared" si="0"/>
        <v>63.649085079740466</v>
      </c>
      <c r="E23">
        <v>5</v>
      </c>
      <c r="F23">
        <v>10</v>
      </c>
      <c r="G23">
        <v>10</v>
      </c>
      <c r="H23" s="126">
        <f t="shared" si="1"/>
        <v>100</v>
      </c>
    </row>
    <row r="24" spans="1:8">
      <c r="A24" s="491" t="s">
        <v>620</v>
      </c>
      <c r="B24" s="121" t="s">
        <v>813</v>
      </c>
      <c r="C24" s="101">
        <f t="shared" si="0"/>
        <v>42.941805198736134</v>
      </c>
      <c r="D24" s="101">
        <f t="shared" si="0"/>
        <v>32.058194801263866</v>
      </c>
      <c r="E24">
        <v>5</v>
      </c>
      <c r="F24">
        <v>10</v>
      </c>
      <c r="G24">
        <v>10</v>
      </c>
      <c r="H24" s="126">
        <f t="shared" si="1"/>
        <v>100</v>
      </c>
    </row>
    <row r="25" spans="1:8">
      <c r="A25" s="491"/>
      <c r="B25" s="121" t="s">
        <v>814</v>
      </c>
      <c r="C25" s="101">
        <f t="shared" si="0"/>
        <v>51.731773419107853</v>
      </c>
      <c r="D25" s="101">
        <f t="shared" si="0"/>
        <v>23.268226580892147</v>
      </c>
      <c r="E25">
        <v>5</v>
      </c>
      <c r="F25">
        <v>10</v>
      </c>
      <c r="G25">
        <v>10</v>
      </c>
      <c r="H25" s="126">
        <f t="shared" si="1"/>
        <v>100</v>
      </c>
    </row>
    <row r="26" spans="1:8">
      <c r="A26" s="491"/>
      <c r="B26" s="121" t="s">
        <v>815</v>
      </c>
      <c r="C26" s="101">
        <f t="shared" si="0"/>
        <v>51.731773419107853</v>
      </c>
      <c r="D26" s="101">
        <f t="shared" si="0"/>
        <v>23.268226580892147</v>
      </c>
      <c r="E26">
        <v>5</v>
      </c>
      <c r="F26">
        <v>10</v>
      </c>
      <c r="G26">
        <v>10</v>
      </c>
      <c r="H26" s="126">
        <f t="shared" si="1"/>
        <v>100</v>
      </c>
    </row>
    <row r="27" spans="1:8">
      <c r="A27" s="491"/>
      <c r="B27" s="121" t="s">
        <v>816</v>
      </c>
      <c r="C27" s="101">
        <f t="shared" si="0"/>
        <v>66.917678219464335</v>
      </c>
      <c r="D27" s="101">
        <f t="shared" si="0"/>
        <v>8.0823217805356666</v>
      </c>
      <c r="E27">
        <v>5</v>
      </c>
      <c r="F27">
        <v>10</v>
      </c>
      <c r="G27">
        <v>10</v>
      </c>
      <c r="H27" s="126">
        <f t="shared" si="1"/>
        <v>100</v>
      </c>
    </row>
    <row r="29" spans="1:8">
      <c r="A29" t="s">
        <v>824</v>
      </c>
    </row>
    <row r="30" spans="1:8">
      <c r="A30" s="124" t="s">
        <v>802</v>
      </c>
      <c r="B30" s="123" t="s">
        <v>803</v>
      </c>
      <c r="C30" s="122" t="s">
        <v>818</v>
      </c>
      <c r="D30" s="122" t="s">
        <v>819</v>
      </c>
      <c r="E30" s="122" t="s">
        <v>820</v>
      </c>
      <c r="F30" s="122" t="s">
        <v>821</v>
      </c>
      <c r="G30" s="122" t="s">
        <v>822</v>
      </c>
    </row>
    <row r="31" spans="1:8">
      <c r="A31" s="492" t="s">
        <v>627</v>
      </c>
      <c r="B31" s="121" t="s">
        <v>809</v>
      </c>
      <c r="C31" s="120">
        <f t="shared" ref="C31:G38" si="2">C20*$B$2/100</f>
        <v>30225.061121305003</v>
      </c>
      <c r="D31" s="120">
        <f t="shared" si="2"/>
        <v>29774.938878694993</v>
      </c>
      <c r="E31" s="120">
        <f t="shared" si="2"/>
        <v>4000</v>
      </c>
      <c r="F31" s="120">
        <f t="shared" si="2"/>
        <v>8000</v>
      </c>
      <c r="G31" s="120">
        <f t="shared" si="2"/>
        <v>8000</v>
      </c>
      <c r="H31" s="119">
        <f t="shared" ref="H31:H38" si="3">SUM(C31:G31)</f>
        <v>80000</v>
      </c>
    </row>
    <row r="32" spans="1:8">
      <c r="A32" s="492"/>
      <c r="B32" s="121" t="s">
        <v>810</v>
      </c>
      <c r="C32" s="120">
        <f t="shared" si="2"/>
        <v>18492.956945986301</v>
      </c>
      <c r="D32" s="120">
        <f t="shared" si="2"/>
        <v>41507.043054013702</v>
      </c>
      <c r="E32" s="120">
        <f t="shared" si="2"/>
        <v>4000</v>
      </c>
      <c r="F32" s="120">
        <f t="shared" si="2"/>
        <v>8000</v>
      </c>
      <c r="G32" s="120">
        <f t="shared" si="2"/>
        <v>8000</v>
      </c>
      <c r="H32" s="119">
        <f t="shared" si="3"/>
        <v>80000</v>
      </c>
    </row>
    <row r="33" spans="1:8">
      <c r="A33" s="492" t="s">
        <v>626</v>
      </c>
      <c r="B33" s="121" t="s">
        <v>811</v>
      </c>
      <c r="C33" s="120">
        <f t="shared" si="2"/>
        <v>12776.803422485144</v>
      </c>
      <c r="D33" s="120">
        <f t="shared" si="2"/>
        <v>47223.196577514864</v>
      </c>
      <c r="E33" s="120">
        <f t="shared" si="2"/>
        <v>4000</v>
      </c>
      <c r="F33" s="120">
        <f t="shared" si="2"/>
        <v>8000</v>
      </c>
      <c r="G33" s="120">
        <f t="shared" si="2"/>
        <v>8000</v>
      </c>
      <c r="H33" s="119">
        <f t="shared" si="3"/>
        <v>80000</v>
      </c>
    </row>
    <row r="34" spans="1:8">
      <c r="A34" s="492"/>
      <c r="B34" s="121" t="s">
        <v>812</v>
      </c>
      <c r="C34" s="120">
        <f t="shared" si="2"/>
        <v>9080.7319362076287</v>
      </c>
      <c r="D34" s="120">
        <f t="shared" si="2"/>
        <v>50919.26806379237</v>
      </c>
      <c r="E34" s="120">
        <f t="shared" si="2"/>
        <v>4000</v>
      </c>
      <c r="F34" s="120">
        <f t="shared" si="2"/>
        <v>8000</v>
      </c>
      <c r="G34" s="120">
        <f t="shared" si="2"/>
        <v>8000</v>
      </c>
      <c r="H34" s="119">
        <f t="shared" si="3"/>
        <v>80000</v>
      </c>
    </row>
    <row r="35" spans="1:8">
      <c r="A35" s="493" t="s">
        <v>620</v>
      </c>
      <c r="B35" s="121" t="s">
        <v>813</v>
      </c>
      <c r="C35" s="120">
        <f t="shared" si="2"/>
        <v>34353.44415898891</v>
      </c>
      <c r="D35" s="120">
        <f t="shared" si="2"/>
        <v>25646.555841011093</v>
      </c>
      <c r="E35" s="120">
        <f t="shared" si="2"/>
        <v>4000</v>
      </c>
      <c r="F35" s="120">
        <f t="shared" si="2"/>
        <v>8000</v>
      </c>
      <c r="G35" s="120">
        <f t="shared" si="2"/>
        <v>8000</v>
      </c>
      <c r="H35" s="119">
        <f t="shared" si="3"/>
        <v>80000</v>
      </c>
    </row>
    <row r="36" spans="1:8">
      <c r="A36" s="493"/>
      <c r="B36" s="121" t="s">
        <v>814</v>
      </c>
      <c r="C36" s="120">
        <f t="shared" si="2"/>
        <v>41385.418735286279</v>
      </c>
      <c r="D36" s="120">
        <f t="shared" si="2"/>
        <v>18614.581264713717</v>
      </c>
      <c r="E36" s="120">
        <f t="shared" si="2"/>
        <v>4000</v>
      </c>
      <c r="F36" s="120">
        <f t="shared" si="2"/>
        <v>8000</v>
      </c>
      <c r="G36" s="120">
        <f t="shared" si="2"/>
        <v>8000</v>
      </c>
      <c r="H36" s="119">
        <f t="shared" si="3"/>
        <v>80000</v>
      </c>
    </row>
    <row r="37" spans="1:8">
      <c r="A37" s="493"/>
      <c r="B37" s="121" t="s">
        <v>815</v>
      </c>
      <c r="C37" s="120">
        <f t="shared" si="2"/>
        <v>41385.418735286279</v>
      </c>
      <c r="D37" s="120">
        <f t="shared" si="2"/>
        <v>18614.581264713717</v>
      </c>
      <c r="E37" s="120">
        <f t="shared" si="2"/>
        <v>4000</v>
      </c>
      <c r="F37" s="120">
        <f t="shared" si="2"/>
        <v>8000</v>
      </c>
      <c r="G37" s="120">
        <f t="shared" si="2"/>
        <v>8000</v>
      </c>
      <c r="H37" s="119">
        <f t="shared" si="3"/>
        <v>80000</v>
      </c>
    </row>
    <row r="38" spans="1:8">
      <c r="A38" s="493"/>
      <c r="B38" s="121" t="s">
        <v>816</v>
      </c>
      <c r="C38" s="120">
        <f t="shared" si="2"/>
        <v>53534.142575571474</v>
      </c>
      <c r="D38" s="120">
        <f t="shared" si="2"/>
        <v>6465.8574244285328</v>
      </c>
      <c r="E38" s="120">
        <f t="shared" si="2"/>
        <v>4000</v>
      </c>
      <c r="F38" s="120">
        <f t="shared" si="2"/>
        <v>8000</v>
      </c>
      <c r="G38" s="120">
        <f t="shared" si="2"/>
        <v>8000</v>
      </c>
      <c r="H38" s="119">
        <f t="shared" si="3"/>
        <v>80000</v>
      </c>
    </row>
    <row r="39" spans="1:8">
      <c r="A39" s="118" t="s">
        <v>825</v>
      </c>
      <c r="B39" s="121"/>
      <c r="C39" s="117">
        <f t="shared" ref="C39:H39" si="4">SUM(C31:C38)*15</f>
        <v>3618509.6644667555</v>
      </c>
      <c r="D39" s="117">
        <f t="shared" si="4"/>
        <v>3581490.3355332455</v>
      </c>
      <c r="E39" s="117">
        <f t="shared" si="4"/>
        <v>480000</v>
      </c>
      <c r="F39" s="117">
        <f t="shared" si="4"/>
        <v>960000</v>
      </c>
      <c r="G39" s="117">
        <f t="shared" si="4"/>
        <v>960000</v>
      </c>
      <c r="H39" s="117">
        <f t="shared" si="4"/>
        <v>9600000</v>
      </c>
    </row>
  </sheetData>
  <mergeCells count="9">
    <mergeCell ref="A31:A32"/>
    <mergeCell ref="A33:A34"/>
    <mergeCell ref="A35:A38"/>
    <mergeCell ref="A6:A7"/>
    <mergeCell ref="A8:A9"/>
    <mergeCell ref="A10:A13"/>
    <mergeCell ref="A20:A21"/>
    <mergeCell ref="A22:A23"/>
    <mergeCell ref="A24:A2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76"/>
  <sheetViews>
    <sheetView topLeftCell="A47" workbookViewId="0"/>
  </sheetViews>
  <sheetFormatPr defaultColWidth="9.1796875" defaultRowHeight="14.5"/>
  <cols>
    <col min="1" max="1" width="11.453125" customWidth="1"/>
    <col min="2" max="2" width="30.1796875" customWidth="1"/>
    <col min="3" max="3" width="17" customWidth="1"/>
    <col min="4" max="4" width="14.453125" customWidth="1"/>
    <col min="5" max="5" width="10.453125" customWidth="1"/>
  </cols>
  <sheetData>
    <row r="1" spans="1:6">
      <c r="A1" s="36"/>
      <c r="B1" s="20" t="s">
        <v>829</v>
      </c>
      <c r="C1" s="36"/>
      <c r="D1" s="36"/>
      <c r="E1" s="36"/>
      <c r="F1" s="36"/>
    </row>
    <row r="2" spans="1:6">
      <c r="A2" s="36"/>
      <c r="B2" s="36"/>
      <c r="C2" s="36"/>
      <c r="D2" s="36"/>
      <c r="E2" s="36"/>
      <c r="F2" s="36"/>
    </row>
    <row r="3" spans="1:6" ht="15" thickBot="1">
      <c r="A3" s="494" t="s">
        <v>830</v>
      </c>
      <c r="B3" s="494"/>
      <c r="C3" s="494"/>
      <c r="D3" s="494"/>
      <c r="E3" s="494"/>
      <c r="F3" s="494"/>
    </row>
    <row r="4" spans="1:6" ht="28.5" thickBot="1">
      <c r="A4" s="37" t="s">
        <v>831</v>
      </c>
      <c r="B4" s="38" t="s">
        <v>832</v>
      </c>
      <c r="C4" s="38" t="s">
        <v>833</v>
      </c>
      <c r="D4" s="38" t="s">
        <v>834</v>
      </c>
      <c r="E4" s="39"/>
      <c r="F4" s="40" t="s">
        <v>835</v>
      </c>
    </row>
    <row r="5" spans="1:6" ht="42">
      <c r="A5" s="495" t="s">
        <v>836</v>
      </c>
      <c r="B5" s="41" t="s">
        <v>837</v>
      </c>
      <c r="C5" s="495"/>
      <c r="D5" s="41" t="s">
        <v>838</v>
      </c>
      <c r="E5" s="41"/>
      <c r="F5" s="495">
        <v>250</v>
      </c>
    </row>
    <row r="6" spans="1:6" ht="42">
      <c r="A6" s="496"/>
      <c r="B6" s="42" t="s">
        <v>839</v>
      </c>
      <c r="C6" s="496"/>
      <c r="D6" s="41" t="s">
        <v>840</v>
      </c>
      <c r="E6" s="41" t="s">
        <v>841</v>
      </c>
      <c r="F6" s="496"/>
    </row>
    <row r="7" spans="1:6" ht="28.5">
      <c r="A7" s="496"/>
      <c r="B7" s="43" t="s">
        <v>842</v>
      </c>
      <c r="C7" s="496"/>
      <c r="D7" s="41"/>
      <c r="E7" s="41"/>
      <c r="F7" s="496"/>
    </row>
    <row r="8" spans="1:6" ht="42">
      <c r="A8" s="496"/>
      <c r="B8" s="42" t="s">
        <v>843</v>
      </c>
      <c r="C8" s="496"/>
      <c r="D8" s="41" t="s">
        <v>844</v>
      </c>
      <c r="E8" s="41"/>
      <c r="F8" s="496"/>
    </row>
    <row r="9" spans="1:6" ht="28.5" thickBot="1">
      <c r="A9" s="496"/>
      <c r="B9" s="42" t="s">
        <v>845</v>
      </c>
      <c r="C9" s="496"/>
      <c r="D9" s="44"/>
      <c r="E9" s="45"/>
      <c r="F9" s="497"/>
    </row>
    <row r="10" spans="1:6" ht="28.5" thickBot="1">
      <c r="A10" s="496"/>
      <c r="B10" s="42" t="s">
        <v>846</v>
      </c>
      <c r="C10" s="496"/>
      <c r="D10" s="44"/>
      <c r="E10" s="45"/>
      <c r="F10" s="46"/>
    </row>
    <row r="11" spans="1:6" ht="15" thickBot="1">
      <c r="A11" s="497"/>
      <c r="B11" s="46"/>
      <c r="C11" s="497"/>
      <c r="D11" s="45"/>
      <c r="E11" s="46" t="s">
        <v>847</v>
      </c>
      <c r="F11" s="46">
        <v>200</v>
      </c>
    </row>
    <row r="12" spans="1:6" ht="42">
      <c r="A12" s="495" t="s">
        <v>848</v>
      </c>
      <c r="B12" s="495" t="s">
        <v>849</v>
      </c>
      <c r="C12" s="495"/>
      <c r="D12" s="41" t="s">
        <v>850</v>
      </c>
      <c r="E12" s="41"/>
      <c r="F12" s="495">
        <v>100</v>
      </c>
    </row>
    <row r="13" spans="1:6" ht="28">
      <c r="A13" s="496"/>
      <c r="B13" s="496"/>
      <c r="C13" s="496"/>
      <c r="D13" s="41" t="s">
        <v>851</v>
      </c>
      <c r="E13" s="41" t="s">
        <v>841</v>
      </c>
      <c r="F13" s="496"/>
    </row>
    <row r="14" spans="1:6" ht="70.5" thickBot="1">
      <c r="A14" s="496"/>
      <c r="B14" s="496"/>
      <c r="C14" s="496"/>
      <c r="D14" s="41" t="s">
        <v>852</v>
      </c>
      <c r="E14" s="46"/>
      <c r="F14" s="497"/>
    </row>
    <row r="15" spans="1:6" ht="15" thickBot="1">
      <c r="A15" s="497"/>
      <c r="B15" s="497"/>
      <c r="C15" s="497"/>
      <c r="D15" s="45"/>
      <c r="E15" s="46" t="s">
        <v>847</v>
      </c>
      <c r="F15" s="46">
        <v>100</v>
      </c>
    </row>
    <row r="16" spans="1:6" ht="42">
      <c r="A16" s="495" t="s">
        <v>853</v>
      </c>
      <c r="B16" s="41" t="s">
        <v>854</v>
      </c>
      <c r="C16" s="495"/>
      <c r="D16" s="41" t="s">
        <v>855</v>
      </c>
      <c r="E16" s="41"/>
      <c r="F16" s="495">
        <v>150</v>
      </c>
    </row>
    <row r="17" spans="1:6" ht="42">
      <c r="A17" s="496"/>
      <c r="B17" s="41" t="s">
        <v>856</v>
      </c>
      <c r="C17" s="496"/>
      <c r="D17" s="41" t="s">
        <v>857</v>
      </c>
      <c r="E17" s="41" t="s">
        <v>858</v>
      </c>
      <c r="F17" s="496"/>
    </row>
    <row r="18" spans="1:6" ht="15" thickBot="1">
      <c r="A18" s="496"/>
      <c r="B18" s="47"/>
      <c r="C18" s="496"/>
      <c r="D18" s="44"/>
      <c r="E18" s="46"/>
      <c r="F18" s="497"/>
    </row>
    <row r="19" spans="1:6" ht="15" thickBot="1">
      <c r="A19" s="497"/>
      <c r="B19" s="45"/>
      <c r="C19" s="497"/>
      <c r="D19" s="45"/>
      <c r="E19" s="46" t="s">
        <v>847</v>
      </c>
      <c r="F19" s="46">
        <v>100</v>
      </c>
    </row>
    <row r="20" spans="1:6" ht="42">
      <c r="A20" s="495" t="s">
        <v>859</v>
      </c>
      <c r="B20" s="41" t="s">
        <v>860</v>
      </c>
      <c r="C20" s="495"/>
      <c r="D20" s="41" t="s">
        <v>861</v>
      </c>
      <c r="E20" s="41"/>
      <c r="F20" s="495">
        <v>100</v>
      </c>
    </row>
    <row r="21" spans="1:6" ht="28">
      <c r="A21" s="496"/>
      <c r="B21" s="498" t="s">
        <v>862</v>
      </c>
      <c r="C21" s="496"/>
      <c r="D21" s="41" t="s">
        <v>863</v>
      </c>
      <c r="E21" s="41" t="s">
        <v>841</v>
      </c>
      <c r="F21" s="496"/>
    </row>
    <row r="22" spans="1:6" ht="42.5" thickBot="1">
      <c r="A22" s="496"/>
      <c r="B22" s="498"/>
      <c r="C22" s="496"/>
      <c r="D22" s="41" t="s">
        <v>864</v>
      </c>
      <c r="E22" s="46"/>
      <c r="F22" s="497"/>
    </row>
    <row r="23" spans="1:6" ht="15" thickBot="1">
      <c r="A23" s="497"/>
      <c r="B23" s="45"/>
      <c r="C23" s="497"/>
      <c r="D23" s="46"/>
      <c r="E23" s="46" t="s">
        <v>847</v>
      </c>
      <c r="F23" s="46">
        <v>100</v>
      </c>
    </row>
    <row r="24" spans="1:6" ht="28">
      <c r="A24" s="495" t="s">
        <v>865</v>
      </c>
      <c r="B24" s="41" t="s">
        <v>866</v>
      </c>
      <c r="C24" s="495"/>
      <c r="D24" s="41" t="s">
        <v>867</v>
      </c>
      <c r="E24" s="41"/>
      <c r="F24" s="495">
        <v>150</v>
      </c>
    </row>
    <row r="25" spans="1:6" ht="28">
      <c r="A25" s="496"/>
      <c r="B25" s="41" t="s">
        <v>868</v>
      </c>
      <c r="C25" s="496"/>
      <c r="D25" s="41" t="s">
        <v>869</v>
      </c>
      <c r="E25" s="41" t="s">
        <v>841</v>
      </c>
      <c r="F25" s="496"/>
    </row>
    <row r="26" spans="1:6" ht="42.5" thickBot="1">
      <c r="A26" s="496"/>
      <c r="B26" s="41" t="s">
        <v>870</v>
      </c>
      <c r="C26" s="496"/>
      <c r="D26" s="41" t="s">
        <v>871</v>
      </c>
      <c r="E26" s="46"/>
      <c r="F26" s="497"/>
    </row>
    <row r="27" spans="1:6" ht="15" thickBot="1">
      <c r="A27" s="497"/>
      <c r="B27" s="46" t="s">
        <v>872</v>
      </c>
      <c r="C27" s="497"/>
      <c r="D27" s="45"/>
      <c r="E27" s="46" t="s">
        <v>847</v>
      </c>
      <c r="F27" s="46">
        <v>100</v>
      </c>
    </row>
    <row r="28" spans="1:6" ht="28">
      <c r="A28" s="495" t="s">
        <v>873</v>
      </c>
      <c r="B28" s="41" t="s">
        <v>874</v>
      </c>
      <c r="C28" s="495"/>
      <c r="D28" s="41" t="s">
        <v>875</v>
      </c>
      <c r="E28" s="41"/>
      <c r="F28" s="495">
        <v>150</v>
      </c>
    </row>
    <row r="29" spans="1:6" ht="28">
      <c r="A29" s="496"/>
      <c r="B29" s="41" t="s">
        <v>868</v>
      </c>
      <c r="C29" s="496"/>
      <c r="D29" s="41" t="s">
        <v>876</v>
      </c>
      <c r="E29" s="41" t="s">
        <v>841</v>
      </c>
      <c r="F29" s="496"/>
    </row>
    <row r="30" spans="1:6" ht="42.5" thickBot="1">
      <c r="A30" s="496"/>
      <c r="B30" s="498" t="s">
        <v>877</v>
      </c>
      <c r="C30" s="496"/>
      <c r="D30" s="41" t="s">
        <v>878</v>
      </c>
      <c r="E30" s="46"/>
      <c r="F30" s="497"/>
    </row>
    <row r="31" spans="1:6" ht="28.5" thickBot="1">
      <c r="A31" s="496"/>
      <c r="B31" s="498"/>
      <c r="C31" s="496"/>
      <c r="D31" s="41" t="s">
        <v>879</v>
      </c>
      <c r="E31" s="46"/>
      <c r="F31" s="46"/>
    </row>
    <row r="32" spans="1:6" ht="42.5" thickBot="1">
      <c r="A32" s="497"/>
      <c r="B32" s="48" t="s">
        <v>880</v>
      </c>
      <c r="C32" s="497"/>
      <c r="D32" s="46" t="s">
        <v>881</v>
      </c>
      <c r="E32" s="46" t="s">
        <v>847</v>
      </c>
      <c r="F32" s="46">
        <v>100</v>
      </c>
    </row>
    <row r="33" spans="1:6" ht="28">
      <c r="A33" s="495" t="s">
        <v>882</v>
      </c>
      <c r="B33" s="41" t="s">
        <v>883</v>
      </c>
      <c r="C33" s="495"/>
      <c r="D33" s="41" t="s">
        <v>884</v>
      </c>
      <c r="E33" s="41"/>
      <c r="F33" s="495">
        <v>150</v>
      </c>
    </row>
    <row r="34" spans="1:6" ht="28">
      <c r="A34" s="496"/>
      <c r="B34" s="41" t="s">
        <v>885</v>
      </c>
      <c r="C34" s="496"/>
      <c r="D34" s="41" t="s">
        <v>886</v>
      </c>
      <c r="E34" s="41" t="s">
        <v>841</v>
      </c>
      <c r="F34" s="496"/>
    </row>
    <row r="35" spans="1:6" ht="15" thickBot="1">
      <c r="A35" s="496"/>
      <c r="B35" s="41" t="s">
        <v>887</v>
      </c>
      <c r="C35" s="496"/>
      <c r="D35" s="41" t="s">
        <v>888</v>
      </c>
      <c r="E35" s="46"/>
      <c r="F35" s="497"/>
    </row>
    <row r="36" spans="1:6" ht="15" thickBot="1">
      <c r="A36" s="497"/>
      <c r="B36" s="45"/>
      <c r="C36" s="497"/>
      <c r="D36" s="45"/>
      <c r="E36" s="46" t="s">
        <v>847</v>
      </c>
      <c r="F36" s="46">
        <v>100</v>
      </c>
    </row>
    <row r="37" spans="1:6">
      <c r="A37" s="495" t="s">
        <v>889</v>
      </c>
      <c r="B37" s="41" t="s">
        <v>890</v>
      </c>
      <c r="C37" s="495"/>
      <c r="D37" s="41"/>
      <c r="E37" s="41"/>
      <c r="F37" s="495">
        <v>150</v>
      </c>
    </row>
    <row r="38" spans="1:6" ht="28">
      <c r="A38" s="496"/>
      <c r="B38" s="41" t="s">
        <v>891</v>
      </c>
      <c r="C38" s="496"/>
      <c r="D38" s="41" t="s">
        <v>892</v>
      </c>
      <c r="E38" s="41" t="s">
        <v>858</v>
      </c>
      <c r="F38" s="496"/>
    </row>
    <row r="39" spans="1:6" ht="28.5" thickBot="1">
      <c r="A39" s="496"/>
      <c r="B39" s="44"/>
      <c r="C39" s="496"/>
      <c r="D39" s="41" t="s">
        <v>893</v>
      </c>
      <c r="E39" s="46"/>
      <c r="F39" s="497"/>
    </row>
    <row r="40" spans="1:6" ht="15" thickBot="1">
      <c r="A40" s="497"/>
      <c r="B40" s="45"/>
      <c r="C40" s="497"/>
      <c r="D40" s="45"/>
      <c r="E40" s="46" t="s">
        <v>847</v>
      </c>
      <c r="F40" s="46">
        <v>100</v>
      </c>
    </row>
    <row r="41" spans="1:6" ht="28">
      <c r="A41" s="495" t="s">
        <v>894</v>
      </c>
      <c r="B41" s="41" t="s">
        <v>895</v>
      </c>
      <c r="C41" s="495"/>
      <c r="D41" s="41" t="s">
        <v>896</v>
      </c>
      <c r="E41" s="41"/>
      <c r="F41" s="495">
        <v>150</v>
      </c>
    </row>
    <row r="42" spans="1:6" ht="28">
      <c r="A42" s="496"/>
      <c r="B42" s="41" t="s">
        <v>897</v>
      </c>
      <c r="C42" s="496"/>
      <c r="D42" s="41" t="s">
        <v>898</v>
      </c>
      <c r="E42" s="41" t="s">
        <v>858</v>
      </c>
      <c r="F42" s="496"/>
    </row>
    <row r="43" spans="1:6" ht="15" thickBot="1">
      <c r="A43" s="496"/>
      <c r="B43" s="44"/>
      <c r="C43" s="496"/>
      <c r="D43" s="41"/>
      <c r="E43" s="46"/>
      <c r="F43" s="497"/>
    </row>
    <row r="44" spans="1:6" ht="15" thickBot="1">
      <c r="A44" s="497"/>
      <c r="B44" s="45"/>
      <c r="C44" s="497"/>
      <c r="D44" s="45"/>
      <c r="E44" s="46" t="s">
        <v>847</v>
      </c>
      <c r="F44" s="46">
        <v>100</v>
      </c>
    </row>
    <row r="45" spans="1:6" ht="28">
      <c r="A45" s="499" t="s">
        <v>899</v>
      </c>
      <c r="B45" s="495" t="s">
        <v>900</v>
      </c>
      <c r="C45" s="495"/>
      <c r="D45" s="41" t="s">
        <v>901</v>
      </c>
      <c r="E45" s="41"/>
      <c r="F45" s="495">
        <v>150</v>
      </c>
    </row>
    <row r="46" spans="1:6" ht="28">
      <c r="A46" s="500"/>
      <c r="B46" s="496"/>
      <c r="C46" s="496"/>
      <c r="D46" s="41" t="s">
        <v>902</v>
      </c>
      <c r="E46" s="41" t="s">
        <v>858</v>
      </c>
      <c r="F46" s="496"/>
    </row>
    <row r="47" spans="1:6" ht="15" thickBot="1">
      <c r="A47" s="500"/>
      <c r="B47" s="496"/>
      <c r="C47" s="496"/>
      <c r="D47" s="41" t="s">
        <v>903</v>
      </c>
      <c r="E47" s="46"/>
      <c r="F47" s="497"/>
    </row>
    <row r="48" spans="1:6" ht="15" thickBot="1">
      <c r="A48" s="501"/>
      <c r="B48" s="497"/>
      <c r="C48" s="497"/>
      <c r="D48" s="45"/>
      <c r="E48" s="46" t="s">
        <v>847</v>
      </c>
      <c r="F48" s="46">
        <v>100</v>
      </c>
    </row>
    <row r="49" spans="1:6">
      <c r="A49" s="507" t="s">
        <v>904</v>
      </c>
      <c r="B49" s="508"/>
      <c r="C49" s="508"/>
      <c r="D49" s="508"/>
      <c r="E49" s="509"/>
      <c r="F49" s="510">
        <f>SUM(F5:F48)</f>
        <v>2600</v>
      </c>
    </row>
    <row r="50" spans="1:6" ht="15" thickBot="1">
      <c r="A50" s="512" t="s">
        <v>905</v>
      </c>
      <c r="B50" s="513"/>
      <c r="C50" s="513"/>
      <c r="D50" s="513"/>
      <c r="E50" s="514"/>
      <c r="F50" s="511"/>
    </row>
    <row r="51" spans="1:6">
      <c r="A51" s="507" t="s">
        <v>906</v>
      </c>
      <c r="B51" s="508"/>
      <c r="C51" s="508"/>
      <c r="D51" s="508"/>
      <c r="E51" s="509"/>
      <c r="F51" s="510">
        <v>1100</v>
      </c>
    </row>
    <row r="52" spans="1:6" ht="15" thickBot="1">
      <c r="A52" s="512" t="s">
        <v>907</v>
      </c>
      <c r="B52" s="513"/>
      <c r="C52" s="513"/>
      <c r="D52" s="513"/>
      <c r="E52" s="514"/>
      <c r="F52" s="511"/>
    </row>
    <row r="53" spans="1:6">
      <c r="A53" s="515" t="s">
        <v>908</v>
      </c>
      <c r="B53" s="516"/>
      <c r="C53" s="517"/>
      <c r="D53" s="49"/>
      <c r="E53" s="49"/>
      <c r="F53" s="49"/>
    </row>
    <row r="54" spans="1:6" ht="15" thickBot="1">
      <c r="A54" s="519" t="s">
        <v>909</v>
      </c>
      <c r="B54" s="520"/>
      <c r="C54" s="518"/>
      <c r="D54" s="50">
        <v>1</v>
      </c>
      <c r="E54" s="50" t="s">
        <v>910</v>
      </c>
      <c r="F54" s="51">
        <v>99.4</v>
      </c>
    </row>
    <row r="55" spans="1:6" ht="26.9" customHeight="1">
      <c r="A55" s="521" t="s">
        <v>911</v>
      </c>
      <c r="B55" s="522"/>
      <c r="C55" s="522"/>
      <c r="D55" s="522"/>
      <c r="E55" s="523"/>
      <c r="F55" s="502">
        <f>F49+F54</f>
        <v>2699.4</v>
      </c>
    </row>
    <row r="56" spans="1:6" ht="51" customHeight="1" thickBot="1">
      <c r="A56" s="504" t="s">
        <v>912</v>
      </c>
      <c r="B56" s="505"/>
      <c r="C56" s="505"/>
      <c r="D56" s="505"/>
      <c r="E56" s="506"/>
      <c r="F56" s="503"/>
    </row>
    <row r="57" spans="1:6">
      <c r="A57" s="521" t="s">
        <v>913</v>
      </c>
      <c r="B57" s="522"/>
      <c r="C57" s="522"/>
      <c r="D57" s="522"/>
      <c r="E57" s="523"/>
      <c r="F57" s="502">
        <f>F51+F54</f>
        <v>1199.4000000000001</v>
      </c>
    </row>
    <row r="58" spans="1:6">
      <c r="A58" s="526" t="s">
        <v>906</v>
      </c>
      <c r="B58" s="527"/>
      <c r="C58" s="527"/>
      <c r="D58" s="527"/>
      <c r="E58" s="528"/>
      <c r="F58" s="525"/>
    </row>
    <row r="59" spans="1:6" ht="15" thickBot="1">
      <c r="A59" s="504" t="s">
        <v>907</v>
      </c>
      <c r="B59" s="505"/>
      <c r="C59" s="505"/>
      <c r="D59" s="505"/>
      <c r="E59" s="506"/>
      <c r="F59" s="503"/>
    </row>
    <row r="60" spans="1:6">
      <c r="A60" s="529" t="s">
        <v>914</v>
      </c>
      <c r="B60" s="529"/>
      <c r="C60" s="529"/>
      <c r="D60" s="529"/>
      <c r="E60" s="529"/>
      <c r="F60" s="529"/>
    </row>
    <row r="61" spans="1:6" ht="15" thickBot="1">
      <c r="A61" s="21"/>
      <c r="B61" s="524" t="s">
        <v>915</v>
      </c>
      <c r="C61" s="524"/>
      <c r="D61" s="524"/>
      <c r="E61" s="524"/>
      <c r="F61" s="36"/>
    </row>
    <row r="62" spans="1:6" ht="15" thickBot="1">
      <c r="A62" s="22" t="s">
        <v>916</v>
      </c>
      <c r="B62" s="23" t="s">
        <v>917</v>
      </c>
      <c r="C62" s="23" t="s">
        <v>918</v>
      </c>
      <c r="D62" s="23" t="s">
        <v>919</v>
      </c>
      <c r="E62" s="23" t="s">
        <v>920</v>
      </c>
      <c r="F62" s="36"/>
    </row>
    <row r="63" spans="1:6" ht="15" thickBot="1">
      <c r="A63" s="24">
        <v>1</v>
      </c>
      <c r="B63" s="25" t="s">
        <v>921</v>
      </c>
      <c r="C63" s="25">
        <v>1</v>
      </c>
      <c r="D63" s="26">
        <v>4</v>
      </c>
      <c r="E63" s="27">
        <f>D63*C63</f>
        <v>4</v>
      </c>
      <c r="F63" s="36"/>
    </row>
    <row r="64" spans="1:6" ht="15" thickBot="1">
      <c r="A64" s="24">
        <v>2</v>
      </c>
      <c r="B64" s="25" t="s">
        <v>922</v>
      </c>
      <c r="C64" s="25">
        <v>1</v>
      </c>
      <c r="D64" s="26">
        <v>4</v>
      </c>
      <c r="E64" s="27">
        <f t="shared" ref="E64:E74" si="0">D64*C64</f>
        <v>4</v>
      </c>
      <c r="F64" s="36"/>
    </row>
    <row r="65" spans="1:6" ht="15" thickBot="1">
      <c r="A65" s="24">
        <v>3</v>
      </c>
      <c r="B65" s="25" t="s">
        <v>923</v>
      </c>
      <c r="C65" s="25">
        <v>1</v>
      </c>
      <c r="D65" s="26">
        <v>3</v>
      </c>
      <c r="E65" s="27">
        <f t="shared" si="0"/>
        <v>3</v>
      </c>
      <c r="F65" s="36"/>
    </row>
    <row r="66" spans="1:6" ht="15" thickBot="1">
      <c r="A66" s="24">
        <v>4</v>
      </c>
      <c r="B66" s="25" t="s">
        <v>924</v>
      </c>
      <c r="C66" s="25">
        <v>1</v>
      </c>
      <c r="D66" s="26">
        <v>0.5</v>
      </c>
      <c r="E66" s="27">
        <f t="shared" si="0"/>
        <v>0.5</v>
      </c>
      <c r="F66" s="36"/>
    </row>
    <row r="67" spans="1:6" ht="15" thickBot="1">
      <c r="A67" s="24">
        <v>5</v>
      </c>
      <c r="B67" s="25" t="s">
        <v>925</v>
      </c>
      <c r="C67" s="25">
        <v>1</v>
      </c>
      <c r="D67" s="26">
        <v>0.3</v>
      </c>
      <c r="E67" s="27">
        <f t="shared" si="0"/>
        <v>0.3</v>
      </c>
      <c r="F67" s="36"/>
    </row>
    <row r="68" spans="1:6" ht="15" thickBot="1">
      <c r="A68" s="24">
        <v>6</v>
      </c>
      <c r="B68" s="25" t="s">
        <v>926</v>
      </c>
      <c r="C68" s="25">
        <v>1</v>
      </c>
      <c r="D68" s="26">
        <v>0.6</v>
      </c>
      <c r="E68" s="27">
        <f t="shared" si="0"/>
        <v>0.6</v>
      </c>
      <c r="F68" s="36"/>
    </row>
    <row r="69" spans="1:6" ht="15" thickBot="1">
      <c r="A69" s="24">
        <v>7</v>
      </c>
      <c r="B69" s="28" t="s">
        <v>927</v>
      </c>
      <c r="C69" s="25">
        <v>1</v>
      </c>
      <c r="D69" s="26">
        <v>0.5</v>
      </c>
      <c r="E69" s="27">
        <f t="shared" si="0"/>
        <v>0.5</v>
      </c>
      <c r="F69" s="36"/>
    </row>
    <row r="70" spans="1:6" ht="15" thickBot="1">
      <c r="A70" s="24">
        <v>9</v>
      </c>
      <c r="B70" s="25" t="s">
        <v>928</v>
      </c>
      <c r="C70" s="25">
        <v>2</v>
      </c>
      <c r="D70" s="26">
        <v>1</v>
      </c>
      <c r="E70" s="27">
        <f t="shared" si="0"/>
        <v>2</v>
      </c>
      <c r="F70" s="36"/>
    </row>
    <row r="71" spans="1:6" ht="15" thickBot="1">
      <c r="A71" s="24">
        <v>10</v>
      </c>
      <c r="B71" s="25" t="s">
        <v>929</v>
      </c>
      <c r="C71" s="25">
        <v>3</v>
      </c>
      <c r="D71" s="26">
        <v>2</v>
      </c>
      <c r="E71" s="27">
        <f t="shared" si="0"/>
        <v>6</v>
      </c>
      <c r="F71" s="36"/>
    </row>
    <row r="72" spans="1:6" ht="15" thickBot="1">
      <c r="A72" s="24">
        <v>12</v>
      </c>
      <c r="B72" s="25" t="s">
        <v>930</v>
      </c>
      <c r="C72" s="25">
        <v>1</v>
      </c>
      <c r="D72" s="26">
        <v>40</v>
      </c>
      <c r="E72" s="27">
        <f t="shared" si="0"/>
        <v>40</v>
      </c>
      <c r="F72" s="36"/>
    </row>
    <row r="73" spans="1:6" ht="15" thickBot="1">
      <c r="A73" s="24">
        <v>13</v>
      </c>
      <c r="B73" s="25" t="s">
        <v>931</v>
      </c>
      <c r="C73" s="25">
        <v>30</v>
      </c>
      <c r="D73" s="26">
        <v>1</v>
      </c>
      <c r="E73" s="27">
        <f t="shared" si="0"/>
        <v>30</v>
      </c>
      <c r="F73" s="36"/>
    </row>
    <row r="74" spans="1:6" ht="15" thickBot="1">
      <c r="A74" s="24">
        <v>14</v>
      </c>
      <c r="B74" s="28" t="s">
        <v>932</v>
      </c>
      <c r="C74" s="25">
        <v>2</v>
      </c>
      <c r="D74" s="26">
        <v>4</v>
      </c>
      <c r="E74" s="27">
        <f t="shared" si="0"/>
        <v>8</v>
      </c>
      <c r="F74" s="36"/>
    </row>
    <row r="75" spans="1:6" ht="15" thickBot="1">
      <c r="A75" s="24">
        <v>15</v>
      </c>
      <c r="B75" s="29" t="s">
        <v>933</v>
      </c>
      <c r="C75" s="29">
        <v>1</v>
      </c>
      <c r="D75" s="30">
        <v>0.5</v>
      </c>
      <c r="E75" s="27">
        <f>D75</f>
        <v>0.5</v>
      </c>
      <c r="F75" s="36"/>
    </row>
    <row r="76" spans="1:6" ht="15" thickBot="1">
      <c r="A76" s="31"/>
      <c r="B76" s="32" t="s">
        <v>934</v>
      </c>
      <c r="C76" s="33"/>
      <c r="D76" s="34"/>
      <c r="E76" s="35">
        <f>SUM(E63:E75)</f>
        <v>99.4</v>
      </c>
      <c r="F76" s="36"/>
    </row>
  </sheetData>
  <mergeCells count="53">
    <mergeCell ref="B61:E61"/>
    <mergeCell ref="A57:E57"/>
    <mergeCell ref="F57:F59"/>
    <mergeCell ref="A58:E58"/>
    <mergeCell ref="A59:E59"/>
    <mergeCell ref="A60:F60"/>
    <mergeCell ref="F55:F56"/>
    <mergeCell ref="A56:E56"/>
    <mergeCell ref="A49:E49"/>
    <mergeCell ref="F49:F50"/>
    <mergeCell ref="A50:E50"/>
    <mergeCell ref="A51:E51"/>
    <mergeCell ref="F51:F52"/>
    <mergeCell ref="A52:E52"/>
    <mergeCell ref="A53:B53"/>
    <mergeCell ref="C53:C54"/>
    <mergeCell ref="A54:B54"/>
    <mergeCell ref="A55:E55"/>
    <mergeCell ref="A41:A44"/>
    <mergeCell ref="C41:C44"/>
    <mergeCell ref="F41:F43"/>
    <mergeCell ref="A45:A48"/>
    <mergeCell ref="B45:B48"/>
    <mergeCell ref="C45:C48"/>
    <mergeCell ref="F45:F47"/>
    <mergeCell ref="A33:A36"/>
    <mergeCell ref="C33:C36"/>
    <mergeCell ref="F33:F35"/>
    <mergeCell ref="A37:A40"/>
    <mergeCell ref="C37:C40"/>
    <mergeCell ref="F37:F39"/>
    <mergeCell ref="A24:A27"/>
    <mergeCell ref="C24:C27"/>
    <mergeCell ref="F24:F26"/>
    <mergeCell ref="A28:A32"/>
    <mergeCell ref="C28:C32"/>
    <mergeCell ref="F28:F30"/>
    <mergeCell ref="B30:B31"/>
    <mergeCell ref="A16:A19"/>
    <mergeCell ref="C16:C19"/>
    <mergeCell ref="F16:F18"/>
    <mergeCell ref="A20:A23"/>
    <mergeCell ref="C20:C23"/>
    <mergeCell ref="F20:F22"/>
    <mergeCell ref="B21:B22"/>
    <mergeCell ref="A3:F3"/>
    <mergeCell ref="A5:A11"/>
    <mergeCell ref="C5:C11"/>
    <mergeCell ref="F5:F9"/>
    <mergeCell ref="A12:A15"/>
    <mergeCell ref="B12:B15"/>
    <mergeCell ref="C12:C15"/>
    <mergeCell ref="F12:F1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0"/>
  <sheetViews>
    <sheetView workbookViewId="0">
      <selection activeCell="H22" sqref="H22"/>
    </sheetView>
  </sheetViews>
  <sheetFormatPr defaultRowHeight="14.5"/>
  <cols>
    <col min="1" max="1" width="16" customWidth="1"/>
  </cols>
  <sheetData>
    <row r="1" spans="1:8">
      <c r="A1" s="6" t="s">
        <v>935</v>
      </c>
    </row>
    <row r="2" spans="1:8">
      <c r="A2" t="s">
        <v>794</v>
      </c>
      <c r="B2">
        <v>1000</v>
      </c>
    </row>
    <row r="3" spans="1:8">
      <c r="A3" t="s">
        <v>795</v>
      </c>
      <c r="B3">
        <v>1000</v>
      </c>
    </row>
    <row r="4" spans="1:8">
      <c r="A4" t="s">
        <v>796</v>
      </c>
      <c r="B4">
        <v>1000</v>
      </c>
    </row>
    <row r="5" spans="1:8">
      <c r="A5" t="s">
        <v>608</v>
      </c>
      <c r="B5">
        <f>SUM(B2:B4)</f>
        <v>3000</v>
      </c>
    </row>
    <row r="7" spans="1:8">
      <c r="A7" s="6" t="s">
        <v>936</v>
      </c>
    </row>
    <row r="8" spans="1:8">
      <c r="A8">
        <v>3</v>
      </c>
    </row>
    <row r="10" spans="1:8">
      <c r="A10" s="6" t="s">
        <v>798</v>
      </c>
    </row>
    <row r="11" spans="1:8">
      <c r="A11">
        <v>8</v>
      </c>
    </row>
    <row r="13" spans="1:8">
      <c r="A13" t="s">
        <v>799</v>
      </c>
    </row>
    <row r="14" spans="1:8">
      <c r="B14">
        <v>1</v>
      </c>
      <c r="C14">
        <v>2</v>
      </c>
      <c r="D14">
        <v>3</v>
      </c>
      <c r="E14">
        <v>4</v>
      </c>
      <c r="F14">
        <v>5</v>
      </c>
      <c r="G14">
        <v>6</v>
      </c>
      <c r="H14">
        <v>7</v>
      </c>
    </row>
    <row r="15" spans="1:8">
      <c r="B15">
        <f>$B$2*$A$8*$A$11</f>
        <v>24000</v>
      </c>
      <c r="C15">
        <f>$B$3*$A$8*$A$11</f>
        <v>24000</v>
      </c>
      <c r="D15">
        <f>$B$4*$A$8*$A$11</f>
        <v>24000</v>
      </c>
    </row>
    <row r="16" spans="1:8">
      <c r="C16">
        <f>$B$2*$A$8*$A$11</f>
        <v>24000</v>
      </c>
      <c r="D16">
        <f>$B$3*$A$8*$A$11</f>
        <v>24000</v>
      </c>
      <c r="E16">
        <f>$B$4*$A$8*$A$11</f>
        <v>24000</v>
      </c>
    </row>
    <row r="17" spans="1:8">
      <c r="D17">
        <f>$B$2*$A$8*$A$11</f>
        <v>24000</v>
      </c>
      <c r="E17">
        <f>$B$3*$A$8*$A$11</f>
        <v>24000</v>
      </c>
      <c r="F17">
        <f>$B$4*$A$8*$A$11</f>
        <v>24000</v>
      </c>
    </row>
    <row r="18" spans="1:8">
      <c r="E18">
        <f>$B$2*$A$8*$A$11</f>
        <v>24000</v>
      </c>
      <c r="F18">
        <f>$B$3*$A$8*$A$11</f>
        <v>24000</v>
      </c>
      <c r="G18">
        <f>$B$4*$A$8*$A$11</f>
        <v>24000</v>
      </c>
    </row>
    <row r="19" spans="1:8">
      <c r="F19">
        <f>$B$2*$A$8*$A$11</f>
        <v>24000</v>
      </c>
      <c r="G19">
        <f>$B$3*$A$8*$A$11</f>
        <v>24000</v>
      </c>
      <c r="H19">
        <f>$B$4*$A$8*$A$11</f>
        <v>24000</v>
      </c>
    </row>
    <row r="20" spans="1:8">
      <c r="A20" s="6" t="s">
        <v>608</v>
      </c>
      <c r="B20" s="6">
        <f>SUM(B15:B19)</f>
        <v>24000</v>
      </c>
      <c r="C20" s="6">
        <f t="shared" ref="C20:H20" si="0">SUM(C15:C19)</f>
        <v>48000</v>
      </c>
      <c r="D20" s="6">
        <f t="shared" si="0"/>
        <v>72000</v>
      </c>
      <c r="E20" s="6">
        <f t="shared" si="0"/>
        <v>72000</v>
      </c>
      <c r="F20" s="6">
        <f t="shared" si="0"/>
        <v>72000</v>
      </c>
      <c r="G20" s="6">
        <f t="shared" si="0"/>
        <v>48000</v>
      </c>
      <c r="H20" s="6">
        <f t="shared" si="0"/>
        <v>24000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B0851-26A5-451E-BE8B-3BA707EEB4CA}">
  <dimension ref="A1:AE195"/>
  <sheetViews>
    <sheetView tabSelected="1" zoomScale="80" zoomScaleNormal="80" workbookViewId="0">
      <pane ySplit="1" topLeftCell="A138" activePane="bottomLeft" state="frozen"/>
      <selection pane="bottomLeft" activeCell="B146" sqref="B146"/>
    </sheetView>
  </sheetViews>
  <sheetFormatPr defaultColWidth="8.81640625" defaultRowHeight="13"/>
  <cols>
    <col min="1" max="1" width="11" style="321" customWidth="1"/>
    <col min="2" max="2" width="129.54296875" style="136" customWidth="1"/>
    <col min="3" max="3" width="26.54296875" style="5" customWidth="1"/>
    <col min="4" max="4" width="13" style="5" customWidth="1"/>
    <col min="5" max="5" width="14.54296875" style="5" customWidth="1"/>
    <col min="6" max="6" width="14.26953125" style="5" customWidth="1"/>
    <col min="7" max="7" width="14.1796875" style="5" customWidth="1"/>
    <col min="8" max="8" width="13.54296875" style="5" customWidth="1"/>
    <col min="9" max="9" width="12.453125" style="5" customWidth="1"/>
    <col min="10" max="10" width="12.26953125" style="5" customWidth="1"/>
    <col min="11" max="11" width="15.26953125" style="5" customWidth="1"/>
    <col min="12" max="12" width="14.81640625" style="5" customWidth="1"/>
    <col min="13" max="13" width="10.1796875" style="5" customWidth="1"/>
    <col min="14" max="15" width="12" style="5" bestFit="1" customWidth="1"/>
    <col min="16" max="16384" width="8.81640625" style="5"/>
  </cols>
  <sheetData>
    <row r="1" spans="1:13">
      <c r="A1" s="470" t="s">
        <v>362</v>
      </c>
      <c r="B1" s="470"/>
      <c r="C1" s="335" t="s">
        <v>363</v>
      </c>
      <c r="D1" s="335" t="s">
        <v>364</v>
      </c>
      <c r="E1" s="335" t="s">
        <v>365</v>
      </c>
      <c r="F1" s="335" t="s">
        <v>366</v>
      </c>
      <c r="G1" s="335" t="s">
        <v>367</v>
      </c>
      <c r="H1" s="335" t="s">
        <v>368</v>
      </c>
      <c r="I1" s="335" t="s">
        <v>369</v>
      </c>
      <c r="J1" s="335" t="s">
        <v>370</v>
      </c>
      <c r="K1" s="335" t="s">
        <v>371</v>
      </c>
      <c r="L1" s="335" t="s">
        <v>372</v>
      </c>
      <c r="M1" s="335" t="s">
        <v>373</v>
      </c>
    </row>
    <row r="2" spans="1:13">
      <c r="A2" s="311"/>
      <c r="B2" s="327"/>
      <c r="C2" s="328"/>
      <c r="D2" s="328"/>
      <c r="E2" s="329"/>
      <c r="F2" s="329"/>
      <c r="G2" s="329"/>
      <c r="H2" s="329"/>
      <c r="I2" s="329"/>
      <c r="J2" s="329"/>
      <c r="K2" s="329"/>
      <c r="L2" s="329"/>
      <c r="M2" s="329"/>
    </row>
    <row r="3" spans="1:13" s="132" customFormat="1" ht="20.25" customHeight="1">
      <c r="A3" s="311" t="s">
        <v>29</v>
      </c>
      <c r="B3" s="338" t="s">
        <v>374</v>
      </c>
      <c r="C3" s="309" t="s">
        <v>375</v>
      </c>
      <c r="D3" s="310">
        <v>5</v>
      </c>
      <c r="E3" s="312">
        <v>57358</v>
      </c>
      <c r="F3" s="312">
        <f>D3*E3</f>
        <v>286790</v>
      </c>
      <c r="G3" s="312">
        <f>$E$3</f>
        <v>57358</v>
      </c>
      <c r="H3" s="312">
        <f>$E$3</f>
        <v>57358</v>
      </c>
      <c r="I3" s="312">
        <f t="shared" ref="I3:K3" si="0">$E$3</f>
        <v>57358</v>
      </c>
      <c r="J3" s="312">
        <f t="shared" si="0"/>
        <v>57358</v>
      </c>
      <c r="K3" s="312">
        <f t="shared" si="0"/>
        <v>57358</v>
      </c>
      <c r="L3" s="312"/>
      <c r="M3" s="312"/>
    </row>
    <row r="4" spans="1:13" s="132" customFormat="1" ht="30" customHeight="1">
      <c r="A4" s="311" t="s">
        <v>31</v>
      </c>
      <c r="B4" s="338" t="s">
        <v>376</v>
      </c>
      <c r="C4" s="310" t="s">
        <v>377</v>
      </c>
      <c r="D4" s="310">
        <v>120</v>
      </c>
      <c r="E4" s="312">
        <v>800</v>
      </c>
      <c r="F4" s="312">
        <f>D4*E4</f>
        <v>96000</v>
      </c>
      <c r="G4" s="312">
        <f>$F$4</f>
        <v>96000</v>
      </c>
      <c r="H4" s="312"/>
      <c r="I4" s="312"/>
      <c r="J4" s="312"/>
      <c r="K4" s="312"/>
      <c r="L4" s="312"/>
      <c r="M4" s="312"/>
    </row>
    <row r="5" spans="1:13" s="132" customFormat="1" ht="31.5" customHeight="1">
      <c r="A5" s="311" t="s">
        <v>33</v>
      </c>
      <c r="B5" s="338" t="s">
        <v>378</v>
      </c>
      <c r="C5" s="310" t="s">
        <v>379</v>
      </c>
      <c r="D5" s="310">
        <v>4</v>
      </c>
      <c r="E5" s="312">
        <v>18000</v>
      </c>
      <c r="F5" s="312">
        <f>D5*E5</f>
        <v>72000</v>
      </c>
      <c r="G5" s="312">
        <f>$F$5</f>
        <v>72000</v>
      </c>
      <c r="H5" s="312"/>
      <c r="I5" s="312"/>
      <c r="J5" s="312"/>
      <c r="K5" s="312"/>
      <c r="L5" s="312"/>
      <c r="M5" s="312"/>
    </row>
    <row r="6" spans="1:13" s="132" customFormat="1" ht="26">
      <c r="A6" s="311" t="s">
        <v>35</v>
      </c>
      <c r="B6" s="338" t="s">
        <v>380</v>
      </c>
      <c r="C6" s="310" t="s">
        <v>381</v>
      </c>
      <c r="D6" s="310">
        <v>12</v>
      </c>
      <c r="E6" s="312">
        <v>1600</v>
      </c>
      <c r="F6" s="312">
        <f>D6*E6</f>
        <v>19200</v>
      </c>
      <c r="G6" s="312">
        <f>$F$6</f>
        <v>19200</v>
      </c>
      <c r="H6" s="312"/>
      <c r="I6" s="312"/>
      <c r="J6" s="312"/>
      <c r="K6" s="312"/>
      <c r="L6" s="312"/>
      <c r="M6" s="312"/>
    </row>
    <row r="7" spans="1:13" s="132" customFormat="1" ht="39">
      <c r="A7" s="311" t="s">
        <v>36</v>
      </c>
      <c r="B7" s="338" t="s">
        <v>382</v>
      </c>
      <c r="C7" s="310" t="s">
        <v>381</v>
      </c>
      <c r="D7" s="310">
        <v>3</v>
      </c>
      <c r="E7" s="312">
        <v>10350</v>
      </c>
      <c r="F7" s="312">
        <f>D7*E7</f>
        <v>31050</v>
      </c>
      <c r="G7" s="312">
        <f>$F$7</f>
        <v>31050</v>
      </c>
      <c r="H7" s="312"/>
      <c r="I7" s="312"/>
      <c r="J7" s="312"/>
      <c r="K7" s="312"/>
      <c r="L7" s="312"/>
      <c r="M7" s="312"/>
    </row>
    <row r="8" spans="1:13" s="132" customFormat="1" ht="26">
      <c r="A8" s="311" t="s">
        <v>39</v>
      </c>
      <c r="B8" s="338" t="s">
        <v>383</v>
      </c>
      <c r="C8" s="310" t="s">
        <v>38</v>
      </c>
      <c r="D8" s="310"/>
      <c r="E8" s="312"/>
      <c r="F8" s="312"/>
      <c r="G8" s="312"/>
      <c r="H8" s="312"/>
      <c r="I8" s="312"/>
      <c r="J8" s="312"/>
      <c r="K8" s="312"/>
      <c r="L8" s="312"/>
      <c r="M8" s="312"/>
    </row>
    <row r="9" spans="1:13" s="132" customFormat="1" ht="39">
      <c r="A9" s="311" t="s">
        <v>41</v>
      </c>
      <c r="B9" s="309" t="s">
        <v>384</v>
      </c>
      <c r="C9" s="310" t="s">
        <v>385</v>
      </c>
      <c r="D9" s="310">
        <v>6</v>
      </c>
      <c r="E9" s="312">
        <v>20000</v>
      </c>
      <c r="F9" s="312">
        <f t="shared" ref="F9" si="1">D9*E9</f>
        <v>120000</v>
      </c>
      <c r="G9" s="312">
        <f t="shared" ref="G9" si="2">F9</f>
        <v>120000</v>
      </c>
      <c r="H9" s="312"/>
      <c r="I9" s="312"/>
      <c r="J9" s="312"/>
      <c r="K9" s="312"/>
      <c r="L9" s="312"/>
      <c r="M9" s="312"/>
    </row>
    <row r="10" spans="1:13" s="132" customFormat="1">
      <c r="A10" s="311" t="s">
        <v>44</v>
      </c>
      <c r="B10" s="338"/>
      <c r="C10" s="310"/>
      <c r="D10" s="310"/>
      <c r="E10" s="312"/>
      <c r="F10" s="312"/>
      <c r="G10" s="312"/>
      <c r="H10" s="312">
        <f>F10</f>
        <v>0</v>
      </c>
      <c r="I10" s="312"/>
      <c r="J10" s="312"/>
      <c r="K10" s="312"/>
      <c r="L10" s="312"/>
      <c r="M10" s="312"/>
    </row>
    <row r="11" spans="1:13" s="132" customFormat="1">
      <c r="A11" s="311" t="s">
        <v>45</v>
      </c>
      <c r="B11" s="338" t="s">
        <v>386</v>
      </c>
      <c r="C11" s="310" t="s">
        <v>377</v>
      </c>
      <c r="D11" s="310">
        <v>120</v>
      </c>
      <c r="E11" s="312">
        <v>800</v>
      </c>
      <c r="F11" s="312">
        <f>D11*E11</f>
        <v>96000</v>
      </c>
      <c r="G11" s="312"/>
      <c r="H11" s="312">
        <f t="shared" ref="H11:H16" si="3">F11</f>
        <v>96000</v>
      </c>
      <c r="I11" s="312"/>
      <c r="J11" s="312"/>
      <c r="K11" s="312"/>
      <c r="L11" s="312"/>
      <c r="M11" s="312"/>
    </row>
    <row r="12" spans="1:13" s="132" customFormat="1" ht="26">
      <c r="A12" s="311" t="s">
        <v>46</v>
      </c>
      <c r="B12" s="338" t="s">
        <v>387</v>
      </c>
      <c r="C12" s="310" t="s">
        <v>379</v>
      </c>
      <c r="D12" s="310">
        <v>4</v>
      </c>
      <c r="E12" s="312">
        <v>6000</v>
      </c>
      <c r="F12" s="312">
        <f>D12*E12</f>
        <v>24000</v>
      </c>
      <c r="G12" s="312"/>
      <c r="H12" s="312">
        <f t="shared" si="3"/>
        <v>24000</v>
      </c>
      <c r="I12" s="312"/>
      <c r="J12" s="312"/>
      <c r="K12" s="312"/>
      <c r="L12" s="312"/>
      <c r="M12" s="312"/>
    </row>
    <row r="13" spans="1:13" s="132" customFormat="1" ht="26">
      <c r="A13" s="311" t="s">
        <v>47</v>
      </c>
      <c r="B13" s="338" t="s">
        <v>380</v>
      </c>
      <c r="C13" s="310" t="s">
        <v>381</v>
      </c>
      <c r="D13" s="310">
        <v>12</v>
      </c>
      <c r="E13" s="312">
        <v>1600</v>
      </c>
      <c r="F13" s="312">
        <f>D13*E13</f>
        <v>19200</v>
      </c>
      <c r="G13" s="312"/>
      <c r="H13" s="312">
        <f t="shared" si="3"/>
        <v>19200</v>
      </c>
      <c r="I13" s="312"/>
      <c r="J13" s="312"/>
      <c r="K13" s="312"/>
      <c r="L13" s="312"/>
      <c r="M13" s="312"/>
    </row>
    <row r="14" spans="1:13" s="132" customFormat="1" ht="39">
      <c r="A14" s="311" t="s">
        <v>48</v>
      </c>
      <c r="B14" s="338" t="s">
        <v>388</v>
      </c>
      <c r="C14" s="310" t="s">
        <v>381</v>
      </c>
      <c r="D14" s="310">
        <v>3</v>
      </c>
      <c r="E14" s="312">
        <v>10350</v>
      </c>
      <c r="F14" s="312">
        <f>D14*E14</f>
        <v>31050</v>
      </c>
      <c r="G14" s="312"/>
      <c r="H14" s="312">
        <f t="shared" si="3"/>
        <v>31050</v>
      </c>
      <c r="I14" s="312"/>
      <c r="J14" s="312"/>
      <c r="K14" s="312"/>
      <c r="L14" s="312"/>
      <c r="M14" s="312"/>
    </row>
    <row r="15" spans="1:13" s="132" customFormat="1" ht="26">
      <c r="A15" s="311" t="s">
        <v>49</v>
      </c>
      <c r="B15" s="338" t="s">
        <v>383</v>
      </c>
      <c r="C15" s="310" t="s">
        <v>59</v>
      </c>
      <c r="D15" s="310"/>
      <c r="E15" s="312"/>
      <c r="F15" s="312"/>
      <c r="G15" s="312"/>
      <c r="H15" s="312">
        <f t="shared" si="3"/>
        <v>0</v>
      </c>
      <c r="I15" s="312"/>
      <c r="J15" s="312"/>
      <c r="K15" s="312"/>
      <c r="L15" s="312"/>
      <c r="M15" s="312"/>
    </row>
    <row r="16" spans="1:13" s="132" customFormat="1" ht="30" customHeight="1">
      <c r="A16" s="311" t="s">
        <v>50</v>
      </c>
      <c r="B16" s="309" t="s">
        <v>389</v>
      </c>
      <c r="C16" s="310" t="s">
        <v>385</v>
      </c>
      <c r="D16" s="310">
        <v>10</v>
      </c>
      <c r="E16" s="312">
        <v>6000</v>
      </c>
      <c r="F16" s="312">
        <f t="shared" ref="F16" si="4">D16*E16</f>
        <v>60000</v>
      </c>
      <c r="G16" s="312"/>
      <c r="H16" s="312">
        <f t="shared" si="3"/>
        <v>60000</v>
      </c>
      <c r="I16" s="312"/>
      <c r="J16" s="312"/>
      <c r="K16" s="312"/>
      <c r="L16" s="312"/>
      <c r="M16" s="312"/>
    </row>
    <row r="17" spans="1:14" s="132" customFormat="1" ht="39">
      <c r="A17" s="311" t="s">
        <v>53</v>
      </c>
      <c r="B17" s="309" t="s">
        <v>390</v>
      </c>
      <c r="C17" s="310" t="s">
        <v>40</v>
      </c>
      <c r="D17" s="310">
        <v>1</v>
      </c>
      <c r="E17" s="312">
        <v>8995000</v>
      </c>
      <c r="F17" s="312">
        <f t="shared" ref="F17:F50" si="5">D17*E17</f>
        <v>8995000</v>
      </c>
      <c r="G17" s="312">
        <f>$F$17*40%</f>
        <v>3598000</v>
      </c>
      <c r="H17" s="312">
        <f>$F$17*40%</f>
        <v>3598000</v>
      </c>
      <c r="I17" s="312">
        <f>$F$17*20%</f>
        <v>1799000</v>
      </c>
      <c r="J17" s="312"/>
      <c r="K17" s="312"/>
      <c r="L17" s="312"/>
      <c r="M17" s="312"/>
      <c r="N17" s="288"/>
    </row>
    <row r="18" spans="1:14" s="132" customFormat="1" ht="26">
      <c r="A18" s="311" t="s">
        <v>54</v>
      </c>
      <c r="B18" s="338" t="s">
        <v>380</v>
      </c>
      <c r="C18" s="310" t="s">
        <v>381</v>
      </c>
      <c r="D18" s="310">
        <v>40</v>
      </c>
      <c r="E18" s="312">
        <v>1600</v>
      </c>
      <c r="F18" s="312">
        <f t="shared" si="5"/>
        <v>64000</v>
      </c>
      <c r="G18" s="312">
        <f>$F$18/5</f>
        <v>12800</v>
      </c>
      <c r="H18" s="312">
        <f>$F$18/5</f>
        <v>12800</v>
      </c>
      <c r="I18" s="312">
        <f>$F$18/5</f>
        <v>12800</v>
      </c>
      <c r="J18" s="312">
        <f t="shared" ref="J18:K18" si="6">$F$18/5</f>
        <v>12800</v>
      </c>
      <c r="K18" s="312">
        <f t="shared" si="6"/>
        <v>12800</v>
      </c>
      <c r="L18" s="310"/>
      <c r="M18" s="312"/>
    </row>
    <row r="19" spans="1:14" s="132" customFormat="1" ht="26">
      <c r="A19" s="311" t="s">
        <v>55</v>
      </c>
      <c r="B19" s="338" t="s">
        <v>391</v>
      </c>
      <c r="C19" s="310" t="s">
        <v>379</v>
      </c>
      <c r="D19" s="310">
        <v>8</v>
      </c>
      <c r="E19" s="312">
        <v>6000</v>
      </c>
      <c r="F19" s="312">
        <f t="shared" si="5"/>
        <v>48000</v>
      </c>
      <c r="G19" s="312">
        <f>F19/5</f>
        <v>9600</v>
      </c>
      <c r="H19" s="312">
        <f>F19/5</f>
        <v>9600</v>
      </c>
      <c r="I19" s="312">
        <f>F19/5</f>
        <v>9600</v>
      </c>
      <c r="J19" s="312">
        <f>F19/5</f>
        <v>9600</v>
      </c>
      <c r="K19" s="312">
        <f>F19/5</f>
        <v>9600</v>
      </c>
      <c r="L19" s="337"/>
      <c r="M19" s="312"/>
      <c r="N19" s="288"/>
    </row>
    <row r="20" spans="1:14" s="132" customFormat="1" ht="26">
      <c r="A20" s="311" t="s">
        <v>56</v>
      </c>
      <c r="B20" s="309" t="s">
        <v>392</v>
      </c>
      <c r="C20" s="310" t="s">
        <v>59</v>
      </c>
      <c r="D20" s="310"/>
      <c r="E20" s="312"/>
      <c r="F20" s="312"/>
      <c r="G20" s="312"/>
      <c r="H20" s="312"/>
      <c r="I20" s="312"/>
      <c r="J20" s="312"/>
      <c r="K20" s="312"/>
      <c r="L20" s="312"/>
      <c r="M20" s="312"/>
    </row>
    <row r="21" spans="1:14" s="132" customFormat="1" ht="26">
      <c r="A21" s="311" t="s">
        <v>60</v>
      </c>
      <c r="B21" s="309" t="s">
        <v>393</v>
      </c>
      <c r="C21" s="310" t="s">
        <v>59</v>
      </c>
      <c r="D21" s="310"/>
      <c r="E21" s="312"/>
      <c r="F21" s="312"/>
      <c r="G21" s="312"/>
      <c r="H21" s="312"/>
      <c r="I21" s="312"/>
      <c r="J21" s="312"/>
      <c r="K21" s="312"/>
      <c r="L21" s="312"/>
      <c r="M21" s="312"/>
    </row>
    <row r="22" spans="1:14" s="132" customFormat="1">
      <c r="A22" s="311" t="s">
        <v>61</v>
      </c>
      <c r="B22" s="338" t="s">
        <v>967</v>
      </c>
      <c r="C22" s="310" t="s">
        <v>377</v>
      </c>
      <c r="D22" s="310">
        <v>500</v>
      </c>
      <c r="E22" s="312">
        <v>600</v>
      </c>
      <c r="F22" s="312">
        <f t="shared" si="5"/>
        <v>300000</v>
      </c>
      <c r="G22" s="312">
        <f>$F$22/5</f>
        <v>60000</v>
      </c>
      <c r="H22" s="312">
        <f t="shared" ref="H22:K22" si="7">$F$22/5</f>
        <v>60000</v>
      </c>
      <c r="I22" s="312">
        <f t="shared" si="7"/>
        <v>60000</v>
      </c>
      <c r="J22" s="312">
        <f t="shared" si="7"/>
        <v>60000</v>
      </c>
      <c r="K22" s="312">
        <f t="shared" si="7"/>
        <v>60000</v>
      </c>
      <c r="L22" s="312"/>
      <c r="M22" s="312"/>
    </row>
    <row r="23" spans="1:14" s="132" customFormat="1">
      <c r="A23" s="311" t="s">
        <v>63</v>
      </c>
      <c r="B23" s="338" t="s">
        <v>394</v>
      </c>
      <c r="C23" s="310" t="s">
        <v>379</v>
      </c>
      <c r="D23" s="310">
        <v>100</v>
      </c>
      <c r="E23" s="312">
        <v>800</v>
      </c>
      <c r="F23" s="312">
        <f t="shared" si="5"/>
        <v>80000</v>
      </c>
      <c r="G23" s="312">
        <f>$F$23/5</f>
        <v>16000</v>
      </c>
      <c r="H23" s="312">
        <f t="shared" ref="H23:K23" si="8">$F$23/5</f>
        <v>16000</v>
      </c>
      <c r="I23" s="312">
        <f t="shared" si="8"/>
        <v>16000</v>
      </c>
      <c r="J23" s="312">
        <f t="shared" si="8"/>
        <v>16000</v>
      </c>
      <c r="K23" s="312">
        <f t="shared" si="8"/>
        <v>16000</v>
      </c>
      <c r="L23" s="312"/>
      <c r="M23" s="312"/>
    </row>
    <row r="24" spans="1:14" s="132" customFormat="1" ht="43.5" customHeight="1">
      <c r="A24" s="311" t="s">
        <v>64</v>
      </c>
      <c r="B24" s="338" t="s">
        <v>388</v>
      </c>
      <c r="C24" s="310" t="s">
        <v>395</v>
      </c>
      <c r="D24" s="310">
        <v>5</v>
      </c>
      <c r="E24" s="312">
        <v>10350</v>
      </c>
      <c r="F24" s="312">
        <f t="shared" si="5"/>
        <v>51750</v>
      </c>
      <c r="G24" s="312">
        <f>$E$24*1</f>
        <v>10350</v>
      </c>
      <c r="H24" s="312">
        <f>$E$24*2</f>
        <v>20700</v>
      </c>
      <c r="I24" s="312">
        <f>$G$24*1</f>
        <v>10350</v>
      </c>
      <c r="J24" s="312">
        <f>$E$24*1</f>
        <v>10350</v>
      </c>
      <c r="K24" s="312">
        <f>$E$24*1</f>
        <v>10350</v>
      </c>
      <c r="L24" s="312"/>
      <c r="M24" s="312"/>
    </row>
    <row r="25" spans="1:14" s="132" customFormat="1" ht="26">
      <c r="A25" s="311" t="s">
        <v>65</v>
      </c>
      <c r="B25" s="309" t="s">
        <v>396</v>
      </c>
      <c r="C25" s="310" t="s">
        <v>40</v>
      </c>
      <c r="D25" s="310">
        <v>100</v>
      </c>
      <c r="E25" s="312">
        <v>14000</v>
      </c>
      <c r="F25" s="312">
        <f t="shared" si="5"/>
        <v>1400000</v>
      </c>
      <c r="G25" s="312"/>
      <c r="H25" s="312"/>
      <c r="I25" s="312">
        <f>F25/3</f>
        <v>466666.66666666669</v>
      </c>
      <c r="J25" s="312">
        <f>F25/3</f>
        <v>466666.66666666669</v>
      </c>
      <c r="K25" s="312">
        <f>F25/3</f>
        <v>466666.66666666669</v>
      </c>
      <c r="L25" s="312"/>
      <c r="M25" s="312"/>
    </row>
    <row r="26" spans="1:14" s="132" customFormat="1">
      <c r="A26" s="311" t="s">
        <v>66</v>
      </c>
      <c r="B26" s="309" t="s">
        <v>397</v>
      </c>
      <c r="C26" s="310" t="s">
        <v>40</v>
      </c>
      <c r="D26" s="310">
        <v>10</v>
      </c>
      <c r="E26" s="312">
        <v>15000</v>
      </c>
      <c r="F26" s="312">
        <f t="shared" si="5"/>
        <v>150000</v>
      </c>
      <c r="G26" s="312"/>
      <c r="H26" s="312">
        <f>$F$26</f>
        <v>150000</v>
      </c>
      <c r="I26" s="312"/>
      <c r="J26" s="337"/>
      <c r="K26" s="312"/>
      <c r="L26" s="312"/>
      <c r="M26" s="312"/>
    </row>
    <row r="27" spans="1:14" s="132" customFormat="1">
      <c r="A27" s="311" t="s">
        <v>69</v>
      </c>
      <c r="B27" s="338" t="s">
        <v>962</v>
      </c>
      <c r="C27" s="310" t="s">
        <v>377</v>
      </c>
      <c r="D27" s="310">
        <v>240</v>
      </c>
      <c r="E27" s="312">
        <v>500</v>
      </c>
      <c r="F27" s="312">
        <f t="shared" si="5"/>
        <v>120000</v>
      </c>
      <c r="G27" s="312"/>
      <c r="H27" s="312">
        <f>$E$27*60</f>
        <v>30000</v>
      </c>
      <c r="I27" s="312">
        <f t="shared" ref="I27:K27" si="9">$E$27*60</f>
        <v>30000</v>
      </c>
      <c r="J27" s="312">
        <f t="shared" si="9"/>
        <v>30000</v>
      </c>
      <c r="K27" s="312">
        <f t="shared" si="9"/>
        <v>30000</v>
      </c>
      <c r="L27" s="312"/>
      <c r="M27" s="312"/>
    </row>
    <row r="28" spans="1:14" s="132" customFormat="1" ht="26">
      <c r="A28" s="311" t="s">
        <v>70</v>
      </c>
      <c r="B28" s="338" t="s">
        <v>398</v>
      </c>
      <c r="C28" s="310" t="s">
        <v>379</v>
      </c>
      <c r="D28" s="310">
        <v>12</v>
      </c>
      <c r="E28" s="312">
        <v>6000</v>
      </c>
      <c r="F28" s="312">
        <f t="shared" si="5"/>
        <v>72000</v>
      </c>
      <c r="G28" s="312"/>
      <c r="H28" s="312">
        <f>$E$28*3</f>
        <v>18000</v>
      </c>
      <c r="I28" s="312">
        <f t="shared" ref="I28:K28" si="10">$E$28*3</f>
        <v>18000</v>
      </c>
      <c r="J28" s="312">
        <f t="shared" si="10"/>
        <v>18000</v>
      </c>
      <c r="K28" s="312">
        <f t="shared" si="10"/>
        <v>18000</v>
      </c>
      <c r="L28" s="312"/>
      <c r="M28" s="312"/>
      <c r="N28" s="288"/>
    </row>
    <row r="29" spans="1:14" s="132" customFormat="1">
      <c r="A29" s="311" t="s">
        <v>72</v>
      </c>
      <c r="B29" s="338" t="s">
        <v>961</v>
      </c>
      <c r="C29" s="310" t="s">
        <v>377</v>
      </c>
      <c r="D29" s="310">
        <v>60</v>
      </c>
      <c r="E29" s="312">
        <v>500</v>
      </c>
      <c r="F29" s="312">
        <f t="shared" si="5"/>
        <v>30000</v>
      </c>
      <c r="G29" s="312"/>
      <c r="H29" s="312"/>
      <c r="I29" s="312">
        <f>F29</f>
        <v>30000</v>
      </c>
      <c r="J29" s="312"/>
      <c r="K29" s="312"/>
      <c r="L29" s="312"/>
      <c r="M29" s="312"/>
    </row>
    <row r="30" spans="1:14" s="132" customFormat="1">
      <c r="A30" s="311" t="s">
        <v>73</v>
      </c>
      <c r="B30" s="338" t="s">
        <v>399</v>
      </c>
      <c r="C30" s="310" t="s">
        <v>377</v>
      </c>
      <c r="D30" s="310">
        <v>60</v>
      </c>
      <c r="E30" s="312">
        <v>800</v>
      </c>
      <c r="F30" s="312">
        <f t="shared" si="5"/>
        <v>48000</v>
      </c>
      <c r="G30" s="312"/>
      <c r="H30" s="312"/>
      <c r="I30" s="312">
        <f>F30</f>
        <v>48000</v>
      </c>
      <c r="J30" s="312"/>
      <c r="K30" s="312"/>
      <c r="L30" s="312"/>
      <c r="M30" s="312"/>
    </row>
    <row r="31" spans="1:14" s="132" customFormat="1" ht="26">
      <c r="A31" s="311" t="s">
        <v>74</v>
      </c>
      <c r="B31" s="338" t="s">
        <v>380</v>
      </c>
      <c r="C31" s="310" t="s">
        <v>381</v>
      </c>
      <c r="D31" s="310">
        <v>3</v>
      </c>
      <c r="E31" s="312">
        <v>1600</v>
      </c>
      <c r="F31" s="312">
        <f t="shared" si="5"/>
        <v>4800</v>
      </c>
      <c r="G31" s="312"/>
      <c r="H31" s="312"/>
      <c r="I31" s="312">
        <f>F31</f>
        <v>4800</v>
      </c>
      <c r="J31" s="312"/>
      <c r="K31" s="312"/>
      <c r="L31" s="312"/>
      <c r="M31" s="312"/>
    </row>
    <row r="32" spans="1:14" s="132" customFormat="1" ht="39">
      <c r="A32" s="311" t="s">
        <v>75</v>
      </c>
      <c r="B32" s="338" t="s">
        <v>400</v>
      </c>
      <c r="C32" s="310" t="s">
        <v>381</v>
      </c>
      <c r="D32" s="310">
        <v>2</v>
      </c>
      <c r="E32" s="312">
        <v>5150</v>
      </c>
      <c r="F32" s="312">
        <f t="shared" si="5"/>
        <v>10300</v>
      </c>
      <c r="G32" s="312"/>
      <c r="H32" s="312"/>
      <c r="I32" s="312">
        <f>F32</f>
        <v>10300</v>
      </c>
      <c r="J32" s="312"/>
      <c r="K32" s="312"/>
      <c r="L32" s="312"/>
      <c r="M32" s="312"/>
    </row>
    <row r="33" spans="1:13" s="132" customFormat="1" ht="26">
      <c r="A33" s="311" t="s">
        <v>76</v>
      </c>
      <c r="B33" s="309" t="s">
        <v>401</v>
      </c>
      <c r="C33" s="310" t="s">
        <v>59</v>
      </c>
      <c r="D33" s="310"/>
      <c r="E33" s="312"/>
      <c r="F33" s="312"/>
      <c r="G33" s="312"/>
      <c r="H33" s="312"/>
      <c r="I33" s="312"/>
      <c r="J33" s="312"/>
      <c r="K33" s="312"/>
      <c r="L33" s="312"/>
      <c r="M33" s="312"/>
    </row>
    <row r="34" spans="1:13" s="132" customFormat="1">
      <c r="A34" s="311" t="s">
        <v>78</v>
      </c>
      <c r="B34" s="338" t="s">
        <v>966</v>
      </c>
      <c r="C34" s="310" t="s">
        <v>377</v>
      </c>
      <c r="D34" s="310">
        <v>120</v>
      </c>
      <c r="E34" s="312">
        <v>500</v>
      </c>
      <c r="F34" s="312">
        <f t="shared" ref="F34:F36" si="11">D34*E34</f>
        <v>60000</v>
      </c>
      <c r="G34" s="312"/>
      <c r="H34" s="312"/>
      <c r="I34" s="312">
        <f t="shared" ref="I34:I39" si="12">F34</f>
        <v>60000</v>
      </c>
      <c r="J34" s="312"/>
      <c r="K34" s="312"/>
      <c r="L34" s="312"/>
      <c r="M34" s="312"/>
    </row>
    <row r="35" spans="1:13" s="132" customFormat="1">
      <c r="A35" s="311" t="s">
        <v>79</v>
      </c>
      <c r="B35" s="338" t="s">
        <v>402</v>
      </c>
      <c r="C35" s="310" t="s">
        <v>377</v>
      </c>
      <c r="D35" s="310">
        <v>40</v>
      </c>
      <c r="E35" s="312">
        <v>800</v>
      </c>
      <c r="F35" s="312">
        <f t="shared" si="11"/>
        <v>32000</v>
      </c>
      <c r="G35" s="312"/>
      <c r="H35" s="312"/>
      <c r="I35" s="312">
        <f t="shared" si="12"/>
        <v>32000</v>
      </c>
      <c r="J35" s="312"/>
      <c r="K35" s="312"/>
      <c r="L35" s="312"/>
      <c r="M35" s="312"/>
    </row>
    <row r="36" spans="1:13" s="132" customFormat="1" ht="26">
      <c r="A36" s="311" t="s">
        <v>80</v>
      </c>
      <c r="B36" s="338" t="s">
        <v>403</v>
      </c>
      <c r="C36" s="310" t="s">
        <v>379</v>
      </c>
      <c r="D36" s="310">
        <v>2</v>
      </c>
      <c r="E36" s="312">
        <v>18000</v>
      </c>
      <c r="F36" s="312">
        <f t="shared" si="11"/>
        <v>36000</v>
      </c>
      <c r="G36" s="312"/>
      <c r="H36" s="312"/>
      <c r="I36" s="312">
        <f t="shared" si="12"/>
        <v>36000</v>
      </c>
      <c r="J36" s="312"/>
      <c r="K36" s="312"/>
      <c r="L36" s="312"/>
      <c r="M36" s="312"/>
    </row>
    <row r="37" spans="1:13" s="132" customFormat="1" ht="26">
      <c r="A37" s="311" t="s">
        <v>81</v>
      </c>
      <c r="B37" s="338" t="s">
        <v>380</v>
      </c>
      <c r="C37" s="310" t="s">
        <v>381</v>
      </c>
      <c r="D37" s="310">
        <v>4</v>
      </c>
      <c r="E37" s="312">
        <v>1600</v>
      </c>
      <c r="F37" s="312">
        <f t="shared" si="5"/>
        <v>6400</v>
      </c>
      <c r="G37" s="312"/>
      <c r="H37" s="337"/>
      <c r="I37" s="312">
        <f t="shared" si="12"/>
        <v>6400</v>
      </c>
      <c r="J37" s="312"/>
      <c r="K37" s="312"/>
      <c r="L37" s="312"/>
      <c r="M37" s="312"/>
    </row>
    <row r="38" spans="1:13" s="132" customFormat="1" ht="39">
      <c r="A38" s="311" t="s">
        <v>82</v>
      </c>
      <c r="B38" s="338" t="s">
        <v>404</v>
      </c>
      <c r="C38" s="310" t="s">
        <v>381</v>
      </c>
      <c r="D38" s="310">
        <v>1</v>
      </c>
      <c r="E38" s="312">
        <v>6350</v>
      </c>
      <c r="F38" s="312">
        <f t="shared" si="5"/>
        <v>6350</v>
      </c>
      <c r="G38" s="312"/>
      <c r="H38" s="337"/>
      <c r="I38" s="312">
        <f t="shared" si="12"/>
        <v>6350</v>
      </c>
      <c r="J38" s="312"/>
      <c r="K38" s="312"/>
      <c r="L38" s="312"/>
      <c r="M38" s="312"/>
    </row>
    <row r="39" spans="1:13" s="132" customFormat="1">
      <c r="A39" s="311" t="s">
        <v>84</v>
      </c>
      <c r="B39" s="338" t="s">
        <v>959</v>
      </c>
      <c r="C39" s="310" t="s">
        <v>377</v>
      </c>
      <c r="D39" s="310">
        <v>60</v>
      </c>
      <c r="E39" s="312">
        <v>500</v>
      </c>
      <c r="F39" s="312">
        <f t="shared" si="5"/>
        <v>30000</v>
      </c>
      <c r="G39" s="312"/>
      <c r="H39" s="312"/>
      <c r="I39" s="312">
        <f t="shared" si="12"/>
        <v>30000</v>
      </c>
      <c r="J39" s="312"/>
      <c r="K39" s="312"/>
      <c r="L39" s="312"/>
      <c r="M39" s="312"/>
    </row>
    <row r="40" spans="1:13" s="132" customFormat="1">
      <c r="A40" s="311" t="s">
        <v>85</v>
      </c>
      <c r="B40" s="338" t="s">
        <v>405</v>
      </c>
      <c r="C40" s="310" t="s">
        <v>377</v>
      </c>
      <c r="D40" s="310">
        <v>20</v>
      </c>
      <c r="E40" s="312">
        <v>800</v>
      </c>
      <c r="F40" s="312">
        <f t="shared" si="5"/>
        <v>16000</v>
      </c>
      <c r="G40" s="312"/>
      <c r="H40" s="312"/>
      <c r="I40" s="312">
        <f t="shared" ref="I40:I50" si="13">F40</f>
        <v>16000</v>
      </c>
      <c r="J40" s="312"/>
      <c r="K40" s="312"/>
      <c r="L40" s="312"/>
      <c r="M40" s="312"/>
    </row>
    <row r="41" spans="1:13" s="132" customFormat="1" ht="26">
      <c r="A41" s="311" t="s">
        <v>86</v>
      </c>
      <c r="B41" s="338" t="s">
        <v>406</v>
      </c>
      <c r="C41" s="310" t="s">
        <v>379</v>
      </c>
      <c r="D41" s="310">
        <v>6</v>
      </c>
      <c r="E41" s="312">
        <v>3000</v>
      </c>
      <c r="F41" s="312">
        <f t="shared" si="5"/>
        <v>18000</v>
      </c>
      <c r="G41" s="312"/>
      <c r="H41" s="312"/>
      <c r="I41" s="312">
        <f t="shared" si="13"/>
        <v>18000</v>
      </c>
      <c r="J41" s="312"/>
      <c r="K41" s="312"/>
      <c r="L41" s="312"/>
      <c r="M41" s="312"/>
    </row>
    <row r="42" spans="1:13" s="132" customFormat="1" ht="26">
      <c r="A42" s="311" t="s">
        <v>87</v>
      </c>
      <c r="B42" s="338" t="s">
        <v>380</v>
      </c>
      <c r="C42" s="310" t="s">
        <v>381</v>
      </c>
      <c r="D42" s="310">
        <v>6</v>
      </c>
      <c r="E42" s="312">
        <v>1600</v>
      </c>
      <c r="F42" s="312">
        <f t="shared" si="5"/>
        <v>9600</v>
      </c>
      <c r="G42" s="312"/>
      <c r="H42" s="312"/>
      <c r="I42" s="312">
        <f t="shared" si="13"/>
        <v>9600</v>
      </c>
      <c r="J42" s="312"/>
      <c r="K42" s="312"/>
      <c r="L42" s="312"/>
      <c r="M42" s="312"/>
    </row>
    <row r="43" spans="1:13" s="132" customFormat="1" ht="39">
      <c r="A43" s="311" t="s">
        <v>88</v>
      </c>
      <c r="B43" s="338" t="s">
        <v>400</v>
      </c>
      <c r="C43" s="310" t="s">
        <v>381</v>
      </c>
      <c r="D43" s="310">
        <v>1</v>
      </c>
      <c r="E43" s="312">
        <v>5150</v>
      </c>
      <c r="F43" s="312">
        <f t="shared" si="5"/>
        <v>5150</v>
      </c>
      <c r="G43" s="312"/>
      <c r="H43" s="312"/>
      <c r="I43" s="312">
        <f t="shared" si="13"/>
        <v>5150</v>
      </c>
      <c r="J43" s="312"/>
      <c r="K43" s="312"/>
      <c r="L43" s="312"/>
      <c r="M43" s="312"/>
    </row>
    <row r="44" spans="1:13" s="132" customFormat="1">
      <c r="A44" s="311" t="s">
        <v>91</v>
      </c>
      <c r="B44" s="338" t="s">
        <v>960</v>
      </c>
      <c r="C44" s="310" t="s">
        <v>377</v>
      </c>
      <c r="D44" s="310">
        <v>240</v>
      </c>
      <c r="E44" s="312">
        <v>500</v>
      </c>
      <c r="F44" s="312">
        <f t="shared" si="5"/>
        <v>120000</v>
      </c>
      <c r="G44" s="312"/>
      <c r="H44" s="312"/>
      <c r="I44" s="312">
        <f t="shared" si="13"/>
        <v>120000</v>
      </c>
      <c r="J44" s="312"/>
      <c r="K44" s="312"/>
      <c r="L44" s="312"/>
      <c r="M44" s="312"/>
    </row>
    <row r="45" spans="1:13" s="132" customFormat="1">
      <c r="A45" s="311" t="s">
        <v>92</v>
      </c>
      <c r="B45" s="338" t="s">
        <v>407</v>
      </c>
      <c r="C45" s="310" t="s">
        <v>377</v>
      </c>
      <c r="D45" s="310">
        <v>40</v>
      </c>
      <c r="E45" s="312">
        <v>800</v>
      </c>
      <c r="F45" s="312">
        <f t="shared" si="5"/>
        <v>32000</v>
      </c>
      <c r="G45" s="312"/>
      <c r="H45" s="312"/>
      <c r="I45" s="312">
        <f t="shared" si="13"/>
        <v>32000</v>
      </c>
      <c r="J45" s="312"/>
      <c r="K45" s="312"/>
      <c r="L45" s="312"/>
      <c r="M45" s="312"/>
    </row>
    <row r="46" spans="1:13" s="132" customFormat="1" ht="26">
      <c r="A46" s="311" t="s">
        <v>93</v>
      </c>
      <c r="B46" s="338" t="s">
        <v>380</v>
      </c>
      <c r="C46" s="310" t="s">
        <v>381</v>
      </c>
      <c r="D46" s="310">
        <v>12</v>
      </c>
      <c r="E46" s="312">
        <v>1200</v>
      </c>
      <c r="F46" s="312">
        <f t="shared" si="5"/>
        <v>14400</v>
      </c>
      <c r="G46" s="312"/>
      <c r="H46" s="312"/>
      <c r="I46" s="312">
        <f t="shared" si="13"/>
        <v>14400</v>
      </c>
      <c r="J46" s="312"/>
      <c r="K46" s="312"/>
      <c r="L46" s="312"/>
      <c r="M46" s="312"/>
    </row>
    <row r="47" spans="1:13" s="132" customFormat="1" ht="39">
      <c r="A47" s="311" t="s">
        <v>94</v>
      </c>
      <c r="B47" s="338" t="s">
        <v>404</v>
      </c>
      <c r="C47" s="310" t="s">
        <v>381</v>
      </c>
      <c r="D47" s="310">
        <v>1</v>
      </c>
      <c r="E47" s="312">
        <v>6350</v>
      </c>
      <c r="F47" s="312">
        <f t="shared" si="5"/>
        <v>6350</v>
      </c>
      <c r="G47" s="312"/>
      <c r="H47" s="312"/>
      <c r="I47" s="312">
        <f t="shared" si="13"/>
        <v>6350</v>
      </c>
      <c r="J47" s="312"/>
      <c r="K47" s="312"/>
      <c r="L47" s="312"/>
      <c r="M47" s="312"/>
    </row>
    <row r="48" spans="1:13" s="132" customFormat="1" ht="26">
      <c r="A48" s="311" t="s">
        <v>95</v>
      </c>
      <c r="B48" s="309" t="s">
        <v>408</v>
      </c>
      <c r="C48" s="310" t="s">
        <v>38</v>
      </c>
      <c r="D48" s="310"/>
      <c r="E48" s="312"/>
      <c r="F48" s="312"/>
      <c r="G48" s="312"/>
      <c r="H48" s="312"/>
      <c r="I48" s="312"/>
      <c r="J48" s="312"/>
      <c r="K48" s="312"/>
      <c r="L48" s="312"/>
      <c r="M48" s="312"/>
    </row>
    <row r="49" spans="1:13" s="132" customFormat="1" ht="26">
      <c r="A49" s="311" t="s">
        <v>96</v>
      </c>
      <c r="B49" s="338" t="s">
        <v>387</v>
      </c>
      <c r="C49" s="310" t="s">
        <v>379</v>
      </c>
      <c r="D49" s="310">
        <v>6</v>
      </c>
      <c r="E49" s="312">
        <v>6000</v>
      </c>
      <c r="F49" s="312">
        <f t="shared" si="5"/>
        <v>36000</v>
      </c>
      <c r="G49" s="312"/>
      <c r="H49" s="312"/>
      <c r="I49" s="312">
        <f t="shared" si="13"/>
        <v>36000</v>
      </c>
      <c r="J49" s="312"/>
      <c r="K49" s="312"/>
      <c r="L49" s="312"/>
      <c r="M49" s="312"/>
    </row>
    <row r="50" spans="1:13" s="132" customFormat="1" ht="26">
      <c r="A50" s="311" t="s">
        <v>97</v>
      </c>
      <c r="B50" s="309" t="s">
        <v>409</v>
      </c>
      <c r="C50" s="310" t="s">
        <v>410</v>
      </c>
      <c r="D50" s="310">
        <v>120</v>
      </c>
      <c r="E50" s="312">
        <v>250</v>
      </c>
      <c r="F50" s="312">
        <f t="shared" si="5"/>
        <v>30000</v>
      </c>
      <c r="G50" s="312"/>
      <c r="H50" s="312"/>
      <c r="I50" s="312">
        <f t="shared" si="13"/>
        <v>30000</v>
      </c>
      <c r="J50" s="312"/>
      <c r="K50" s="312"/>
      <c r="L50" s="312"/>
      <c r="M50" s="312"/>
    </row>
    <row r="51" spans="1:13" s="132" customFormat="1">
      <c r="A51" s="311" t="s">
        <v>99</v>
      </c>
      <c r="B51" s="338" t="s">
        <v>963</v>
      </c>
      <c r="C51" s="310" t="s">
        <v>377</v>
      </c>
      <c r="D51" s="310">
        <v>120</v>
      </c>
      <c r="E51" s="312">
        <v>500</v>
      </c>
      <c r="F51" s="312">
        <f>D51*E51</f>
        <v>60000</v>
      </c>
      <c r="G51" s="312"/>
      <c r="H51" s="312"/>
      <c r="I51" s="312">
        <f>F51</f>
        <v>60000</v>
      </c>
      <c r="J51" s="312"/>
      <c r="K51" s="312"/>
      <c r="L51" s="312"/>
      <c r="M51" s="312"/>
    </row>
    <row r="52" spans="1:13" s="132" customFormat="1" ht="26">
      <c r="A52" s="311" t="s">
        <v>100</v>
      </c>
      <c r="B52" s="338" t="s">
        <v>411</v>
      </c>
      <c r="C52" s="310" t="s">
        <v>377</v>
      </c>
      <c r="D52" s="310">
        <v>40</v>
      </c>
      <c r="E52" s="312">
        <v>800</v>
      </c>
      <c r="F52" s="312">
        <f>D52*E52</f>
        <v>32000</v>
      </c>
      <c r="G52" s="312"/>
      <c r="H52" s="312"/>
      <c r="I52" s="312">
        <f>F52</f>
        <v>32000</v>
      </c>
      <c r="J52" s="312"/>
      <c r="K52" s="312"/>
      <c r="L52" s="312"/>
      <c r="M52" s="312"/>
    </row>
    <row r="53" spans="1:13" s="132" customFormat="1" ht="26">
      <c r="A53" s="311" t="s">
        <v>101</v>
      </c>
      <c r="B53" s="338" t="s">
        <v>380</v>
      </c>
      <c r="C53" s="310" t="s">
        <v>381</v>
      </c>
      <c r="D53" s="310">
        <v>6</v>
      </c>
      <c r="E53" s="312">
        <v>1600</v>
      </c>
      <c r="F53" s="312">
        <f>D53*E53</f>
        <v>9600</v>
      </c>
      <c r="G53" s="312"/>
      <c r="H53" s="312"/>
      <c r="I53" s="312">
        <f>F53</f>
        <v>9600</v>
      </c>
      <c r="J53" s="312"/>
      <c r="K53" s="312"/>
      <c r="L53" s="312"/>
      <c r="M53" s="312"/>
    </row>
    <row r="54" spans="1:13" s="132" customFormat="1" ht="39">
      <c r="A54" s="311" t="s">
        <v>102</v>
      </c>
      <c r="B54" s="338" t="s">
        <v>412</v>
      </c>
      <c r="C54" s="310" t="s">
        <v>381</v>
      </c>
      <c r="D54" s="310">
        <v>1</v>
      </c>
      <c r="E54" s="312">
        <v>6350</v>
      </c>
      <c r="F54" s="312">
        <f>D54*E54</f>
        <v>6350</v>
      </c>
      <c r="G54" s="312"/>
      <c r="H54" s="312"/>
      <c r="I54" s="312">
        <f>F54</f>
        <v>6350</v>
      </c>
      <c r="J54" s="312"/>
      <c r="K54" s="312"/>
      <c r="L54" s="312"/>
      <c r="M54" s="312"/>
    </row>
    <row r="55" spans="1:13" s="132" customFormat="1" ht="26">
      <c r="A55" s="311" t="s">
        <v>413</v>
      </c>
      <c r="B55" s="338" t="s">
        <v>406</v>
      </c>
      <c r="C55" s="310" t="s">
        <v>379</v>
      </c>
      <c r="D55" s="310">
        <v>3</v>
      </c>
      <c r="E55" s="312">
        <v>6000</v>
      </c>
      <c r="F55" s="312">
        <f t="shared" ref="F55:F61" si="14">D55*E55</f>
        <v>18000</v>
      </c>
      <c r="G55" s="312"/>
      <c r="H55" s="312"/>
      <c r="I55" s="312">
        <f t="shared" ref="I55:I56" si="15">F55</f>
        <v>18000</v>
      </c>
      <c r="J55" s="312"/>
      <c r="K55" s="312"/>
      <c r="L55" s="312"/>
      <c r="M55" s="312"/>
    </row>
    <row r="56" spans="1:13" s="132" customFormat="1" ht="26">
      <c r="A56" s="311" t="s">
        <v>105</v>
      </c>
      <c r="B56" s="309" t="s">
        <v>409</v>
      </c>
      <c r="C56" s="310" t="s">
        <v>381</v>
      </c>
      <c r="D56" s="310">
        <v>60</v>
      </c>
      <c r="E56" s="312">
        <v>250</v>
      </c>
      <c r="F56" s="312">
        <f t="shared" si="14"/>
        <v>15000</v>
      </c>
      <c r="G56" s="312"/>
      <c r="H56" s="312"/>
      <c r="I56" s="312">
        <f t="shared" si="15"/>
        <v>15000</v>
      </c>
      <c r="J56" s="312"/>
      <c r="K56" s="312"/>
      <c r="L56" s="312"/>
      <c r="M56" s="312"/>
    </row>
    <row r="57" spans="1:13" s="132" customFormat="1">
      <c r="A57" s="311" t="s">
        <v>106</v>
      </c>
      <c r="B57" s="338" t="s">
        <v>965</v>
      </c>
      <c r="C57" s="310" t="s">
        <v>414</v>
      </c>
      <c r="D57" s="310">
        <v>60</v>
      </c>
      <c r="E57" s="312">
        <v>500</v>
      </c>
      <c r="F57" s="312">
        <f t="shared" si="14"/>
        <v>30000</v>
      </c>
      <c r="G57" s="312"/>
      <c r="H57" s="312"/>
      <c r="I57" s="312"/>
      <c r="J57" s="312">
        <f t="shared" ref="J57:J61" si="16">F57</f>
        <v>30000</v>
      </c>
      <c r="K57" s="312"/>
      <c r="L57" s="312"/>
      <c r="M57" s="312"/>
    </row>
    <row r="58" spans="1:13" s="132" customFormat="1" ht="26">
      <c r="A58" s="311" t="s">
        <v>107</v>
      </c>
      <c r="B58" s="338" t="s">
        <v>415</v>
      </c>
      <c r="C58" s="310" t="s">
        <v>414</v>
      </c>
      <c r="D58" s="310">
        <v>40</v>
      </c>
      <c r="E58" s="312">
        <v>800</v>
      </c>
      <c r="F58" s="312">
        <f t="shared" si="14"/>
        <v>32000</v>
      </c>
      <c r="G58" s="312"/>
      <c r="H58" s="312"/>
      <c r="I58" s="312"/>
      <c r="J58" s="312">
        <f t="shared" si="16"/>
        <v>32000</v>
      </c>
      <c r="K58" s="312"/>
      <c r="L58" s="312"/>
      <c r="M58" s="312"/>
    </row>
    <row r="59" spans="1:13" s="132" customFormat="1" ht="26">
      <c r="A59" s="311" t="s">
        <v>108</v>
      </c>
      <c r="B59" s="338" t="s">
        <v>380</v>
      </c>
      <c r="C59" s="310" t="s">
        <v>416</v>
      </c>
      <c r="D59" s="310">
        <v>6</v>
      </c>
      <c r="E59" s="312">
        <v>1600</v>
      </c>
      <c r="F59" s="312">
        <f t="shared" si="14"/>
        <v>9600</v>
      </c>
      <c r="G59" s="312"/>
      <c r="H59" s="312"/>
      <c r="I59" s="312"/>
      <c r="J59" s="312">
        <f t="shared" si="16"/>
        <v>9600</v>
      </c>
      <c r="K59" s="312"/>
      <c r="L59" s="312"/>
      <c r="M59" s="312"/>
    </row>
    <row r="60" spans="1:13" s="132" customFormat="1" ht="39">
      <c r="A60" s="311" t="s">
        <v>109</v>
      </c>
      <c r="B60" s="338" t="s">
        <v>412</v>
      </c>
      <c r="C60" s="310" t="s">
        <v>381</v>
      </c>
      <c r="D60" s="310">
        <v>1</v>
      </c>
      <c r="E60" s="312">
        <v>6550</v>
      </c>
      <c r="F60" s="312">
        <f t="shared" si="14"/>
        <v>6550</v>
      </c>
      <c r="G60" s="312"/>
      <c r="H60" s="312"/>
      <c r="I60" s="312"/>
      <c r="J60" s="312">
        <f t="shared" si="16"/>
        <v>6550</v>
      </c>
      <c r="K60" s="312"/>
      <c r="L60" s="312"/>
      <c r="M60" s="312"/>
    </row>
    <row r="61" spans="1:13" s="132" customFormat="1" ht="32.25" customHeight="1">
      <c r="A61" s="311" t="s">
        <v>110</v>
      </c>
      <c r="B61" s="338" t="s">
        <v>417</v>
      </c>
      <c r="C61" s="310" t="s">
        <v>379</v>
      </c>
      <c r="D61" s="310">
        <v>6</v>
      </c>
      <c r="E61" s="312">
        <v>6000</v>
      </c>
      <c r="F61" s="312">
        <f t="shared" si="14"/>
        <v>36000</v>
      </c>
      <c r="G61" s="312"/>
      <c r="H61" s="312"/>
      <c r="I61" s="312"/>
      <c r="J61" s="312">
        <f t="shared" si="16"/>
        <v>36000</v>
      </c>
      <c r="K61" s="312"/>
      <c r="L61" s="312"/>
      <c r="M61" s="312"/>
    </row>
    <row r="62" spans="1:13" s="132" customFormat="1">
      <c r="A62" s="311" t="s">
        <v>112</v>
      </c>
      <c r="B62" s="338" t="s">
        <v>964</v>
      </c>
      <c r="C62" s="310" t="s">
        <v>414</v>
      </c>
      <c r="D62" s="310">
        <v>120</v>
      </c>
      <c r="E62" s="312">
        <v>600</v>
      </c>
      <c r="F62" s="312">
        <f t="shared" ref="F62:F64" si="17">D62*E62</f>
        <v>72000</v>
      </c>
      <c r="G62" s="312">
        <f>F62</f>
        <v>72000</v>
      </c>
      <c r="H62" s="312"/>
      <c r="I62" s="312"/>
      <c r="J62" s="312"/>
      <c r="K62" s="312"/>
      <c r="L62" s="312"/>
      <c r="M62" s="312"/>
    </row>
    <row r="63" spans="1:13" s="132" customFormat="1">
      <c r="A63" s="311" t="s">
        <v>113</v>
      </c>
      <c r="B63" s="338" t="s">
        <v>418</v>
      </c>
      <c r="C63" s="310" t="s">
        <v>414</v>
      </c>
      <c r="D63" s="310">
        <v>40</v>
      </c>
      <c r="E63" s="312">
        <v>800</v>
      </c>
      <c r="F63" s="312">
        <f t="shared" si="17"/>
        <v>32000</v>
      </c>
      <c r="G63" s="312">
        <f>F63</f>
        <v>32000</v>
      </c>
      <c r="H63" s="312"/>
      <c r="I63" s="312"/>
      <c r="J63" s="312"/>
      <c r="K63" s="312"/>
      <c r="L63" s="312"/>
      <c r="M63" s="312"/>
    </row>
    <row r="64" spans="1:13" s="132" customFormat="1" ht="26">
      <c r="A64" s="311" t="s">
        <v>114</v>
      </c>
      <c r="B64" s="309" t="s">
        <v>419</v>
      </c>
      <c r="C64" s="310" t="s">
        <v>379</v>
      </c>
      <c r="D64" s="310">
        <v>5</v>
      </c>
      <c r="E64" s="312">
        <v>12000</v>
      </c>
      <c r="F64" s="312">
        <f t="shared" si="17"/>
        <v>60000</v>
      </c>
      <c r="G64" s="312">
        <f>F64</f>
        <v>60000</v>
      </c>
      <c r="H64" s="312"/>
      <c r="I64" s="312"/>
      <c r="J64" s="312"/>
      <c r="K64" s="312"/>
      <c r="L64" s="312"/>
      <c r="M64" s="312"/>
    </row>
    <row r="65" spans="1:13" s="132" customFormat="1" ht="26">
      <c r="A65" s="311" t="s">
        <v>115</v>
      </c>
      <c r="B65" s="338" t="s">
        <v>380</v>
      </c>
      <c r="C65" s="310" t="s">
        <v>381</v>
      </c>
      <c r="D65" s="310">
        <v>4</v>
      </c>
      <c r="E65" s="312">
        <v>1600</v>
      </c>
      <c r="F65" s="312">
        <f>D65*E65</f>
        <v>6400</v>
      </c>
      <c r="G65" s="312">
        <f>F65</f>
        <v>6400</v>
      </c>
      <c r="H65" s="312"/>
      <c r="I65" s="312"/>
      <c r="J65" s="312"/>
      <c r="K65" s="312"/>
      <c r="L65" s="312"/>
      <c r="M65" s="312"/>
    </row>
    <row r="66" spans="1:13" s="132" customFormat="1" ht="26">
      <c r="A66" s="311" t="s">
        <v>116</v>
      </c>
      <c r="B66" s="309" t="s">
        <v>420</v>
      </c>
      <c r="C66" s="310" t="s">
        <v>38</v>
      </c>
      <c r="D66" s="310"/>
      <c r="E66" s="312"/>
      <c r="F66" s="312"/>
      <c r="G66" s="312"/>
      <c r="H66" s="312"/>
      <c r="I66" s="312"/>
      <c r="J66" s="312"/>
      <c r="K66" s="312"/>
      <c r="L66" s="312"/>
      <c r="M66" s="312"/>
    </row>
    <row r="67" spans="1:13" s="132" customFormat="1" ht="39">
      <c r="A67" s="311" t="s">
        <v>117</v>
      </c>
      <c r="B67" s="338" t="s">
        <v>412</v>
      </c>
      <c r="C67" s="310" t="s">
        <v>381</v>
      </c>
      <c r="D67" s="310">
        <v>1</v>
      </c>
      <c r="E67" s="312">
        <v>6550</v>
      </c>
      <c r="F67" s="312">
        <f t="shared" ref="F67:F72" si="18">D67*E67</f>
        <v>6550</v>
      </c>
      <c r="G67" s="312">
        <f>F67</f>
        <v>6550</v>
      </c>
      <c r="H67" s="312"/>
      <c r="I67" s="312"/>
      <c r="J67" s="312"/>
      <c r="K67" s="312"/>
      <c r="L67" s="312"/>
      <c r="M67" s="312"/>
    </row>
    <row r="68" spans="1:13" s="132" customFormat="1">
      <c r="A68" s="311" t="s">
        <v>119</v>
      </c>
      <c r="B68" s="338" t="s">
        <v>963</v>
      </c>
      <c r="C68" s="310" t="s">
        <v>377</v>
      </c>
      <c r="D68" s="310">
        <v>120</v>
      </c>
      <c r="E68" s="312">
        <v>500</v>
      </c>
      <c r="F68" s="312">
        <f t="shared" si="18"/>
        <v>60000</v>
      </c>
      <c r="G68" s="310"/>
      <c r="H68" s="312">
        <f t="shared" ref="H68:H77" si="19">F68</f>
        <v>60000</v>
      </c>
      <c r="I68" s="312"/>
      <c r="J68" s="312"/>
      <c r="K68" s="312"/>
      <c r="L68" s="312"/>
      <c r="M68" s="312"/>
    </row>
    <row r="69" spans="1:13" s="132" customFormat="1" ht="26">
      <c r="A69" s="311" t="s">
        <v>120</v>
      </c>
      <c r="B69" s="338" t="s">
        <v>411</v>
      </c>
      <c r="C69" s="310" t="s">
        <v>377</v>
      </c>
      <c r="D69" s="310">
        <v>40</v>
      </c>
      <c r="E69" s="312">
        <v>800</v>
      </c>
      <c r="F69" s="312">
        <f t="shared" si="18"/>
        <v>32000</v>
      </c>
      <c r="G69" s="310"/>
      <c r="H69" s="312">
        <f t="shared" si="19"/>
        <v>32000</v>
      </c>
      <c r="I69" s="312"/>
      <c r="J69" s="312"/>
      <c r="K69" s="312"/>
      <c r="L69" s="312"/>
      <c r="M69" s="312"/>
    </row>
    <row r="70" spans="1:13" s="132" customFormat="1" ht="26">
      <c r="A70" s="311" t="s">
        <v>121</v>
      </c>
      <c r="B70" s="309" t="s">
        <v>421</v>
      </c>
      <c r="C70" s="310" t="s">
        <v>379</v>
      </c>
      <c r="D70" s="310">
        <v>4</v>
      </c>
      <c r="E70" s="312">
        <v>7500</v>
      </c>
      <c r="F70" s="312">
        <f t="shared" si="18"/>
        <v>30000</v>
      </c>
      <c r="G70" s="310"/>
      <c r="H70" s="312">
        <f t="shared" si="19"/>
        <v>30000</v>
      </c>
      <c r="I70" s="312"/>
      <c r="J70" s="312"/>
      <c r="K70" s="312"/>
      <c r="L70" s="312"/>
      <c r="M70" s="312"/>
    </row>
    <row r="71" spans="1:13" s="132" customFormat="1" ht="26">
      <c r="A71" s="311" t="s">
        <v>122</v>
      </c>
      <c r="B71" s="338" t="s">
        <v>380</v>
      </c>
      <c r="C71" s="310" t="s">
        <v>381</v>
      </c>
      <c r="D71" s="310">
        <v>4</v>
      </c>
      <c r="E71" s="312">
        <v>1600</v>
      </c>
      <c r="F71" s="312">
        <f t="shared" si="18"/>
        <v>6400</v>
      </c>
      <c r="G71" s="310"/>
      <c r="H71" s="312">
        <f t="shared" si="19"/>
        <v>6400</v>
      </c>
      <c r="I71" s="312"/>
      <c r="J71" s="312"/>
      <c r="K71" s="312"/>
      <c r="L71" s="312"/>
      <c r="M71" s="312"/>
    </row>
    <row r="72" spans="1:13" s="132" customFormat="1" ht="39">
      <c r="A72" s="311" t="s">
        <v>123</v>
      </c>
      <c r="B72" s="338" t="s">
        <v>412</v>
      </c>
      <c r="C72" s="310" t="s">
        <v>381</v>
      </c>
      <c r="D72" s="310">
        <v>1</v>
      </c>
      <c r="E72" s="312">
        <v>6550</v>
      </c>
      <c r="F72" s="312">
        <f t="shared" si="18"/>
        <v>6550</v>
      </c>
      <c r="G72" s="310"/>
      <c r="H72" s="312">
        <f t="shared" si="19"/>
        <v>6550</v>
      </c>
      <c r="I72" s="312"/>
      <c r="J72" s="312"/>
      <c r="K72" s="312"/>
      <c r="L72" s="312"/>
      <c r="M72" s="312"/>
    </row>
    <row r="73" spans="1:13" s="132" customFormat="1">
      <c r="A73" s="311" t="s">
        <v>125</v>
      </c>
      <c r="B73" s="338" t="s">
        <v>963</v>
      </c>
      <c r="C73" s="310" t="s">
        <v>377</v>
      </c>
      <c r="D73" s="310">
        <v>120</v>
      </c>
      <c r="E73" s="312">
        <v>500</v>
      </c>
      <c r="F73" s="312">
        <f t="shared" ref="F73:F77" si="20">D73*E73</f>
        <v>60000</v>
      </c>
      <c r="G73" s="310"/>
      <c r="H73" s="312">
        <f t="shared" si="19"/>
        <v>60000</v>
      </c>
      <c r="I73" s="312"/>
      <c r="J73" s="312"/>
      <c r="K73" s="312"/>
      <c r="L73" s="312"/>
      <c r="M73" s="312"/>
    </row>
    <row r="74" spans="1:13" s="132" customFormat="1" ht="26">
      <c r="A74" s="311" t="s">
        <v>126</v>
      </c>
      <c r="B74" s="309" t="s">
        <v>422</v>
      </c>
      <c r="C74" s="310" t="s">
        <v>379</v>
      </c>
      <c r="D74" s="310">
        <v>4</v>
      </c>
      <c r="E74" s="312">
        <v>22500</v>
      </c>
      <c r="F74" s="312">
        <f t="shared" si="20"/>
        <v>90000</v>
      </c>
      <c r="G74" s="310"/>
      <c r="H74" s="312">
        <f t="shared" si="19"/>
        <v>90000</v>
      </c>
      <c r="I74" s="312"/>
      <c r="J74" s="312"/>
      <c r="K74" s="312"/>
      <c r="L74" s="312"/>
      <c r="M74" s="312"/>
    </row>
    <row r="75" spans="1:13" s="132" customFormat="1" ht="26">
      <c r="A75" s="311" t="s">
        <v>127</v>
      </c>
      <c r="B75" s="338" t="s">
        <v>380</v>
      </c>
      <c r="C75" s="310" t="s">
        <v>381</v>
      </c>
      <c r="D75" s="310">
        <v>3</v>
      </c>
      <c r="E75" s="312">
        <v>1600</v>
      </c>
      <c r="F75" s="312">
        <f t="shared" si="20"/>
        <v>4800</v>
      </c>
      <c r="G75" s="310"/>
      <c r="H75" s="312">
        <f t="shared" si="19"/>
        <v>4800</v>
      </c>
      <c r="I75" s="312"/>
      <c r="J75" s="312"/>
      <c r="K75" s="312"/>
      <c r="L75" s="312"/>
      <c r="M75" s="312"/>
    </row>
    <row r="76" spans="1:13" s="132" customFormat="1" ht="26">
      <c r="A76" s="311" t="s">
        <v>128</v>
      </c>
      <c r="B76" s="338" t="s">
        <v>415</v>
      </c>
      <c r="C76" s="310" t="s">
        <v>377</v>
      </c>
      <c r="D76" s="310">
        <v>40</v>
      </c>
      <c r="E76" s="312">
        <v>800</v>
      </c>
      <c r="F76" s="312">
        <f t="shared" si="20"/>
        <v>32000</v>
      </c>
      <c r="G76" s="310"/>
      <c r="H76" s="312">
        <f t="shared" si="19"/>
        <v>32000</v>
      </c>
      <c r="I76" s="312"/>
      <c r="J76" s="312"/>
      <c r="K76" s="312"/>
      <c r="L76" s="312"/>
      <c r="M76" s="312"/>
    </row>
    <row r="77" spans="1:13" s="132" customFormat="1" ht="39">
      <c r="A77" s="311" t="s">
        <v>129</v>
      </c>
      <c r="B77" s="309" t="str">
        <f>$B$7</f>
        <v>Travel cost international: DHI, Partnership agreement, international economy  class travel in connection with consultancy advisory services such as conducting training activities, field missions, consultation workshops etc. Each trip will cover return airfare (2,000 USD), visa fee (150 USD), travel to and from airport (200 USD) and DSA for 40 days (average) @200 USD/day/trip.  Total per trip :  USD 10,350</v>
      </c>
      <c r="C77" s="310" t="s">
        <v>381</v>
      </c>
      <c r="D77" s="310">
        <v>1</v>
      </c>
      <c r="E77" s="312">
        <v>6550</v>
      </c>
      <c r="F77" s="312">
        <f t="shared" si="20"/>
        <v>6550</v>
      </c>
      <c r="G77" s="310"/>
      <c r="H77" s="312">
        <f t="shared" si="19"/>
        <v>6550</v>
      </c>
      <c r="I77" s="312"/>
      <c r="J77" s="312"/>
      <c r="K77" s="312"/>
      <c r="L77" s="312"/>
      <c r="M77" s="312"/>
    </row>
    <row r="78" spans="1:13">
      <c r="A78" s="311"/>
      <c r="B78" s="327"/>
      <c r="C78" s="328"/>
      <c r="D78" s="328"/>
      <c r="E78" s="329"/>
      <c r="F78" s="329"/>
      <c r="G78" s="329"/>
      <c r="H78" s="329"/>
      <c r="I78" s="329"/>
      <c r="J78" s="329"/>
      <c r="K78" s="329"/>
      <c r="L78" s="329"/>
      <c r="M78" s="329"/>
    </row>
    <row r="79" spans="1:13">
      <c r="A79" s="311"/>
      <c r="B79" s="309"/>
      <c r="C79" s="310"/>
      <c r="D79" s="310"/>
      <c r="E79" s="312"/>
      <c r="F79" s="312"/>
      <c r="G79" s="312"/>
      <c r="H79" s="312"/>
      <c r="I79" s="312"/>
      <c r="J79" s="312"/>
      <c r="K79" s="312"/>
      <c r="L79" s="312"/>
      <c r="M79" s="312"/>
    </row>
    <row r="80" spans="1:13" ht="39">
      <c r="A80" s="311" t="s">
        <v>423</v>
      </c>
      <c r="B80" s="336" t="s">
        <v>424</v>
      </c>
      <c r="C80" s="310" t="s">
        <v>38</v>
      </c>
      <c r="D80" s="310"/>
      <c r="E80" s="312"/>
      <c r="F80" s="312"/>
      <c r="G80" s="312"/>
      <c r="H80" s="312"/>
      <c r="I80" s="312"/>
      <c r="J80" s="312"/>
      <c r="K80" s="312"/>
      <c r="L80" s="312"/>
      <c r="M80" s="312"/>
    </row>
    <row r="81" spans="1:14">
      <c r="A81" s="311" t="s">
        <v>425</v>
      </c>
      <c r="B81" s="336" t="s">
        <v>426</v>
      </c>
      <c r="C81" s="310" t="s">
        <v>427</v>
      </c>
      <c r="D81" s="310"/>
      <c r="E81" s="312"/>
      <c r="F81" s="312"/>
      <c r="G81" s="312"/>
      <c r="H81" s="312"/>
      <c r="I81" s="312"/>
      <c r="J81" s="312"/>
      <c r="K81" s="312"/>
      <c r="L81" s="312"/>
      <c r="M81" s="312"/>
    </row>
    <row r="82" spans="1:14" ht="26">
      <c r="A82" s="311" t="s">
        <v>428</v>
      </c>
      <c r="B82" s="309" t="s">
        <v>429</v>
      </c>
      <c r="C82" s="310" t="s">
        <v>375</v>
      </c>
      <c r="D82" s="310">
        <v>7</v>
      </c>
      <c r="E82" s="312">
        <v>46851</v>
      </c>
      <c r="F82" s="312">
        <f>$E$82</f>
        <v>46851</v>
      </c>
      <c r="G82" s="312">
        <f t="shared" ref="G82:M82" si="21">$E$82</f>
        <v>46851</v>
      </c>
      <c r="H82" s="312">
        <f t="shared" si="21"/>
        <v>46851</v>
      </c>
      <c r="I82" s="312">
        <f t="shared" si="21"/>
        <v>46851</v>
      </c>
      <c r="J82" s="312">
        <f t="shared" si="21"/>
        <v>46851</v>
      </c>
      <c r="K82" s="312">
        <f t="shared" si="21"/>
        <v>46851</v>
      </c>
      <c r="L82" s="312">
        <f t="shared" si="21"/>
        <v>46851</v>
      </c>
      <c r="M82" s="312">
        <f t="shared" si="21"/>
        <v>46851</v>
      </c>
    </row>
    <row r="83" spans="1:14">
      <c r="A83" s="311" t="s">
        <v>430</v>
      </c>
      <c r="B83" s="309" t="s">
        <v>431</v>
      </c>
      <c r="C83" s="310" t="s">
        <v>140</v>
      </c>
      <c r="D83" s="310">
        <v>14</v>
      </c>
      <c r="E83" s="312">
        <v>500</v>
      </c>
      <c r="F83" s="312">
        <f t="shared" ref="F83:F87" si="22">D83*E83</f>
        <v>7000</v>
      </c>
      <c r="G83" s="312">
        <f>F83</f>
        <v>7000</v>
      </c>
      <c r="H83" s="312"/>
      <c r="I83" s="312"/>
      <c r="J83" s="312"/>
      <c r="K83" s="312"/>
      <c r="L83" s="312"/>
      <c r="M83" s="312"/>
    </row>
    <row r="84" spans="1:14" ht="26">
      <c r="A84" s="311" t="s">
        <v>432</v>
      </c>
      <c r="B84" s="336" t="s">
        <v>433</v>
      </c>
      <c r="C84" s="309" t="s">
        <v>434</v>
      </c>
      <c r="D84" s="310">
        <v>7</v>
      </c>
      <c r="E84" s="312">
        <v>4000</v>
      </c>
      <c r="F84" s="312">
        <f t="shared" si="22"/>
        <v>28000</v>
      </c>
      <c r="G84" s="312">
        <f>$E$84</f>
        <v>4000</v>
      </c>
      <c r="H84" s="312">
        <f t="shared" ref="H84:M84" si="23">$E$84</f>
        <v>4000</v>
      </c>
      <c r="I84" s="312">
        <f t="shared" si="23"/>
        <v>4000</v>
      </c>
      <c r="J84" s="312">
        <f t="shared" si="23"/>
        <v>4000</v>
      </c>
      <c r="K84" s="312">
        <f t="shared" si="23"/>
        <v>4000</v>
      </c>
      <c r="L84" s="312">
        <f t="shared" si="23"/>
        <v>4000</v>
      </c>
      <c r="M84" s="312">
        <f t="shared" si="23"/>
        <v>4000</v>
      </c>
      <c r="N84" s="112"/>
    </row>
    <row r="85" spans="1:14" ht="26">
      <c r="A85" s="311" t="s">
        <v>435</v>
      </c>
      <c r="B85" s="309" t="s">
        <v>436</v>
      </c>
      <c r="C85" s="310" t="s">
        <v>140</v>
      </c>
      <c r="D85" s="310">
        <v>4</v>
      </c>
      <c r="E85" s="312">
        <v>500</v>
      </c>
      <c r="F85" s="312">
        <f t="shared" si="22"/>
        <v>2000</v>
      </c>
      <c r="G85" s="312">
        <f>F85</f>
        <v>2000</v>
      </c>
      <c r="H85" s="312"/>
      <c r="I85" s="312"/>
      <c r="J85" s="312"/>
      <c r="K85" s="312"/>
      <c r="L85" s="312"/>
      <c r="M85" s="312"/>
    </row>
    <row r="86" spans="1:14" ht="91">
      <c r="A86" s="311" t="s">
        <v>437</v>
      </c>
      <c r="B86" s="336" t="s">
        <v>438</v>
      </c>
      <c r="C86" s="310" t="s">
        <v>439</v>
      </c>
      <c r="D86" s="310">
        <v>7</v>
      </c>
      <c r="E86" s="312">
        <v>32000</v>
      </c>
      <c r="F86" s="312">
        <f t="shared" si="22"/>
        <v>224000</v>
      </c>
      <c r="G86" s="312">
        <f>$E$86</f>
        <v>32000</v>
      </c>
      <c r="H86" s="312">
        <f t="shared" ref="H86:M86" si="24">$E$86</f>
        <v>32000</v>
      </c>
      <c r="I86" s="312">
        <f t="shared" si="24"/>
        <v>32000</v>
      </c>
      <c r="J86" s="312">
        <f t="shared" si="24"/>
        <v>32000</v>
      </c>
      <c r="K86" s="312">
        <f t="shared" si="24"/>
        <v>32000</v>
      </c>
      <c r="L86" s="312">
        <f t="shared" si="24"/>
        <v>32000</v>
      </c>
      <c r="M86" s="312">
        <f t="shared" si="24"/>
        <v>32000</v>
      </c>
    </row>
    <row r="87" spans="1:14" ht="65">
      <c r="A87" s="311" t="s">
        <v>440</v>
      </c>
      <c r="B87" s="336" t="s">
        <v>441</v>
      </c>
      <c r="C87" s="309" t="s">
        <v>434</v>
      </c>
      <c r="D87" s="310">
        <v>7</v>
      </c>
      <c r="E87" s="312">
        <v>20800</v>
      </c>
      <c r="F87" s="312">
        <f t="shared" si="22"/>
        <v>145600</v>
      </c>
      <c r="G87" s="312">
        <f>$E$87</f>
        <v>20800</v>
      </c>
      <c r="H87" s="312">
        <f t="shared" ref="H87:M87" si="25">$E$87</f>
        <v>20800</v>
      </c>
      <c r="I87" s="312">
        <f t="shared" si="25"/>
        <v>20800</v>
      </c>
      <c r="J87" s="312">
        <f t="shared" si="25"/>
        <v>20800</v>
      </c>
      <c r="K87" s="312">
        <f t="shared" si="25"/>
        <v>20800</v>
      </c>
      <c r="L87" s="312">
        <f t="shared" si="25"/>
        <v>20800</v>
      </c>
      <c r="M87" s="312">
        <f t="shared" si="25"/>
        <v>20800</v>
      </c>
    </row>
    <row r="88" spans="1:14" ht="39">
      <c r="A88" s="311" t="s">
        <v>151</v>
      </c>
      <c r="B88" s="309" t="s">
        <v>442</v>
      </c>
      <c r="C88" s="310" t="s">
        <v>38</v>
      </c>
      <c r="D88" s="310"/>
      <c r="E88" s="312"/>
      <c r="F88" s="312"/>
      <c r="G88" s="312"/>
      <c r="H88" s="312"/>
      <c r="I88" s="312"/>
      <c r="J88" s="312"/>
      <c r="K88" s="312"/>
      <c r="L88" s="312"/>
      <c r="M88" s="312"/>
    </row>
    <row r="89" spans="1:14" ht="52">
      <c r="A89" s="311" t="s">
        <v>152</v>
      </c>
      <c r="B89" s="336" t="s">
        <v>443</v>
      </c>
      <c r="C89" s="310" t="s">
        <v>439</v>
      </c>
      <c r="D89" s="310">
        <v>5</v>
      </c>
      <c r="E89" s="312">
        <v>19200</v>
      </c>
      <c r="F89" s="312">
        <f>D89*E89</f>
        <v>96000</v>
      </c>
      <c r="G89" s="312">
        <f>$E$89</f>
        <v>19200</v>
      </c>
      <c r="H89" s="312">
        <f>$E$89</f>
        <v>19200</v>
      </c>
      <c r="I89" s="312">
        <f>$E$89</f>
        <v>19200</v>
      </c>
      <c r="J89" s="312">
        <f>$E$89</f>
        <v>19200</v>
      </c>
      <c r="K89" s="312">
        <f>$E$89</f>
        <v>19200</v>
      </c>
      <c r="L89" s="312"/>
      <c r="M89" s="312"/>
    </row>
    <row r="90" spans="1:14" ht="39">
      <c r="A90" s="311" t="s">
        <v>444</v>
      </c>
      <c r="B90" s="336" t="s">
        <v>445</v>
      </c>
      <c r="C90" s="310" t="s">
        <v>446</v>
      </c>
      <c r="D90" s="310">
        <v>8</v>
      </c>
      <c r="E90" s="312">
        <v>2080</v>
      </c>
      <c r="F90" s="312">
        <f>D90*E90</f>
        <v>16640</v>
      </c>
      <c r="G90" s="312">
        <f>F90</f>
        <v>16640</v>
      </c>
      <c r="H90" s="312"/>
      <c r="I90" s="312"/>
      <c r="J90" s="312"/>
      <c r="K90" s="312"/>
      <c r="L90" s="312"/>
      <c r="M90" s="312"/>
    </row>
    <row r="91" spans="1:14" ht="39">
      <c r="A91" s="311" t="s">
        <v>154</v>
      </c>
      <c r="B91" s="336" t="s">
        <v>447</v>
      </c>
      <c r="C91" s="310" t="s">
        <v>446</v>
      </c>
      <c r="D91" s="310">
        <v>8</v>
      </c>
      <c r="E91" s="312">
        <v>1500</v>
      </c>
      <c r="F91" s="312">
        <f>D91*E91</f>
        <v>12000</v>
      </c>
      <c r="G91" s="312">
        <f>F91/2</f>
        <v>6000</v>
      </c>
      <c r="H91" s="312">
        <f>F91/2</f>
        <v>6000</v>
      </c>
      <c r="I91" s="312"/>
      <c r="J91" s="312"/>
      <c r="K91" s="312"/>
      <c r="L91" s="312"/>
      <c r="M91" s="312"/>
    </row>
    <row r="92" spans="1:14" ht="47.15" customHeight="1">
      <c r="A92" s="311" t="s">
        <v>156</v>
      </c>
      <c r="B92" s="309" t="s">
        <v>448</v>
      </c>
      <c r="C92" s="310" t="s">
        <v>140</v>
      </c>
      <c r="D92" s="310">
        <v>14</v>
      </c>
      <c r="E92" s="312">
        <v>500</v>
      </c>
      <c r="F92" s="312">
        <f t="shared" ref="F92:F102" si="26">D92*E92</f>
        <v>7000</v>
      </c>
      <c r="G92" s="312">
        <f>F92</f>
        <v>7000</v>
      </c>
      <c r="H92" s="312"/>
      <c r="I92" s="312"/>
      <c r="J92" s="312"/>
      <c r="K92" s="312"/>
      <c r="L92" s="312"/>
      <c r="M92" s="312"/>
    </row>
    <row r="93" spans="1:14" ht="26">
      <c r="A93" s="311" t="s">
        <v>158</v>
      </c>
      <c r="B93" s="309" t="s">
        <v>449</v>
      </c>
      <c r="C93" s="310" t="s">
        <v>140</v>
      </c>
      <c r="D93" s="310">
        <v>1</v>
      </c>
      <c r="E93" s="312">
        <v>2000</v>
      </c>
      <c r="F93" s="312">
        <f t="shared" si="26"/>
        <v>2000</v>
      </c>
      <c r="G93" s="312">
        <f>F93</f>
        <v>2000</v>
      </c>
      <c r="H93" s="312"/>
      <c r="I93" s="312"/>
      <c r="J93" s="312"/>
      <c r="K93" s="312"/>
      <c r="L93" s="312"/>
      <c r="M93" s="312"/>
    </row>
    <row r="94" spans="1:14" ht="52">
      <c r="A94" s="311" t="s">
        <v>159</v>
      </c>
      <c r="B94" s="336" t="s">
        <v>450</v>
      </c>
      <c r="C94" s="310" t="s">
        <v>451</v>
      </c>
      <c r="D94" s="310">
        <v>120</v>
      </c>
      <c r="E94" s="312">
        <v>800</v>
      </c>
      <c r="F94" s="312">
        <f t="shared" si="26"/>
        <v>96000</v>
      </c>
      <c r="G94" s="312">
        <f>$E$94*24</f>
        <v>19200</v>
      </c>
      <c r="H94" s="312">
        <f>$E$94*24</f>
        <v>19200</v>
      </c>
      <c r="I94" s="312">
        <f>$E$94*24</f>
        <v>19200</v>
      </c>
      <c r="J94" s="312">
        <f>$E$94*24</f>
        <v>19200</v>
      </c>
      <c r="K94" s="312">
        <f>$E$94*24</f>
        <v>19200</v>
      </c>
      <c r="L94" s="312"/>
      <c r="M94" s="312"/>
    </row>
    <row r="95" spans="1:14" ht="52">
      <c r="A95" s="311" t="s">
        <v>160</v>
      </c>
      <c r="B95" s="336" t="s">
        <v>452</v>
      </c>
      <c r="C95" s="310" t="s">
        <v>140</v>
      </c>
      <c r="D95" s="310">
        <v>120</v>
      </c>
      <c r="E95" s="312">
        <v>500</v>
      </c>
      <c r="F95" s="312">
        <f t="shared" si="26"/>
        <v>60000</v>
      </c>
      <c r="G95" s="312">
        <f>$E$95*24</f>
        <v>12000</v>
      </c>
      <c r="H95" s="312">
        <f>$E$95*24</f>
        <v>12000</v>
      </c>
      <c r="I95" s="312">
        <f>$E$95*24</f>
        <v>12000</v>
      </c>
      <c r="J95" s="312">
        <f>$E$95*24</f>
        <v>12000</v>
      </c>
      <c r="K95" s="312">
        <f>$E$95*24</f>
        <v>12000</v>
      </c>
      <c r="L95" s="312"/>
      <c r="M95" s="312"/>
    </row>
    <row r="96" spans="1:14" ht="65">
      <c r="A96" s="311" t="s">
        <v>162</v>
      </c>
      <c r="B96" s="336" t="s">
        <v>453</v>
      </c>
      <c r="C96" s="309" t="s">
        <v>454</v>
      </c>
      <c r="D96" s="310">
        <v>120</v>
      </c>
      <c r="E96" s="312">
        <v>2000</v>
      </c>
      <c r="F96" s="312">
        <f t="shared" si="26"/>
        <v>240000</v>
      </c>
      <c r="G96" s="312"/>
      <c r="H96" s="312">
        <f>$E$96*24</f>
        <v>48000</v>
      </c>
      <c r="I96" s="312">
        <f>$E$96*24</f>
        <v>48000</v>
      </c>
      <c r="J96" s="312">
        <f>$E$96*24</f>
        <v>48000</v>
      </c>
      <c r="K96" s="312">
        <f>$E$96*24</f>
        <v>48000</v>
      </c>
      <c r="L96" s="312">
        <f>$E$96*24</f>
        <v>48000</v>
      </c>
      <c r="M96" s="312"/>
    </row>
    <row r="97" spans="1:14" ht="65">
      <c r="A97" s="311" t="s">
        <v>164</v>
      </c>
      <c r="B97" s="336" t="s">
        <v>455</v>
      </c>
      <c r="C97" s="309" t="s">
        <v>456</v>
      </c>
      <c r="D97" s="310">
        <v>120</v>
      </c>
      <c r="E97" s="312">
        <v>1500</v>
      </c>
      <c r="F97" s="312">
        <f>D97*E97</f>
        <v>180000</v>
      </c>
      <c r="G97" s="312">
        <f>24*$E$97</f>
        <v>36000</v>
      </c>
      <c r="H97" s="312">
        <f>24*$E$97</f>
        <v>36000</v>
      </c>
      <c r="I97" s="312">
        <f>24*$E$97</f>
        <v>36000</v>
      </c>
      <c r="J97" s="312">
        <f>24*$E$97</f>
        <v>36000</v>
      </c>
      <c r="K97" s="312">
        <f>24*$E$97</f>
        <v>36000</v>
      </c>
      <c r="L97" s="312"/>
      <c r="M97" s="312"/>
    </row>
    <row r="98" spans="1:14" ht="52">
      <c r="A98" s="311" t="s">
        <v>167</v>
      </c>
      <c r="B98" s="336" t="s">
        <v>457</v>
      </c>
      <c r="C98" s="309" t="s">
        <v>454</v>
      </c>
      <c r="D98" s="310">
        <v>120</v>
      </c>
      <c r="E98" s="312">
        <v>2000</v>
      </c>
      <c r="F98" s="312">
        <f t="shared" si="26"/>
        <v>240000</v>
      </c>
      <c r="G98" s="312">
        <f>$E$98*24</f>
        <v>48000</v>
      </c>
      <c r="H98" s="312">
        <f>$E$98*24</f>
        <v>48000</v>
      </c>
      <c r="I98" s="312">
        <f>$E$98*24</f>
        <v>48000</v>
      </c>
      <c r="J98" s="312">
        <f>$E$98*24</f>
        <v>48000</v>
      </c>
      <c r="K98" s="312">
        <f>$E$98*24</f>
        <v>48000</v>
      </c>
      <c r="L98" s="312"/>
      <c r="M98" s="312"/>
    </row>
    <row r="99" spans="1:14" ht="39">
      <c r="A99" s="311" t="s">
        <v>168</v>
      </c>
      <c r="B99" s="336" t="s">
        <v>458</v>
      </c>
      <c r="C99" s="309" t="s">
        <v>459</v>
      </c>
      <c r="D99" s="310">
        <v>8</v>
      </c>
      <c r="E99" s="312">
        <v>5200</v>
      </c>
      <c r="F99" s="312">
        <f t="shared" si="26"/>
        <v>41600</v>
      </c>
      <c r="G99" s="312">
        <f>F99</f>
        <v>41600</v>
      </c>
      <c r="H99" s="312"/>
      <c r="I99" s="312"/>
      <c r="J99" s="312"/>
      <c r="K99" s="312"/>
      <c r="L99" s="312"/>
      <c r="M99" s="312"/>
    </row>
    <row r="100" spans="1:14" ht="52">
      <c r="A100" s="311" t="s">
        <v>169</v>
      </c>
      <c r="B100" s="336" t="s">
        <v>460</v>
      </c>
      <c r="C100" s="309" t="s">
        <v>461</v>
      </c>
      <c r="D100" s="310">
        <v>5</v>
      </c>
      <c r="E100" s="312">
        <v>26000</v>
      </c>
      <c r="F100" s="312">
        <f t="shared" si="26"/>
        <v>130000</v>
      </c>
      <c r="G100" s="312">
        <f>$E$100</f>
        <v>26000</v>
      </c>
      <c r="H100" s="312">
        <f>$E$100</f>
        <v>26000</v>
      </c>
      <c r="I100" s="312">
        <f>$E$100</f>
        <v>26000</v>
      </c>
      <c r="J100" s="312">
        <f>$E$100</f>
        <v>26000</v>
      </c>
      <c r="K100" s="312">
        <f>$E$100</f>
        <v>26000</v>
      </c>
      <c r="L100" s="312"/>
      <c r="M100" s="312"/>
    </row>
    <row r="101" spans="1:14" ht="39">
      <c r="A101" s="311" t="s">
        <v>171</v>
      </c>
      <c r="B101" s="336" t="s">
        <v>462</v>
      </c>
      <c r="C101" s="309" t="s">
        <v>454</v>
      </c>
      <c r="D101" s="310">
        <v>120</v>
      </c>
      <c r="E101" s="312">
        <v>300</v>
      </c>
      <c r="F101" s="312">
        <f t="shared" si="26"/>
        <v>36000</v>
      </c>
      <c r="G101" s="312">
        <f>$E$101*24</f>
        <v>7200</v>
      </c>
      <c r="H101" s="312">
        <f>$E$101*24</f>
        <v>7200</v>
      </c>
      <c r="I101" s="312">
        <f>$E$101*24</f>
        <v>7200</v>
      </c>
      <c r="J101" s="312">
        <f>$E$101*24</f>
        <v>7200</v>
      </c>
      <c r="K101" s="312">
        <f>$E$101*24</f>
        <v>7200</v>
      </c>
      <c r="L101" s="312"/>
      <c r="M101" s="312"/>
    </row>
    <row r="102" spans="1:14" ht="78">
      <c r="A102" s="311" t="s">
        <v>172</v>
      </c>
      <c r="B102" s="336" t="s">
        <v>463</v>
      </c>
      <c r="C102" s="309" t="s">
        <v>464</v>
      </c>
      <c r="D102" s="310">
        <v>3360</v>
      </c>
      <c r="E102" s="312">
        <v>100</v>
      </c>
      <c r="F102" s="312">
        <f t="shared" si="26"/>
        <v>336000</v>
      </c>
      <c r="G102" s="312">
        <f>480*$E$102</f>
        <v>48000</v>
      </c>
      <c r="H102" s="312">
        <f t="shared" ref="H102:M102" si="27">480*$E$102</f>
        <v>48000</v>
      </c>
      <c r="I102" s="312">
        <f t="shared" si="27"/>
        <v>48000</v>
      </c>
      <c r="J102" s="312">
        <f t="shared" si="27"/>
        <v>48000</v>
      </c>
      <c r="K102" s="312">
        <f t="shared" si="27"/>
        <v>48000</v>
      </c>
      <c r="L102" s="312">
        <f t="shared" si="27"/>
        <v>48000</v>
      </c>
      <c r="M102" s="312">
        <f t="shared" si="27"/>
        <v>48000</v>
      </c>
    </row>
    <row r="103" spans="1:14" ht="52">
      <c r="A103" s="311" t="s">
        <v>174</v>
      </c>
      <c r="B103" s="309" t="s">
        <v>465</v>
      </c>
      <c r="C103" s="310" t="s">
        <v>38</v>
      </c>
      <c r="D103" s="310"/>
      <c r="E103" s="312"/>
      <c r="F103" s="312"/>
      <c r="G103" s="312"/>
      <c r="H103" s="312"/>
      <c r="I103" s="312"/>
      <c r="J103" s="312"/>
      <c r="K103" s="312"/>
      <c r="L103" s="312"/>
      <c r="M103" s="312"/>
    </row>
    <row r="104" spans="1:14" s="320" customFormat="1" ht="91">
      <c r="A104" s="311" t="s">
        <v>177</v>
      </c>
      <c r="B104" s="336" t="s">
        <v>466</v>
      </c>
      <c r="C104" s="310" t="s">
        <v>467</v>
      </c>
      <c r="D104" s="310">
        <v>13840</v>
      </c>
      <c r="E104" s="312">
        <v>250</v>
      </c>
      <c r="F104" s="312">
        <f>D104*E104</f>
        <v>3460000</v>
      </c>
      <c r="G104" s="312">
        <f>F104*'B17 CCA interventions'!B$23</f>
        <v>346000</v>
      </c>
      <c r="H104" s="312">
        <f>F104*'B17 CCA interventions'!B$24</f>
        <v>553600</v>
      </c>
      <c r="I104" s="312">
        <f>F104*'B17 CCA interventions'!B$25</f>
        <v>692000</v>
      </c>
      <c r="J104" s="312">
        <f>F104*'B17 CCA interventions'!B$26</f>
        <v>692000</v>
      </c>
      <c r="K104" s="312">
        <f>F104*'B17 CCA interventions'!B$27</f>
        <v>692000</v>
      </c>
      <c r="L104" s="312">
        <f>F104*'B17 CCA interventions'!B$28</f>
        <v>346000</v>
      </c>
      <c r="M104" s="312">
        <f>F104*'B17 CCA interventions'!B$29</f>
        <v>138400</v>
      </c>
      <c r="N104" s="326"/>
    </row>
    <row r="105" spans="1:14" s="320" customFormat="1" ht="117">
      <c r="A105" s="311" t="s">
        <v>178</v>
      </c>
      <c r="B105" s="336" t="s">
        <v>468</v>
      </c>
      <c r="C105" s="310" t="s">
        <v>467</v>
      </c>
      <c r="D105" s="310">
        <f>D104*0.25</f>
        <v>3460</v>
      </c>
      <c r="E105" s="312">
        <v>1000</v>
      </c>
      <c r="F105" s="312">
        <f>D105*E105</f>
        <v>3460000</v>
      </c>
      <c r="G105" s="312">
        <f>F105*'B17 CCA interventions'!B$23</f>
        <v>346000</v>
      </c>
      <c r="H105" s="312">
        <f>F105*'B17 CCA interventions'!B$24</f>
        <v>553600</v>
      </c>
      <c r="I105" s="312">
        <f>F105*'B17 CCA interventions'!B$25</f>
        <v>692000</v>
      </c>
      <c r="J105" s="312">
        <f>F105*'B17 CCA interventions'!B$26</f>
        <v>692000</v>
      </c>
      <c r="K105" s="312">
        <f>F105*'B17 CCA interventions'!B$27</f>
        <v>692000</v>
      </c>
      <c r="L105" s="312">
        <f>F105*'B17 CCA interventions'!B$28</f>
        <v>346000</v>
      </c>
      <c r="M105" s="312">
        <f>F105*'B17 CCA interventions'!B$29</f>
        <v>138400</v>
      </c>
      <c r="N105" s="326"/>
    </row>
    <row r="106" spans="1:14" s="320" customFormat="1" ht="130">
      <c r="A106" s="311" t="s">
        <v>179</v>
      </c>
      <c r="B106" s="336" t="s">
        <v>469</v>
      </c>
      <c r="C106" s="310" t="s">
        <v>467</v>
      </c>
      <c r="D106" s="310">
        <v>2000</v>
      </c>
      <c r="E106" s="312">
        <v>6500</v>
      </c>
      <c r="F106" s="312">
        <f>D106*E106</f>
        <v>13000000</v>
      </c>
      <c r="G106" s="312">
        <f>F106*'B17 CCA interventions'!B$23</f>
        <v>1300000</v>
      </c>
      <c r="H106" s="312">
        <f>F106*'B17 CCA interventions'!B$24</f>
        <v>2080000</v>
      </c>
      <c r="I106" s="312">
        <f>F106*'B17 CCA interventions'!B$25</f>
        <v>2600000</v>
      </c>
      <c r="J106" s="312">
        <f>F106*'B17 CCA interventions'!B$26</f>
        <v>2600000</v>
      </c>
      <c r="K106" s="312">
        <f>F106*'B17 CCA interventions'!B$27</f>
        <v>2600000</v>
      </c>
      <c r="L106" s="312">
        <f>F106*'B17 CCA interventions'!B$28</f>
        <v>1300000</v>
      </c>
      <c r="M106" s="312">
        <f>F106*'B17 CCA interventions'!B$29</f>
        <v>520000</v>
      </c>
    </row>
    <row r="107" spans="1:14" ht="39">
      <c r="A107" s="311" t="s">
        <v>181</v>
      </c>
      <c r="B107" s="309" t="s">
        <v>470</v>
      </c>
      <c r="C107" s="310" t="s">
        <v>38</v>
      </c>
      <c r="D107" s="310"/>
      <c r="E107" s="312"/>
      <c r="F107" s="312"/>
      <c r="G107" s="312"/>
      <c r="H107" s="312"/>
      <c r="I107" s="312"/>
      <c r="J107" s="312"/>
      <c r="K107" s="312"/>
      <c r="L107" s="312"/>
      <c r="M107" s="312"/>
    </row>
    <row r="108" spans="1:14" ht="52">
      <c r="A108" s="311" t="s">
        <v>182</v>
      </c>
      <c r="B108" s="336" t="s">
        <v>471</v>
      </c>
      <c r="C108" s="309" t="s">
        <v>472</v>
      </c>
      <c r="D108" s="310">
        <v>7</v>
      </c>
      <c r="E108" s="312">
        <v>80000</v>
      </c>
      <c r="F108" s="312">
        <f t="shared" ref="F108:F154" si="28">D108*E108</f>
        <v>560000</v>
      </c>
      <c r="G108" s="312">
        <f>$E$108</f>
        <v>80000</v>
      </c>
      <c r="H108" s="312">
        <f t="shared" ref="H108:M108" si="29">$E$108</f>
        <v>80000</v>
      </c>
      <c r="I108" s="312">
        <f t="shared" si="29"/>
        <v>80000</v>
      </c>
      <c r="J108" s="312">
        <f t="shared" si="29"/>
        <v>80000</v>
      </c>
      <c r="K108" s="312">
        <f t="shared" si="29"/>
        <v>80000</v>
      </c>
      <c r="L108" s="312">
        <f t="shared" si="29"/>
        <v>80000</v>
      </c>
      <c r="M108" s="312">
        <f t="shared" si="29"/>
        <v>80000</v>
      </c>
    </row>
    <row r="109" spans="1:14" ht="39">
      <c r="A109" s="311" t="s">
        <v>185</v>
      </c>
      <c r="B109" s="336" t="s">
        <v>473</v>
      </c>
      <c r="C109" s="309" t="s">
        <v>474</v>
      </c>
      <c r="D109" s="310">
        <f>3*1</f>
        <v>3</v>
      </c>
      <c r="E109" s="312">
        <v>3500</v>
      </c>
      <c r="F109" s="312">
        <f>D109*E109</f>
        <v>10500</v>
      </c>
      <c r="G109" s="312">
        <f>F109</f>
        <v>10500</v>
      </c>
      <c r="H109" s="312"/>
      <c r="I109" s="312"/>
      <c r="J109" s="312"/>
      <c r="K109" s="312"/>
      <c r="L109" s="312"/>
      <c r="M109" s="312"/>
    </row>
    <row r="110" spans="1:14" ht="21" customHeight="1">
      <c r="A110" s="311" t="s">
        <v>187</v>
      </c>
      <c r="B110" s="336" t="s">
        <v>475</v>
      </c>
      <c r="C110" s="310" t="s">
        <v>377</v>
      </c>
      <c r="D110" s="310">
        <v>40</v>
      </c>
      <c r="E110" s="312">
        <v>600</v>
      </c>
      <c r="F110" s="312">
        <f>D110*E110</f>
        <v>24000</v>
      </c>
      <c r="G110" s="312"/>
      <c r="H110" s="312">
        <f>F110</f>
        <v>24000</v>
      </c>
      <c r="I110" s="312"/>
      <c r="J110" s="312"/>
      <c r="K110" s="312"/>
      <c r="L110" s="312"/>
      <c r="M110" s="312"/>
    </row>
    <row r="111" spans="1:14" ht="26">
      <c r="A111" s="311" t="s">
        <v>189</v>
      </c>
      <c r="B111" s="336" t="s">
        <v>476</v>
      </c>
      <c r="C111" s="309" t="s">
        <v>477</v>
      </c>
      <c r="D111" s="310">
        <f>3*6</f>
        <v>18</v>
      </c>
      <c r="E111" s="312">
        <v>3500</v>
      </c>
      <c r="F111" s="312">
        <f>D111*E111</f>
        <v>63000</v>
      </c>
      <c r="G111" s="312"/>
      <c r="H111" s="312">
        <f t="shared" ref="H111:M111" si="30">$F$111/6</f>
        <v>10500</v>
      </c>
      <c r="I111" s="312">
        <f t="shared" si="30"/>
        <v>10500</v>
      </c>
      <c r="J111" s="312">
        <f t="shared" si="30"/>
        <v>10500</v>
      </c>
      <c r="K111" s="312">
        <f t="shared" si="30"/>
        <v>10500</v>
      </c>
      <c r="L111" s="312">
        <f t="shared" si="30"/>
        <v>10500</v>
      </c>
      <c r="M111" s="312">
        <f t="shared" si="30"/>
        <v>10500</v>
      </c>
      <c r="N111" s="112"/>
    </row>
    <row r="112" spans="1:14" ht="59.25" customHeight="1">
      <c r="A112" s="311" t="s">
        <v>191</v>
      </c>
      <c r="B112" s="336" t="s">
        <v>478</v>
      </c>
      <c r="C112" s="310" t="s">
        <v>291</v>
      </c>
      <c r="D112" s="310">
        <v>1</v>
      </c>
      <c r="E112" s="312">
        <v>19800</v>
      </c>
      <c r="F112" s="312">
        <f>D112*E112</f>
        <v>19800</v>
      </c>
      <c r="G112" s="312"/>
      <c r="H112" s="312"/>
      <c r="I112" s="312">
        <f>F112/1</f>
        <v>19800</v>
      </c>
      <c r="J112" s="312"/>
      <c r="K112" s="312"/>
      <c r="L112" s="312"/>
      <c r="M112" s="312"/>
      <c r="N112" s="112"/>
    </row>
    <row r="113" spans="1:15" ht="39">
      <c r="A113" s="311" t="s">
        <v>192</v>
      </c>
      <c r="B113" s="309" t="s">
        <v>470</v>
      </c>
      <c r="C113" s="310" t="s">
        <v>38</v>
      </c>
      <c r="D113" s="310"/>
      <c r="E113" s="312"/>
      <c r="F113" s="312"/>
      <c r="G113" s="312"/>
      <c r="H113" s="312"/>
      <c r="I113" s="312"/>
      <c r="J113" s="312"/>
      <c r="K113" s="312"/>
      <c r="L113" s="312"/>
      <c r="M113" s="312"/>
      <c r="N113" s="112"/>
    </row>
    <row r="114" spans="1:15">
      <c r="A114" s="311"/>
      <c r="B114" s="309"/>
      <c r="C114" s="310"/>
      <c r="D114" s="310"/>
      <c r="E114" s="312"/>
      <c r="F114" s="312"/>
      <c r="G114" s="312"/>
      <c r="H114" s="312"/>
      <c r="I114" s="312"/>
      <c r="J114" s="312"/>
      <c r="K114" s="312"/>
      <c r="L114" s="312"/>
      <c r="M114" s="312"/>
      <c r="N114" s="112"/>
    </row>
    <row r="115" spans="1:15">
      <c r="A115" s="311"/>
      <c r="B115" s="309"/>
      <c r="C115" s="310"/>
      <c r="D115" s="310"/>
      <c r="E115" s="312"/>
      <c r="F115" s="312"/>
      <c r="G115" s="312"/>
      <c r="H115" s="312"/>
      <c r="I115" s="312"/>
      <c r="J115" s="312"/>
      <c r="K115" s="312"/>
      <c r="L115" s="312"/>
      <c r="M115" s="312"/>
      <c r="N115" s="112"/>
    </row>
    <row r="116" spans="1:15" ht="195">
      <c r="A116" s="311" t="s">
        <v>479</v>
      </c>
      <c r="B116" s="336" t="s">
        <v>955</v>
      </c>
      <c r="C116" s="310"/>
      <c r="D116" s="310"/>
      <c r="E116" s="312"/>
      <c r="F116" s="312"/>
      <c r="G116" s="312"/>
      <c r="H116" s="312"/>
      <c r="I116" s="312"/>
      <c r="J116" s="312"/>
      <c r="K116" s="312"/>
      <c r="L116" s="312"/>
      <c r="M116" s="312"/>
      <c r="N116" s="112"/>
    </row>
    <row r="117" spans="1:15" ht="26">
      <c r="A117" s="311" t="s">
        <v>199</v>
      </c>
      <c r="B117" s="336" t="s">
        <v>480</v>
      </c>
      <c r="C117" s="310" t="s">
        <v>481</v>
      </c>
      <c r="D117" s="310">
        <v>120</v>
      </c>
      <c r="E117" s="312">
        <v>2000</v>
      </c>
      <c r="F117" s="312">
        <f>60*$E$117</f>
        <v>120000</v>
      </c>
      <c r="G117" s="312">
        <f>60*$E$117</f>
        <v>120000</v>
      </c>
      <c r="H117" s="312"/>
      <c r="I117" s="312"/>
      <c r="J117" s="312"/>
      <c r="K117" s="312"/>
      <c r="L117" s="312"/>
      <c r="M117" s="312"/>
      <c r="N117" s="112">
        <f t="shared" ref="N117" si="31">SUM(G117:M117)</f>
        <v>120000</v>
      </c>
    </row>
    <row r="118" spans="1:15" ht="36" customHeight="1">
      <c r="A118" s="311" t="s">
        <v>201</v>
      </c>
      <c r="B118" s="336" t="s">
        <v>482</v>
      </c>
      <c r="C118" s="310" t="s">
        <v>375</v>
      </c>
      <c r="D118" s="310">
        <v>7</v>
      </c>
      <c r="E118" s="312">
        <v>46851</v>
      </c>
      <c r="F118" s="312">
        <f>D118*E118</f>
        <v>327957</v>
      </c>
      <c r="G118" s="312">
        <f t="shared" ref="G118:M118" si="32">$E$118</f>
        <v>46851</v>
      </c>
      <c r="H118" s="312">
        <f t="shared" si="32"/>
        <v>46851</v>
      </c>
      <c r="I118" s="312">
        <f t="shared" si="32"/>
        <v>46851</v>
      </c>
      <c r="J118" s="312">
        <f t="shared" si="32"/>
        <v>46851</v>
      </c>
      <c r="K118" s="312">
        <f t="shared" si="32"/>
        <v>46851</v>
      </c>
      <c r="L118" s="312">
        <f t="shared" si="32"/>
        <v>46851</v>
      </c>
      <c r="M118" s="312">
        <f t="shared" si="32"/>
        <v>46851</v>
      </c>
      <c r="N118" s="112"/>
    </row>
    <row r="119" spans="1:15" ht="47.25" customHeight="1">
      <c r="A119" s="311" t="s">
        <v>204</v>
      </c>
      <c r="B119" s="403" t="s">
        <v>483</v>
      </c>
      <c r="C119" s="310" t="s">
        <v>484</v>
      </c>
      <c r="D119" s="310">
        <v>120</v>
      </c>
      <c r="E119" s="312">
        <v>1800</v>
      </c>
      <c r="F119" s="312">
        <f>60*$E$119</f>
        <v>108000</v>
      </c>
      <c r="G119" s="312">
        <f>60*$E$119</f>
        <v>108000</v>
      </c>
      <c r="H119" s="312"/>
      <c r="I119" s="312"/>
      <c r="J119" s="312"/>
      <c r="K119" s="312"/>
      <c r="L119" s="312"/>
      <c r="M119" s="312"/>
      <c r="N119" s="112"/>
    </row>
    <row r="120" spans="1:15" ht="49.5" customHeight="1">
      <c r="A120" s="311" t="s">
        <v>207</v>
      </c>
      <c r="B120" s="405" t="s">
        <v>485</v>
      </c>
      <c r="C120" s="310" t="s">
        <v>467</v>
      </c>
      <c r="D120" s="310">
        <v>14000</v>
      </c>
      <c r="E120" s="312">
        <v>1360</v>
      </c>
      <c r="F120" s="312">
        <f>D120*E120</f>
        <v>19040000</v>
      </c>
      <c r="G120" s="312">
        <f>$F$120*'B17 CCA interventions'!B28</f>
        <v>1904000</v>
      </c>
      <c r="H120" s="312">
        <f>$F$120*'B17 CCA interventions'!B24</f>
        <v>3046400</v>
      </c>
      <c r="I120" s="312">
        <f>$F$120*'B17 CCA interventions'!B25</f>
        <v>3808000</v>
      </c>
      <c r="J120" s="312">
        <f>$F$120*'B17 CCA interventions'!B26</f>
        <v>3808000</v>
      </c>
      <c r="K120" s="312">
        <f>$F$120*'B17 CCA interventions'!B27</f>
        <v>3808000</v>
      </c>
      <c r="L120" s="312">
        <f>$F$120*'B17 CCA interventions'!B28</f>
        <v>1904000</v>
      </c>
      <c r="M120" s="312">
        <f>$F$120*'B17 CCA interventions'!B29</f>
        <v>761600</v>
      </c>
      <c r="O120" s="112"/>
    </row>
    <row r="121" spans="1:15" ht="49.5" customHeight="1">
      <c r="A121" s="311" t="s">
        <v>182</v>
      </c>
      <c r="B121" s="309" t="s">
        <v>470</v>
      </c>
      <c r="C121" s="310" t="s">
        <v>59</v>
      </c>
      <c r="D121" s="310"/>
      <c r="E121" s="312"/>
      <c r="F121" s="312"/>
      <c r="G121" s="312"/>
      <c r="H121" s="312"/>
      <c r="I121" s="312"/>
      <c r="J121" s="312"/>
      <c r="K121" s="312"/>
      <c r="L121" s="312"/>
      <c r="M121" s="312"/>
      <c r="O121" s="112"/>
    </row>
    <row r="122" spans="1:15">
      <c r="A122" s="311"/>
      <c r="B122" s="330"/>
      <c r="C122" s="374"/>
      <c r="D122" s="374"/>
      <c r="E122" s="375"/>
      <c r="F122" s="375"/>
      <c r="G122" s="375"/>
      <c r="H122" s="375"/>
      <c r="I122" s="375"/>
      <c r="J122" s="375"/>
      <c r="K122" s="375"/>
      <c r="L122" s="375"/>
      <c r="M122" s="375"/>
    </row>
    <row r="123" spans="1:15" ht="39">
      <c r="A123" s="311" t="s">
        <v>215</v>
      </c>
      <c r="B123" s="309" t="s">
        <v>486</v>
      </c>
      <c r="C123" s="310" t="s">
        <v>38</v>
      </c>
      <c r="D123" s="310"/>
      <c r="E123" s="312"/>
      <c r="F123" s="312"/>
      <c r="G123" s="312"/>
      <c r="H123" s="312"/>
      <c r="I123" s="312"/>
      <c r="J123" s="312"/>
      <c r="K123" s="312"/>
      <c r="L123" s="312"/>
      <c r="M123" s="312"/>
    </row>
    <row r="124" spans="1:15" ht="64.5" customHeight="1">
      <c r="A124" s="311" t="s">
        <v>216</v>
      </c>
      <c r="B124" s="336" t="s">
        <v>487</v>
      </c>
      <c r="C124" s="310" t="s">
        <v>488</v>
      </c>
      <c r="D124" s="310">
        <v>5</v>
      </c>
      <c r="E124" s="312">
        <v>19200</v>
      </c>
      <c r="F124" s="312">
        <f t="shared" si="28"/>
        <v>96000</v>
      </c>
      <c r="G124" s="312">
        <f>$E$124</f>
        <v>19200</v>
      </c>
      <c r="H124" s="312">
        <f>$E$124</f>
        <v>19200</v>
      </c>
      <c r="I124" s="312">
        <f>$E$124</f>
        <v>19200</v>
      </c>
      <c r="J124" s="312">
        <f>$E$124</f>
        <v>19200</v>
      </c>
      <c r="K124" s="312">
        <f>$E$124</f>
        <v>19200</v>
      </c>
      <c r="L124" s="312"/>
      <c r="M124" s="312"/>
    </row>
    <row r="125" spans="1:15" ht="48" customHeight="1">
      <c r="A125" s="311" t="s">
        <v>220</v>
      </c>
      <c r="B125" s="336" t="s">
        <v>489</v>
      </c>
      <c r="C125" s="310" t="s">
        <v>377</v>
      </c>
      <c r="D125" s="310">
        <v>88</v>
      </c>
      <c r="E125" s="312">
        <v>400</v>
      </c>
      <c r="F125" s="312">
        <f t="shared" si="28"/>
        <v>35200</v>
      </c>
      <c r="G125" s="312"/>
      <c r="H125" s="312">
        <f>F125</f>
        <v>35200</v>
      </c>
      <c r="I125" s="312"/>
      <c r="J125" s="312"/>
      <c r="K125" s="312"/>
      <c r="L125" s="312"/>
      <c r="M125" s="312"/>
    </row>
    <row r="126" spans="1:15" ht="52">
      <c r="A126" s="311" t="s">
        <v>221</v>
      </c>
      <c r="B126" s="336" t="s">
        <v>490</v>
      </c>
      <c r="C126" s="310" t="s">
        <v>416</v>
      </c>
      <c r="D126" s="310">
        <v>8</v>
      </c>
      <c r="E126" s="312">
        <v>2800</v>
      </c>
      <c r="F126" s="312">
        <f t="shared" si="28"/>
        <v>22400</v>
      </c>
      <c r="G126" s="312"/>
      <c r="H126" s="312">
        <f>F126</f>
        <v>22400</v>
      </c>
      <c r="I126" s="312"/>
      <c r="J126" s="312"/>
      <c r="K126" s="312"/>
      <c r="L126" s="312"/>
      <c r="M126" s="312"/>
    </row>
    <row r="127" spans="1:15" ht="71.25" customHeight="1">
      <c r="A127" s="311" t="s">
        <v>222</v>
      </c>
      <c r="B127" s="336" t="s">
        <v>491</v>
      </c>
      <c r="C127" s="309" t="s">
        <v>434</v>
      </c>
      <c r="D127" s="310">
        <v>5</v>
      </c>
      <c r="E127" s="312">
        <v>57200</v>
      </c>
      <c r="F127" s="312">
        <f t="shared" si="28"/>
        <v>286000</v>
      </c>
      <c r="G127" s="312">
        <f>$E$127</f>
        <v>57200</v>
      </c>
      <c r="H127" s="312">
        <f>$E$127</f>
        <v>57200</v>
      </c>
      <c r="I127" s="312">
        <f>$E$127</f>
        <v>57200</v>
      </c>
      <c r="J127" s="312">
        <f>$E$127</f>
        <v>57200</v>
      </c>
      <c r="K127" s="312">
        <f>$E$127</f>
        <v>57200</v>
      </c>
      <c r="L127" s="312"/>
      <c r="M127" s="312"/>
    </row>
    <row r="128" spans="1:15" ht="60.75" customHeight="1">
      <c r="A128" s="311" t="s">
        <v>225</v>
      </c>
      <c r="B128" s="309" t="s">
        <v>492</v>
      </c>
      <c r="C128" s="310" t="s">
        <v>493</v>
      </c>
      <c r="D128" s="310">
        <v>100</v>
      </c>
      <c r="E128" s="312">
        <v>260</v>
      </c>
      <c r="F128" s="312">
        <f t="shared" si="28"/>
        <v>26000</v>
      </c>
      <c r="G128" s="312"/>
      <c r="H128" s="312">
        <f>$E$128*20</f>
        <v>5200</v>
      </c>
      <c r="I128" s="312">
        <f>$E$128*20</f>
        <v>5200</v>
      </c>
      <c r="J128" s="312">
        <f>$E$128*20</f>
        <v>5200</v>
      </c>
      <c r="K128" s="312">
        <f>$E$128*20</f>
        <v>5200</v>
      </c>
      <c r="L128" s="312">
        <f>$E$128*20</f>
        <v>5200</v>
      </c>
      <c r="M128" s="312"/>
    </row>
    <row r="129" spans="1:31" ht="51.75" customHeight="1">
      <c r="A129" s="311" t="s">
        <v>227</v>
      </c>
      <c r="B129" s="309" t="s">
        <v>494</v>
      </c>
      <c r="C129" s="310" t="s">
        <v>38</v>
      </c>
      <c r="D129" s="310"/>
      <c r="E129" s="312"/>
      <c r="F129" s="312"/>
      <c r="G129" s="312"/>
      <c r="H129" s="312"/>
      <c r="I129" s="312"/>
      <c r="J129" s="312"/>
      <c r="K129" s="312"/>
      <c r="L129" s="312"/>
      <c r="M129" s="312"/>
    </row>
    <row r="130" spans="1:31" ht="95.25" customHeight="1">
      <c r="A130" s="311" t="s">
        <v>228</v>
      </c>
      <c r="B130" s="309" t="s">
        <v>495</v>
      </c>
      <c r="C130" s="309" t="s">
        <v>496</v>
      </c>
      <c r="D130" s="310">
        <v>3</v>
      </c>
      <c r="E130" s="312">
        <v>13000</v>
      </c>
      <c r="F130" s="312">
        <f t="shared" si="28"/>
        <v>39000</v>
      </c>
      <c r="G130" s="312"/>
      <c r="H130" s="312"/>
      <c r="I130" s="312"/>
      <c r="J130" s="312"/>
      <c r="K130" s="312"/>
      <c r="L130" s="312">
        <f>F130</f>
        <v>39000</v>
      </c>
      <c r="M130" s="312"/>
    </row>
    <row r="131" spans="1:31" ht="91">
      <c r="A131" s="311" t="s">
        <v>229</v>
      </c>
      <c r="B131" s="309" t="s">
        <v>497</v>
      </c>
      <c r="C131" s="336" t="s">
        <v>498</v>
      </c>
      <c r="D131" s="310">
        <v>20</v>
      </c>
      <c r="E131" s="312">
        <v>600</v>
      </c>
      <c r="F131" s="312">
        <f t="shared" si="28"/>
        <v>12000</v>
      </c>
      <c r="G131" s="312">
        <f>F131</f>
        <v>12000</v>
      </c>
      <c r="H131" s="312"/>
      <c r="I131" s="312"/>
      <c r="J131" s="312"/>
      <c r="K131" s="312"/>
      <c r="L131" s="312"/>
      <c r="M131" s="312"/>
      <c r="N131" s="112"/>
    </row>
    <row r="132" spans="1:31" ht="101.25" customHeight="1">
      <c r="A132" s="311" t="s">
        <v>230</v>
      </c>
      <c r="B132" s="309" t="s">
        <v>499</v>
      </c>
      <c r="C132" s="336" t="s">
        <v>498</v>
      </c>
      <c r="D132" s="310">
        <v>192</v>
      </c>
      <c r="E132" s="312">
        <v>600</v>
      </c>
      <c r="F132" s="312">
        <f t="shared" si="28"/>
        <v>115200</v>
      </c>
      <c r="G132" s="312">
        <f>F132/2</f>
        <v>57600</v>
      </c>
      <c r="H132" s="312">
        <f>F132/2</f>
        <v>57600</v>
      </c>
      <c r="I132" s="312"/>
      <c r="J132" s="312"/>
      <c r="K132" s="312"/>
      <c r="L132" s="312"/>
      <c r="M132" s="312"/>
      <c r="N132" s="112"/>
    </row>
    <row r="133" spans="1:31" ht="19.5" customHeight="1">
      <c r="A133" s="311" t="s">
        <v>231</v>
      </c>
      <c r="B133" s="309" t="s">
        <v>500</v>
      </c>
      <c r="C133" s="310" t="s">
        <v>488</v>
      </c>
      <c r="D133" s="310">
        <v>1</v>
      </c>
      <c r="E133" s="312">
        <v>8400</v>
      </c>
      <c r="F133" s="312">
        <f t="shared" si="28"/>
        <v>8400</v>
      </c>
      <c r="G133" s="312">
        <f>F133</f>
        <v>8400</v>
      </c>
      <c r="H133" s="312"/>
      <c r="I133" s="312"/>
      <c r="J133" s="312"/>
      <c r="K133" s="312"/>
      <c r="L133" s="312"/>
      <c r="M133" s="312"/>
    </row>
    <row r="134" spans="1:31" ht="26">
      <c r="A134" s="311" t="s">
        <v>232</v>
      </c>
      <c r="B134" s="309" t="s">
        <v>501</v>
      </c>
      <c r="C134" s="310" t="s">
        <v>381</v>
      </c>
      <c r="D134" s="310">
        <v>1</v>
      </c>
      <c r="E134" s="312">
        <v>10000</v>
      </c>
      <c r="F134" s="312">
        <f t="shared" si="28"/>
        <v>10000</v>
      </c>
      <c r="G134" s="312">
        <f>F134</f>
        <v>10000</v>
      </c>
      <c r="H134" s="312"/>
      <c r="I134" s="312"/>
      <c r="J134" s="312"/>
      <c r="K134" s="312"/>
      <c r="L134" s="312"/>
      <c r="M134" s="312"/>
      <c r="N134" s="112"/>
    </row>
    <row r="135" spans="1:31" ht="39">
      <c r="A135" s="311" t="s">
        <v>233</v>
      </c>
      <c r="B135" s="309" t="s">
        <v>502</v>
      </c>
      <c r="C135" s="310" t="s">
        <v>381</v>
      </c>
      <c r="D135" s="310">
        <v>2</v>
      </c>
      <c r="E135" s="312">
        <v>2450</v>
      </c>
      <c r="F135" s="312">
        <f t="shared" si="28"/>
        <v>4900</v>
      </c>
      <c r="G135" s="312">
        <f>F135</f>
        <v>4900</v>
      </c>
      <c r="H135" s="312"/>
      <c r="I135" s="312"/>
      <c r="J135" s="312"/>
      <c r="K135" s="312"/>
      <c r="L135" s="312"/>
      <c r="M135" s="312"/>
      <c r="O135" s="112"/>
    </row>
    <row r="136" spans="1:31" ht="52">
      <c r="A136" s="311" t="s">
        <v>234</v>
      </c>
      <c r="B136" s="309" t="s">
        <v>503</v>
      </c>
      <c r="C136" s="310" t="s">
        <v>381</v>
      </c>
      <c r="D136" s="310">
        <v>1</v>
      </c>
      <c r="E136" s="312">
        <v>5150</v>
      </c>
      <c r="F136" s="312">
        <f t="shared" si="28"/>
        <v>5150</v>
      </c>
      <c r="G136" s="312"/>
      <c r="H136" s="312">
        <f>F136</f>
        <v>5150</v>
      </c>
      <c r="I136" s="312"/>
      <c r="J136" s="312"/>
      <c r="K136" s="312"/>
      <c r="L136" s="312"/>
      <c r="M136" s="312"/>
    </row>
    <row r="137" spans="1:31" ht="13.5" customHeight="1">
      <c r="A137" s="311" t="s">
        <v>235</v>
      </c>
      <c r="B137" s="309" t="s">
        <v>504</v>
      </c>
      <c r="C137" s="310" t="s">
        <v>40</v>
      </c>
      <c r="D137" s="310">
        <v>16</v>
      </c>
      <c r="E137" s="312">
        <v>5000</v>
      </c>
      <c r="F137" s="312">
        <f t="shared" si="28"/>
        <v>80000</v>
      </c>
      <c r="G137" s="312"/>
      <c r="H137" s="312">
        <f>F137</f>
        <v>80000</v>
      </c>
      <c r="I137" s="312"/>
      <c r="J137" s="312"/>
      <c r="K137" s="312"/>
      <c r="L137" s="312"/>
      <c r="M137" s="312"/>
      <c r="O137" s="112"/>
    </row>
    <row r="138" spans="1:31" s="276" customFormat="1" ht="39">
      <c r="A138" s="311" t="s">
        <v>236</v>
      </c>
      <c r="B138" s="309" t="s">
        <v>505</v>
      </c>
      <c r="C138" s="310" t="s">
        <v>40</v>
      </c>
      <c r="D138" s="310"/>
      <c r="E138" s="312"/>
      <c r="F138" s="312"/>
      <c r="G138" s="312"/>
      <c r="H138" s="312"/>
      <c r="I138" s="312"/>
      <c r="J138" s="312"/>
      <c r="K138" s="312"/>
      <c r="L138" s="312"/>
      <c r="M138" s="312"/>
      <c r="N138" s="5"/>
      <c r="O138" s="5"/>
      <c r="P138" s="5"/>
      <c r="Q138" s="5"/>
      <c r="R138" s="5"/>
      <c r="S138" s="5"/>
      <c r="T138" s="5"/>
      <c r="U138" s="5"/>
      <c r="V138" s="5"/>
      <c r="W138" s="5"/>
      <c r="X138" s="5"/>
      <c r="Y138" s="5"/>
      <c r="Z138" s="5"/>
      <c r="AA138" s="5"/>
      <c r="AB138" s="5"/>
      <c r="AC138" s="5"/>
      <c r="AD138" s="5"/>
      <c r="AE138" s="5"/>
    </row>
    <row r="139" spans="1:31" s="276" customFormat="1" ht="26">
      <c r="A139" s="311" t="s">
        <v>237</v>
      </c>
      <c r="B139" s="309" t="s">
        <v>506</v>
      </c>
      <c r="C139" s="310" t="s">
        <v>38</v>
      </c>
      <c r="D139" s="310"/>
      <c r="E139" s="312"/>
      <c r="F139" s="312"/>
      <c r="G139" s="312"/>
      <c r="H139" s="312"/>
      <c r="I139" s="312"/>
      <c r="J139" s="312"/>
      <c r="K139" s="312"/>
      <c r="L139" s="312"/>
      <c r="M139" s="312"/>
      <c r="N139" s="5"/>
      <c r="O139" s="5"/>
      <c r="P139" s="5"/>
      <c r="Q139" s="5"/>
      <c r="R139" s="5"/>
      <c r="S139" s="5"/>
      <c r="T139" s="5"/>
      <c r="U139" s="5"/>
      <c r="V139" s="5"/>
      <c r="W139" s="5"/>
      <c r="X139" s="5"/>
      <c r="Y139" s="5"/>
      <c r="Z139" s="5"/>
      <c r="AA139" s="5"/>
      <c r="AB139" s="5"/>
      <c r="AC139" s="5"/>
      <c r="AD139" s="5"/>
      <c r="AE139" s="5"/>
    </row>
    <row r="140" spans="1:31" ht="26">
      <c r="A140" s="311" t="s">
        <v>238</v>
      </c>
      <c r="B140" s="309" t="s">
        <v>507</v>
      </c>
      <c r="C140" s="310" t="s">
        <v>38</v>
      </c>
      <c r="D140" s="310"/>
      <c r="E140" s="312"/>
      <c r="F140" s="312"/>
      <c r="G140" s="312"/>
      <c r="H140" s="312"/>
      <c r="I140" s="312"/>
      <c r="J140" s="312"/>
      <c r="K140" s="312"/>
      <c r="L140" s="312"/>
      <c r="M140" s="312"/>
    </row>
    <row r="141" spans="1:31" ht="26">
      <c r="A141" s="311" t="s">
        <v>239</v>
      </c>
      <c r="B141" s="309" t="s">
        <v>508</v>
      </c>
      <c r="C141" s="309" t="s">
        <v>509</v>
      </c>
      <c r="D141" s="310">
        <v>36</v>
      </c>
      <c r="E141" s="312">
        <v>600</v>
      </c>
      <c r="F141" s="312">
        <f>E141*D141</f>
        <v>21600</v>
      </c>
      <c r="G141" s="312"/>
      <c r="H141" s="312">
        <f>F141/4</f>
        <v>5400</v>
      </c>
      <c r="I141" s="312">
        <f>F141/4</f>
        <v>5400</v>
      </c>
      <c r="J141" s="312">
        <f>F141/4</f>
        <v>5400</v>
      </c>
      <c r="K141" s="312">
        <f>F141/4</f>
        <v>5400</v>
      </c>
      <c r="L141" s="312"/>
      <c r="M141" s="312"/>
    </row>
    <row r="142" spans="1:31" ht="52">
      <c r="A142" s="311" t="s">
        <v>240</v>
      </c>
      <c r="B142" s="309" t="s">
        <v>510</v>
      </c>
      <c r="C142" s="310" t="s">
        <v>381</v>
      </c>
      <c r="D142" s="310">
        <v>4</v>
      </c>
      <c r="E142" s="312">
        <v>4750</v>
      </c>
      <c r="F142" s="312">
        <f>E142*D142</f>
        <v>19000</v>
      </c>
      <c r="G142" s="312"/>
      <c r="H142" s="312">
        <f>F142/4</f>
        <v>4750</v>
      </c>
      <c r="I142" s="312">
        <f>F142/4</f>
        <v>4750</v>
      </c>
      <c r="J142" s="312">
        <f>F142/4</f>
        <v>4750</v>
      </c>
      <c r="K142" s="312">
        <f>F142/4</f>
        <v>4750</v>
      </c>
      <c r="L142" s="312"/>
      <c r="M142" s="312"/>
    </row>
    <row r="143" spans="1:31" ht="21" customHeight="1">
      <c r="A143" s="311" t="s">
        <v>241</v>
      </c>
      <c r="B143" s="309" t="s">
        <v>511</v>
      </c>
      <c r="C143" s="310" t="s">
        <v>488</v>
      </c>
      <c r="D143" s="310">
        <v>12</v>
      </c>
      <c r="E143" s="312">
        <v>6000</v>
      </c>
      <c r="F143" s="312">
        <f>E143*D143</f>
        <v>72000</v>
      </c>
      <c r="G143" s="312"/>
      <c r="H143" s="312">
        <f>F143/4</f>
        <v>18000</v>
      </c>
      <c r="I143" s="312">
        <f>F143/4</f>
        <v>18000</v>
      </c>
      <c r="J143" s="312">
        <f>F143/4</f>
        <v>18000</v>
      </c>
      <c r="K143" s="312">
        <f>F143/4</f>
        <v>18000</v>
      </c>
      <c r="L143" s="312"/>
      <c r="M143" s="312"/>
    </row>
    <row r="144" spans="1:31">
      <c r="A144" s="311" t="s">
        <v>242</v>
      </c>
      <c r="B144" s="309" t="s">
        <v>512</v>
      </c>
      <c r="C144" s="310" t="s">
        <v>291</v>
      </c>
      <c r="D144" s="310">
        <v>1</v>
      </c>
      <c r="E144" s="312">
        <v>30000</v>
      </c>
      <c r="F144" s="312">
        <f>E144*D144</f>
        <v>30000</v>
      </c>
      <c r="G144" s="312"/>
      <c r="H144" s="312">
        <f>F144/2</f>
        <v>15000</v>
      </c>
      <c r="I144" s="312">
        <f>F144/6</f>
        <v>5000</v>
      </c>
      <c r="J144" s="312">
        <f>F144/6</f>
        <v>5000</v>
      </c>
      <c r="K144" s="312">
        <f>F144/6</f>
        <v>5000</v>
      </c>
      <c r="L144" s="312"/>
      <c r="M144" s="312"/>
    </row>
    <row r="145" spans="1:13" s="265" customFormat="1" ht="26">
      <c r="A145" s="311" t="s">
        <v>243</v>
      </c>
      <c r="B145" s="336" t="s">
        <v>968</v>
      </c>
      <c r="C145" s="336" t="s">
        <v>498</v>
      </c>
      <c r="D145" s="339">
        <v>30</v>
      </c>
      <c r="E145" s="313">
        <v>600</v>
      </c>
      <c r="F145" s="313">
        <f t="shared" si="28"/>
        <v>18000</v>
      </c>
      <c r="G145" s="313"/>
      <c r="H145" s="313">
        <f>F145</f>
        <v>18000</v>
      </c>
      <c r="I145" s="313"/>
      <c r="J145" s="313"/>
      <c r="K145" s="313"/>
      <c r="L145" s="313"/>
      <c r="M145" s="313"/>
    </row>
    <row r="146" spans="1:13" s="265" customFormat="1" ht="27" customHeight="1">
      <c r="A146" s="311" t="s">
        <v>244</v>
      </c>
      <c r="B146" s="336" t="s">
        <v>969</v>
      </c>
      <c r="C146" s="336" t="s">
        <v>498</v>
      </c>
      <c r="D146" s="339">
        <v>1</v>
      </c>
      <c r="E146" s="313">
        <v>600</v>
      </c>
      <c r="F146" s="313">
        <f t="shared" si="28"/>
        <v>600</v>
      </c>
      <c r="G146" s="313"/>
      <c r="H146" s="313">
        <f>F146</f>
        <v>600</v>
      </c>
      <c r="I146" s="313"/>
      <c r="J146" s="313"/>
      <c r="K146" s="313"/>
      <c r="L146" s="313"/>
      <c r="M146" s="313"/>
    </row>
    <row r="147" spans="1:13" s="265" customFormat="1" ht="39">
      <c r="A147" s="311" t="s">
        <v>245</v>
      </c>
      <c r="B147" s="336" t="s">
        <v>513</v>
      </c>
      <c r="C147" s="310" t="s">
        <v>381</v>
      </c>
      <c r="D147" s="339">
        <v>2</v>
      </c>
      <c r="E147" s="313">
        <v>3950</v>
      </c>
      <c r="F147" s="313">
        <f t="shared" si="28"/>
        <v>7900</v>
      </c>
      <c r="G147" s="313"/>
      <c r="H147" s="313">
        <f>F147</f>
        <v>7900</v>
      </c>
      <c r="I147" s="313"/>
      <c r="J147" s="313"/>
      <c r="K147" s="313"/>
      <c r="L147" s="313"/>
      <c r="M147" s="313"/>
    </row>
    <row r="148" spans="1:13" ht="20.25" customHeight="1">
      <c r="A148" s="311" t="s">
        <v>246</v>
      </c>
      <c r="B148" s="309" t="s">
        <v>514</v>
      </c>
      <c r="C148" s="310" t="s">
        <v>488</v>
      </c>
      <c r="D148" s="310">
        <v>3</v>
      </c>
      <c r="E148" s="312">
        <v>8500</v>
      </c>
      <c r="F148" s="312">
        <f>D148*E148</f>
        <v>25500</v>
      </c>
      <c r="G148" s="312"/>
      <c r="H148" s="312">
        <f>F148</f>
        <v>25500</v>
      </c>
      <c r="I148" s="312"/>
      <c r="J148" s="312"/>
      <c r="K148" s="312"/>
      <c r="L148" s="312"/>
      <c r="M148" s="312"/>
    </row>
    <row r="149" spans="1:13" ht="29.5" customHeight="1">
      <c r="A149" s="311" t="s">
        <v>247</v>
      </c>
      <c r="B149" s="309" t="s">
        <v>515</v>
      </c>
      <c r="C149" s="309" t="s">
        <v>498</v>
      </c>
      <c r="D149" s="310">
        <v>40</v>
      </c>
      <c r="E149" s="312">
        <v>600</v>
      </c>
      <c r="F149" s="312">
        <f>D149*E149</f>
        <v>24000</v>
      </c>
      <c r="G149" s="312"/>
      <c r="H149" s="312">
        <f>F149</f>
        <v>24000</v>
      </c>
      <c r="I149" s="312"/>
      <c r="J149" s="312"/>
      <c r="K149" s="312"/>
      <c r="L149" s="312"/>
      <c r="M149" s="312"/>
    </row>
    <row r="150" spans="1:13" ht="24.65" customHeight="1">
      <c r="A150" s="311" t="s">
        <v>248</v>
      </c>
      <c r="B150" s="309" t="s">
        <v>516</v>
      </c>
      <c r="C150" s="309" t="s">
        <v>498</v>
      </c>
      <c r="D150" s="310">
        <v>60</v>
      </c>
      <c r="E150" s="312">
        <v>600</v>
      </c>
      <c r="F150" s="312">
        <f>SUM(D150*E150)</f>
        <v>36000</v>
      </c>
      <c r="G150" s="312"/>
      <c r="H150" s="312"/>
      <c r="I150" s="312"/>
      <c r="J150" s="312"/>
      <c r="K150" s="312">
        <f>F150</f>
        <v>36000</v>
      </c>
      <c r="L150" s="312"/>
      <c r="M150" s="312"/>
    </row>
    <row r="151" spans="1:13" ht="32.25" customHeight="1">
      <c r="A151" s="311" t="s">
        <v>249</v>
      </c>
      <c r="B151" s="309" t="s">
        <v>517</v>
      </c>
      <c r="C151" s="310" t="s">
        <v>488</v>
      </c>
      <c r="D151" s="310">
        <v>1</v>
      </c>
      <c r="E151" s="312">
        <v>1400</v>
      </c>
      <c r="F151" s="312">
        <f>SUM(D151*E151)</f>
        <v>1400</v>
      </c>
      <c r="G151" s="312"/>
      <c r="H151" s="312"/>
      <c r="I151" s="312"/>
      <c r="J151" s="312"/>
      <c r="K151" s="312">
        <f>F151</f>
        <v>1400</v>
      </c>
      <c r="L151" s="312"/>
      <c r="M151" s="312"/>
    </row>
    <row r="152" spans="1:13">
      <c r="A152" s="311"/>
      <c r="B152" s="327"/>
      <c r="C152" s="328"/>
      <c r="D152" s="328"/>
      <c r="E152" s="329"/>
      <c r="F152" s="329"/>
      <c r="G152" s="329"/>
      <c r="H152" s="329"/>
      <c r="I152" s="329"/>
      <c r="J152" s="329"/>
      <c r="K152" s="329"/>
      <c r="L152" s="329"/>
      <c r="M152" s="329"/>
    </row>
    <row r="153" spans="1:13" ht="81" customHeight="1">
      <c r="A153" s="311" t="s">
        <v>256</v>
      </c>
      <c r="B153" s="336" t="s">
        <v>518</v>
      </c>
      <c r="C153" s="310" t="s">
        <v>377</v>
      </c>
      <c r="D153" s="310">
        <v>210</v>
      </c>
      <c r="E153" s="312">
        <v>1000</v>
      </c>
      <c r="F153" s="312">
        <f t="shared" si="28"/>
        <v>210000</v>
      </c>
      <c r="G153" s="312">
        <f>$E$153*30</f>
        <v>30000</v>
      </c>
      <c r="H153" s="312">
        <f t="shared" ref="H153:M153" si="33">$E$153*30</f>
        <v>30000</v>
      </c>
      <c r="I153" s="312">
        <f t="shared" si="33"/>
        <v>30000</v>
      </c>
      <c r="J153" s="312">
        <f t="shared" si="33"/>
        <v>30000</v>
      </c>
      <c r="K153" s="312">
        <f t="shared" si="33"/>
        <v>30000</v>
      </c>
      <c r="L153" s="312">
        <f t="shared" si="33"/>
        <v>30000</v>
      </c>
      <c r="M153" s="312">
        <f t="shared" si="33"/>
        <v>30000</v>
      </c>
    </row>
    <row r="154" spans="1:13" ht="157.5" customHeight="1">
      <c r="A154" s="311" t="s">
        <v>258</v>
      </c>
      <c r="B154" s="336" t="s">
        <v>519</v>
      </c>
      <c r="C154" s="310" t="s">
        <v>439</v>
      </c>
      <c r="D154" s="310">
        <v>7</v>
      </c>
      <c r="E154" s="312">
        <v>57358</v>
      </c>
      <c r="F154" s="312">
        <f t="shared" si="28"/>
        <v>401506</v>
      </c>
      <c r="G154" s="312">
        <f>$E$154</f>
        <v>57358</v>
      </c>
      <c r="H154" s="312">
        <f t="shared" ref="H154:M154" si="34">$E$154</f>
        <v>57358</v>
      </c>
      <c r="I154" s="312">
        <f t="shared" si="34"/>
        <v>57358</v>
      </c>
      <c r="J154" s="312">
        <f t="shared" si="34"/>
        <v>57358</v>
      </c>
      <c r="K154" s="312">
        <f t="shared" si="34"/>
        <v>57358</v>
      </c>
      <c r="L154" s="312">
        <f t="shared" si="34"/>
        <v>57358</v>
      </c>
      <c r="M154" s="312">
        <f t="shared" si="34"/>
        <v>57358</v>
      </c>
    </row>
    <row r="155" spans="1:13" ht="87.75" customHeight="1">
      <c r="A155" s="311" t="s">
        <v>259</v>
      </c>
      <c r="B155" s="309" t="s">
        <v>520</v>
      </c>
      <c r="C155" s="310" t="s">
        <v>140</v>
      </c>
      <c r="D155" s="310"/>
      <c r="E155" s="312"/>
      <c r="F155" s="312">
        <f>SUM(G155:M155)</f>
        <v>360000</v>
      </c>
      <c r="G155" s="312">
        <f>'D3 Intervention monitors'!B20</f>
        <v>24000</v>
      </c>
      <c r="H155" s="312">
        <f>'D3 Intervention monitors'!C20</f>
        <v>48000</v>
      </c>
      <c r="I155" s="312">
        <f>'D3 Intervention monitors'!D20</f>
        <v>72000</v>
      </c>
      <c r="J155" s="312">
        <f>'D3 Intervention monitors'!E20</f>
        <v>72000</v>
      </c>
      <c r="K155" s="312">
        <f>'D3 Intervention monitors'!F20</f>
        <v>72000</v>
      </c>
      <c r="L155" s="312">
        <f>'D3 Intervention monitors'!G20</f>
        <v>48000</v>
      </c>
      <c r="M155" s="312">
        <f>'D3 Intervention monitors'!H20</f>
        <v>24000</v>
      </c>
    </row>
    <row r="156" spans="1:13" ht="26">
      <c r="A156" s="311" t="s">
        <v>261</v>
      </c>
      <c r="B156" s="309" t="s">
        <v>521</v>
      </c>
      <c r="C156" s="310"/>
      <c r="D156" s="310"/>
      <c r="E156" s="312"/>
      <c r="F156" s="312"/>
      <c r="G156" s="312"/>
      <c r="H156" s="312"/>
      <c r="I156" s="312"/>
      <c r="J156" s="312"/>
      <c r="K156" s="312"/>
      <c r="L156" s="312"/>
      <c r="M156" s="312"/>
    </row>
    <row r="157" spans="1:13" s="132" customFormat="1" ht="26">
      <c r="A157" s="311" t="s">
        <v>263</v>
      </c>
      <c r="B157" s="336" t="s">
        <v>522</v>
      </c>
      <c r="C157" s="310" t="s">
        <v>377</v>
      </c>
      <c r="D157" s="310">
        <v>40</v>
      </c>
      <c r="E157" s="312">
        <v>400</v>
      </c>
      <c r="F157" s="312">
        <f>D157*E157</f>
        <v>16000</v>
      </c>
      <c r="G157" s="312">
        <f>F157/4</f>
        <v>4000</v>
      </c>
      <c r="H157" s="312">
        <f>F157/4</f>
        <v>4000</v>
      </c>
      <c r="I157" s="312">
        <f>F157/4</f>
        <v>4000</v>
      </c>
      <c r="J157" s="312">
        <f>F157/4</f>
        <v>4000</v>
      </c>
      <c r="K157" s="312"/>
      <c r="L157" s="312"/>
      <c r="M157" s="312"/>
    </row>
    <row r="158" spans="1:13" s="132" customFormat="1" ht="52">
      <c r="A158" s="311" t="s">
        <v>264</v>
      </c>
      <c r="B158" s="336" t="s">
        <v>523</v>
      </c>
      <c r="C158" s="310" t="s">
        <v>416</v>
      </c>
      <c r="D158" s="310">
        <v>8</v>
      </c>
      <c r="E158" s="312">
        <v>1800</v>
      </c>
      <c r="F158" s="312">
        <f>D158*E158</f>
        <v>14400</v>
      </c>
      <c r="G158" s="312">
        <f>F158/2</f>
        <v>7200</v>
      </c>
      <c r="H158" s="312">
        <f>F158/2</f>
        <v>7200</v>
      </c>
      <c r="I158" s="312"/>
      <c r="J158" s="312"/>
      <c r="K158" s="312"/>
      <c r="L158" s="312"/>
      <c r="M158" s="312"/>
    </row>
    <row r="159" spans="1:13" ht="26">
      <c r="A159" s="311" t="s">
        <v>266</v>
      </c>
      <c r="B159" s="309" t="s">
        <v>524</v>
      </c>
      <c r="C159" s="309" t="s">
        <v>525</v>
      </c>
      <c r="D159" s="310">
        <v>7</v>
      </c>
      <c r="E159" s="312">
        <v>3000</v>
      </c>
      <c r="F159" s="312">
        <f t="shared" ref="F159:F165" si="35">D159*E159</f>
        <v>21000</v>
      </c>
      <c r="G159" s="312">
        <f>$E$159</f>
        <v>3000</v>
      </c>
      <c r="H159" s="312">
        <f t="shared" ref="H159:M159" si="36">$E$159</f>
        <v>3000</v>
      </c>
      <c r="I159" s="312">
        <f t="shared" si="36"/>
        <v>3000</v>
      </c>
      <c r="J159" s="312">
        <f t="shared" si="36"/>
        <v>3000</v>
      </c>
      <c r="K159" s="312">
        <f t="shared" si="36"/>
        <v>3000</v>
      </c>
      <c r="L159" s="312">
        <f t="shared" si="36"/>
        <v>3000</v>
      </c>
      <c r="M159" s="312">
        <f t="shared" si="36"/>
        <v>3000</v>
      </c>
    </row>
    <row r="160" spans="1:13" ht="52">
      <c r="A160" s="311" t="s">
        <v>269</v>
      </c>
      <c r="B160" s="336" t="s">
        <v>526</v>
      </c>
      <c r="C160" s="309" t="s">
        <v>527</v>
      </c>
      <c r="D160" s="310">
        <v>50</v>
      </c>
      <c r="E160" s="312">
        <v>600</v>
      </c>
      <c r="F160" s="312">
        <f t="shared" si="35"/>
        <v>30000</v>
      </c>
      <c r="G160" s="312">
        <f>F160</f>
        <v>30000</v>
      </c>
      <c r="H160" s="312"/>
      <c r="I160" s="312"/>
      <c r="J160" s="312"/>
      <c r="K160" s="312"/>
      <c r="L160" s="312"/>
      <c r="M160" s="312"/>
    </row>
    <row r="161" spans="1:14" ht="39">
      <c r="A161" s="311" t="s">
        <v>271</v>
      </c>
      <c r="B161" s="336" t="s">
        <v>528</v>
      </c>
      <c r="C161" s="309" t="s">
        <v>525</v>
      </c>
      <c r="D161" s="310">
        <v>7</v>
      </c>
      <c r="E161" s="312">
        <v>50000</v>
      </c>
      <c r="F161" s="312">
        <f t="shared" si="35"/>
        <v>350000</v>
      </c>
      <c r="G161" s="312">
        <f>$E$161</f>
        <v>50000</v>
      </c>
      <c r="H161" s="312">
        <f t="shared" ref="H161:M161" si="37">$E$161</f>
        <v>50000</v>
      </c>
      <c r="I161" s="312">
        <f t="shared" si="37"/>
        <v>50000</v>
      </c>
      <c r="J161" s="312">
        <f t="shared" si="37"/>
        <v>50000</v>
      </c>
      <c r="K161" s="312">
        <f t="shared" si="37"/>
        <v>50000</v>
      </c>
      <c r="L161" s="312">
        <f t="shared" si="37"/>
        <v>50000</v>
      </c>
      <c r="M161" s="312">
        <f t="shared" si="37"/>
        <v>50000</v>
      </c>
    </row>
    <row r="162" spans="1:14" ht="52">
      <c r="A162" s="311" t="s">
        <v>273</v>
      </c>
      <c r="B162" s="336" t="s">
        <v>529</v>
      </c>
      <c r="C162" s="309" t="s">
        <v>525</v>
      </c>
      <c r="D162" s="310">
        <v>5</v>
      </c>
      <c r="E162" s="312">
        <v>12000</v>
      </c>
      <c r="F162" s="312">
        <f t="shared" si="35"/>
        <v>60000</v>
      </c>
      <c r="G162" s="312">
        <f>$E$162</f>
        <v>12000</v>
      </c>
      <c r="H162" s="312">
        <f>$E$162</f>
        <v>12000</v>
      </c>
      <c r="I162" s="312">
        <f>$E$162</f>
        <v>12000</v>
      </c>
      <c r="J162" s="312">
        <f>$E$162</f>
        <v>12000</v>
      </c>
      <c r="K162" s="312">
        <f>$E$162</f>
        <v>12000</v>
      </c>
      <c r="L162" s="312"/>
      <c r="M162" s="312"/>
    </row>
    <row r="163" spans="1:14" ht="31.5" customHeight="1">
      <c r="A163" s="311" t="s">
        <v>275</v>
      </c>
      <c r="B163" s="309" t="s">
        <v>530</v>
      </c>
      <c r="C163" s="310"/>
      <c r="D163" s="310"/>
      <c r="E163" s="312"/>
      <c r="F163" s="312"/>
      <c r="G163" s="312"/>
      <c r="H163" s="312"/>
      <c r="I163" s="312"/>
      <c r="J163" s="312"/>
      <c r="K163" s="312"/>
      <c r="L163" s="312"/>
      <c r="M163" s="312"/>
    </row>
    <row r="164" spans="1:14" ht="117.75" customHeight="1">
      <c r="A164" s="311" t="s">
        <v>276</v>
      </c>
      <c r="B164" s="336" t="s">
        <v>531</v>
      </c>
      <c r="C164" s="309" t="s">
        <v>525</v>
      </c>
      <c r="D164" s="310">
        <v>5</v>
      </c>
      <c r="E164" s="312">
        <v>60000</v>
      </c>
      <c r="F164" s="312">
        <f t="shared" si="35"/>
        <v>300000</v>
      </c>
      <c r="G164" s="312"/>
      <c r="H164" s="312">
        <f>$E$164</f>
        <v>60000</v>
      </c>
      <c r="I164" s="312">
        <f>$E$164</f>
        <v>60000</v>
      </c>
      <c r="J164" s="312">
        <f>$E$164</f>
        <v>60000</v>
      </c>
      <c r="K164" s="312">
        <f>$E$164</f>
        <v>60000</v>
      </c>
      <c r="L164" s="312">
        <f>$E$164</f>
        <v>60000</v>
      </c>
      <c r="M164" s="312"/>
    </row>
    <row r="165" spans="1:14" ht="26">
      <c r="A165" s="311" t="s">
        <v>278</v>
      </c>
      <c r="B165" s="309" t="s">
        <v>532</v>
      </c>
      <c r="C165" s="309" t="s">
        <v>533</v>
      </c>
      <c r="D165" s="310">
        <v>2</v>
      </c>
      <c r="E165" s="312">
        <v>15000</v>
      </c>
      <c r="F165" s="312">
        <f t="shared" si="35"/>
        <v>30000</v>
      </c>
      <c r="G165" s="312"/>
      <c r="H165" s="312"/>
      <c r="I165" s="312"/>
      <c r="J165" s="312">
        <f>E165</f>
        <v>15000</v>
      </c>
      <c r="K165" s="312"/>
      <c r="L165" s="312"/>
      <c r="M165" s="312">
        <f>E165</f>
        <v>15000</v>
      </c>
    </row>
    <row r="166" spans="1:14" ht="39">
      <c r="A166" s="311" t="s">
        <v>281</v>
      </c>
      <c r="B166" s="336" t="s">
        <v>534</v>
      </c>
      <c r="C166" s="310" t="s">
        <v>38</v>
      </c>
      <c r="D166" s="310"/>
      <c r="E166" s="312"/>
      <c r="F166" s="312"/>
      <c r="G166" s="312"/>
      <c r="H166" s="312"/>
      <c r="I166" s="312"/>
      <c r="J166" s="312"/>
      <c r="K166" s="312"/>
      <c r="L166" s="312"/>
      <c r="M166" s="312"/>
    </row>
    <row r="167" spans="1:14" ht="78">
      <c r="A167" s="311" t="s">
        <v>283</v>
      </c>
      <c r="B167" s="309" t="s">
        <v>535</v>
      </c>
      <c r="C167" s="309" t="s">
        <v>451</v>
      </c>
      <c r="D167" s="310">
        <v>7</v>
      </c>
      <c r="E167" s="312">
        <v>48000</v>
      </c>
      <c r="F167" s="312">
        <f>D167*E167</f>
        <v>336000</v>
      </c>
      <c r="G167" s="312">
        <f t="shared" ref="G167:M167" si="38">$E$167</f>
        <v>48000</v>
      </c>
      <c r="H167" s="312">
        <f t="shared" si="38"/>
        <v>48000</v>
      </c>
      <c r="I167" s="312">
        <f t="shared" si="38"/>
        <v>48000</v>
      </c>
      <c r="J167" s="312">
        <f t="shared" si="38"/>
        <v>48000</v>
      </c>
      <c r="K167" s="312">
        <f t="shared" si="38"/>
        <v>48000</v>
      </c>
      <c r="L167" s="312">
        <f t="shared" si="38"/>
        <v>48000</v>
      </c>
      <c r="M167" s="312">
        <f t="shared" si="38"/>
        <v>48000</v>
      </c>
    </row>
    <row r="168" spans="1:14" ht="39">
      <c r="A168" s="311" t="s">
        <v>285</v>
      </c>
      <c r="B168" s="309" t="s">
        <v>536</v>
      </c>
      <c r="C168" s="309" t="s">
        <v>451</v>
      </c>
      <c r="D168" s="310">
        <v>7</v>
      </c>
      <c r="E168" s="312">
        <v>48000</v>
      </c>
      <c r="F168" s="312">
        <f>D168*E168</f>
        <v>336000</v>
      </c>
      <c r="G168" s="312">
        <f>$E$168</f>
        <v>48000</v>
      </c>
      <c r="H168" s="312">
        <f t="shared" ref="H168:M168" si="39">$E$168</f>
        <v>48000</v>
      </c>
      <c r="I168" s="312">
        <f t="shared" si="39"/>
        <v>48000</v>
      </c>
      <c r="J168" s="312">
        <f t="shared" si="39"/>
        <v>48000</v>
      </c>
      <c r="K168" s="312">
        <f t="shared" si="39"/>
        <v>48000</v>
      </c>
      <c r="L168" s="312">
        <f t="shared" si="39"/>
        <v>48000</v>
      </c>
      <c r="M168" s="312">
        <f t="shared" si="39"/>
        <v>48000</v>
      </c>
    </row>
    <row r="169" spans="1:14">
      <c r="A169" s="311"/>
      <c r="B169" s="327"/>
      <c r="C169" s="328"/>
      <c r="D169" s="328"/>
      <c r="E169" s="329"/>
      <c r="F169" s="329"/>
      <c r="G169" s="329"/>
      <c r="H169" s="329"/>
      <c r="I169" s="329"/>
      <c r="J169" s="329"/>
      <c r="K169" s="329"/>
      <c r="L169" s="329"/>
      <c r="M169" s="329"/>
    </row>
    <row r="170" spans="1:14">
      <c r="A170" s="311" t="s">
        <v>292</v>
      </c>
      <c r="B170" s="309" t="s">
        <v>956</v>
      </c>
      <c r="C170" s="310" t="s">
        <v>537</v>
      </c>
      <c r="D170" s="310">
        <v>1</v>
      </c>
      <c r="E170" s="312">
        <v>100000</v>
      </c>
      <c r="F170" s="312">
        <f>D170*E170</f>
        <v>100000</v>
      </c>
      <c r="G170" s="312">
        <f>$E$170</f>
        <v>100000</v>
      </c>
      <c r="H170" s="312"/>
      <c r="I170" s="312"/>
      <c r="J170" s="312"/>
      <c r="K170" s="312"/>
      <c r="L170" s="312"/>
      <c r="M170" s="312"/>
    </row>
    <row r="171" spans="1:14">
      <c r="A171" s="311" t="s">
        <v>294</v>
      </c>
      <c r="B171" s="309" t="s">
        <v>538</v>
      </c>
      <c r="C171" s="310" t="s">
        <v>439</v>
      </c>
      <c r="D171" s="310">
        <v>7</v>
      </c>
      <c r="E171" s="312">
        <v>46851</v>
      </c>
      <c r="F171" s="312">
        <f>D171*E171</f>
        <v>327957</v>
      </c>
      <c r="G171" s="312">
        <f>$E$171</f>
        <v>46851</v>
      </c>
      <c r="H171" s="312">
        <f>'Notes and Assumptions'!$G$171</f>
        <v>46851</v>
      </c>
      <c r="I171" s="312">
        <f>'Notes and Assumptions'!$G$171</f>
        <v>46851</v>
      </c>
      <c r="J171" s="312">
        <f>'Notes and Assumptions'!$G$171</f>
        <v>46851</v>
      </c>
      <c r="K171" s="312">
        <f>'Notes and Assumptions'!$G$171</f>
        <v>46851</v>
      </c>
      <c r="L171" s="312">
        <f>'Notes and Assumptions'!$G$171</f>
        <v>46851</v>
      </c>
      <c r="M171" s="312">
        <f>'Notes and Assumptions'!$G$171</f>
        <v>46851</v>
      </c>
    </row>
    <row r="172" spans="1:14">
      <c r="A172" s="311" t="s">
        <v>295</v>
      </c>
      <c r="B172" s="309" t="s">
        <v>539</v>
      </c>
      <c r="C172" s="310" t="s">
        <v>439</v>
      </c>
      <c r="D172" s="310">
        <v>7</v>
      </c>
      <c r="E172" s="312">
        <v>46851</v>
      </c>
      <c r="F172" s="312">
        <f>D172*E172</f>
        <v>327957</v>
      </c>
      <c r="G172" s="312">
        <f>$E$172</f>
        <v>46851</v>
      </c>
      <c r="H172" s="312">
        <f t="shared" ref="H172:M172" si="40">$E$172</f>
        <v>46851</v>
      </c>
      <c r="I172" s="312">
        <f t="shared" si="40"/>
        <v>46851</v>
      </c>
      <c r="J172" s="312">
        <f t="shared" si="40"/>
        <v>46851</v>
      </c>
      <c r="K172" s="312">
        <f t="shared" si="40"/>
        <v>46851</v>
      </c>
      <c r="L172" s="312">
        <f t="shared" si="40"/>
        <v>46851</v>
      </c>
      <c r="M172" s="312">
        <f t="shared" si="40"/>
        <v>46851</v>
      </c>
    </row>
    <row r="173" spans="1:14">
      <c r="A173" s="311" t="s">
        <v>297</v>
      </c>
      <c r="B173" s="309" t="s">
        <v>296</v>
      </c>
      <c r="C173" s="310" t="s">
        <v>537</v>
      </c>
      <c r="D173" s="310">
        <v>2</v>
      </c>
      <c r="E173" s="312">
        <v>100000</v>
      </c>
      <c r="F173" s="312">
        <f>D173*E173</f>
        <v>200000</v>
      </c>
      <c r="G173" s="312"/>
      <c r="H173" s="312"/>
      <c r="I173" s="312"/>
      <c r="J173" s="312">
        <f>$E$173</f>
        <v>100000</v>
      </c>
      <c r="K173" s="312"/>
      <c r="L173" s="312"/>
      <c r="M173" s="312">
        <f>$E$173</f>
        <v>100000</v>
      </c>
    </row>
    <row r="174" spans="1:14" s="132" customFormat="1">
      <c r="A174" s="311" t="s">
        <v>299</v>
      </c>
      <c r="B174" s="309" t="s">
        <v>540</v>
      </c>
      <c r="C174" s="310" t="s">
        <v>439</v>
      </c>
      <c r="D174" s="310">
        <v>1</v>
      </c>
      <c r="E174" s="312">
        <v>358500</v>
      </c>
      <c r="F174" s="312">
        <f t="shared" ref="F174" si="41">D174*E174</f>
        <v>358500</v>
      </c>
      <c r="G174" s="312">
        <v>109500</v>
      </c>
      <c r="H174" s="312">
        <v>40000</v>
      </c>
      <c r="I174" s="312">
        <v>55000</v>
      </c>
      <c r="J174" s="312">
        <v>40000</v>
      </c>
      <c r="K174" s="312">
        <v>40000</v>
      </c>
      <c r="L174" s="312">
        <v>40000</v>
      </c>
      <c r="M174" s="312">
        <v>34000</v>
      </c>
      <c r="N174" s="288"/>
    </row>
    <row r="175" spans="1:14">
      <c r="A175" s="311" t="s">
        <v>301</v>
      </c>
      <c r="B175" s="309" t="s">
        <v>541</v>
      </c>
      <c r="C175" s="310" t="s">
        <v>59</v>
      </c>
      <c r="D175" s="310"/>
      <c r="E175" s="312"/>
      <c r="F175" s="312"/>
      <c r="G175" s="312"/>
      <c r="H175" s="312"/>
      <c r="I175" s="312"/>
      <c r="J175" s="312"/>
      <c r="K175" s="312"/>
      <c r="L175" s="312"/>
      <c r="M175" s="312"/>
    </row>
    <row r="176" spans="1:14">
      <c r="A176" s="311"/>
      <c r="B176" s="327"/>
      <c r="C176" s="328"/>
      <c r="D176" s="328"/>
      <c r="E176" s="329"/>
      <c r="F176" s="329"/>
      <c r="G176" s="329"/>
      <c r="H176" s="329"/>
      <c r="I176" s="329"/>
      <c r="J176" s="329"/>
      <c r="K176" s="329"/>
      <c r="L176" s="329"/>
      <c r="M176" s="329"/>
    </row>
    <row r="177" spans="1:14" ht="117">
      <c r="A177" s="311" t="s">
        <v>307</v>
      </c>
      <c r="B177" s="309" t="s">
        <v>542</v>
      </c>
      <c r="C177" s="310" t="s">
        <v>59</v>
      </c>
      <c r="D177" s="310"/>
      <c r="E177" s="312"/>
      <c r="F177" s="312"/>
      <c r="G177" s="312"/>
      <c r="H177" s="312"/>
      <c r="I177" s="312"/>
      <c r="J177" s="312"/>
      <c r="K177" s="312"/>
      <c r="L177" s="312"/>
      <c r="M177" s="312"/>
    </row>
    <row r="178" spans="1:14">
      <c r="A178" s="311" t="s">
        <v>310</v>
      </c>
      <c r="B178" s="309" t="s">
        <v>543</v>
      </c>
      <c r="C178" s="310" t="s">
        <v>544</v>
      </c>
      <c r="D178" s="310">
        <v>7</v>
      </c>
      <c r="E178" s="312">
        <v>57358</v>
      </c>
      <c r="F178" s="312">
        <f t="shared" ref="F178:F181" si="42">D178*E178</f>
        <v>401506</v>
      </c>
      <c r="G178" s="312">
        <f t="shared" ref="G178:M178" si="43">$E$178</f>
        <v>57358</v>
      </c>
      <c r="H178" s="312">
        <f t="shared" si="43"/>
        <v>57358</v>
      </c>
      <c r="I178" s="312">
        <f t="shared" si="43"/>
        <v>57358</v>
      </c>
      <c r="J178" s="312">
        <f t="shared" si="43"/>
        <v>57358</v>
      </c>
      <c r="K178" s="312">
        <f t="shared" si="43"/>
        <v>57358</v>
      </c>
      <c r="L178" s="312">
        <f t="shared" si="43"/>
        <v>57358</v>
      </c>
      <c r="M178" s="312">
        <f t="shared" si="43"/>
        <v>57358</v>
      </c>
    </row>
    <row r="179" spans="1:14">
      <c r="A179" s="311" t="s">
        <v>312</v>
      </c>
      <c r="B179" s="309" t="s">
        <v>545</v>
      </c>
      <c r="C179" s="310" t="s">
        <v>544</v>
      </c>
      <c r="D179" s="310">
        <v>7</v>
      </c>
      <c r="E179" s="312">
        <v>46851</v>
      </c>
      <c r="F179" s="312">
        <f t="shared" si="42"/>
        <v>327957</v>
      </c>
      <c r="G179" s="312">
        <f t="shared" ref="G179:M179" si="44">$E$179</f>
        <v>46851</v>
      </c>
      <c r="H179" s="312">
        <f t="shared" si="44"/>
        <v>46851</v>
      </c>
      <c r="I179" s="312">
        <f t="shared" si="44"/>
        <v>46851</v>
      </c>
      <c r="J179" s="312">
        <f t="shared" si="44"/>
        <v>46851</v>
      </c>
      <c r="K179" s="312">
        <f t="shared" si="44"/>
        <v>46851</v>
      </c>
      <c r="L179" s="312">
        <f t="shared" si="44"/>
        <v>46851</v>
      </c>
      <c r="M179" s="312">
        <f t="shared" si="44"/>
        <v>46851</v>
      </c>
    </row>
    <row r="180" spans="1:14">
      <c r="A180" s="311" t="s">
        <v>314</v>
      </c>
      <c r="B180" s="309" t="s">
        <v>546</v>
      </c>
      <c r="C180" s="310" t="s">
        <v>544</v>
      </c>
      <c r="D180" s="310">
        <v>7</v>
      </c>
      <c r="E180" s="312">
        <v>46851</v>
      </c>
      <c r="F180" s="312">
        <f t="shared" si="42"/>
        <v>327957</v>
      </c>
      <c r="G180" s="312">
        <f>$E$180</f>
        <v>46851</v>
      </c>
      <c r="H180" s="312">
        <f t="shared" ref="H180:M180" si="45">$E$180</f>
        <v>46851</v>
      </c>
      <c r="I180" s="312">
        <f t="shared" si="45"/>
        <v>46851</v>
      </c>
      <c r="J180" s="312">
        <f t="shared" si="45"/>
        <v>46851</v>
      </c>
      <c r="K180" s="312">
        <f t="shared" si="45"/>
        <v>46851</v>
      </c>
      <c r="L180" s="312">
        <f t="shared" si="45"/>
        <v>46851</v>
      </c>
      <c r="M180" s="312">
        <f t="shared" si="45"/>
        <v>46851</v>
      </c>
    </row>
    <row r="181" spans="1:14">
      <c r="A181" s="311" t="s">
        <v>316</v>
      </c>
      <c r="B181" s="309" t="s">
        <v>547</v>
      </c>
      <c r="C181" s="310" t="s">
        <v>544</v>
      </c>
      <c r="D181" s="310">
        <v>7</v>
      </c>
      <c r="E181" s="312">
        <v>46851</v>
      </c>
      <c r="F181" s="312">
        <f t="shared" si="42"/>
        <v>327957</v>
      </c>
      <c r="G181" s="312">
        <f>$E$181</f>
        <v>46851</v>
      </c>
      <c r="H181" s="312">
        <f t="shared" ref="H181:M181" si="46">$E$181</f>
        <v>46851</v>
      </c>
      <c r="I181" s="312">
        <f t="shared" si="46"/>
        <v>46851</v>
      </c>
      <c r="J181" s="312">
        <f t="shared" si="46"/>
        <v>46851</v>
      </c>
      <c r="K181" s="312">
        <f t="shared" si="46"/>
        <v>46851</v>
      </c>
      <c r="L181" s="312">
        <f t="shared" si="46"/>
        <v>46851</v>
      </c>
      <c r="M181" s="312">
        <f t="shared" si="46"/>
        <v>46851</v>
      </c>
    </row>
    <row r="182" spans="1:14">
      <c r="A182" s="311" t="s">
        <v>317</v>
      </c>
      <c r="B182" s="336"/>
      <c r="C182" s="310"/>
      <c r="D182" s="310"/>
      <c r="E182" s="312"/>
      <c r="F182" s="312"/>
      <c r="G182" s="312"/>
      <c r="H182" s="312"/>
      <c r="I182" s="312"/>
      <c r="J182" s="312"/>
      <c r="K182" s="312"/>
      <c r="L182" s="312"/>
      <c r="M182" s="312"/>
      <c r="N182" s="112"/>
    </row>
    <row r="183" spans="1:14">
      <c r="A183" s="311" t="s">
        <v>318</v>
      </c>
      <c r="B183" s="309"/>
      <c r="C183" s="310"/>
      <c r="D183" s="310"/>
      <c r="E183" s="312"/>
      <c r="F183" s="312"/>
      <c r="G183" s="312"/>
      <c r="H183" s="312"/>
      <c r="I183" s="312"/>
      <c r="J183" s="312"/>
      <c r="K183" s="312"/>
      <c r="L183" s="312"/>
      <c r="M183" s="312"/>
      <c r="N183" s="112"/>
    </row>
    <row r="184" spans="1:14">
      <c r="A184" s="311" t="s">
        <v>320</v>
      </c>
      <c r="B184" s="336" t="s">
        <v>548</v>
      </c>
      <c r="C184" s="310" t="s">
        <v>439</v>
      </c>
      <c r="D184" s="310">
        <v>7</v>
      </c>
      <c r="E184" s="312">
        <v>12000</v>
      </c>
      <c r="F184" s="312">
        <f t="shared" ref="F184:F195" si="47">D184*E184</f>
        <v>84000</v>
      </c>
      <c r="G184" s="312">
        <f t="shared" ref="G184:M184" si="48">$E$184</f>
        <v>12000</v>
      </c>
      <c r="H184" s="312">
        <f t="shared" si="48"/>
        <v>12000</v>
      </c>
      <c r="I184" s="312">
        <f t="shared" si="48"/>
        <v>12000</v>
      </c>
      <c r="J184" s="312">
        <f t="shared" si="48"/>
        <v>12000</v>
      </c>
      <c r="K184" s="312">
        <f t="shared" si="48"/>
        <v>12000</v>
      </c>
      <c r="L184" s="312">
        <f t="shared" si="48"/>
        <v>12000</v>
      </c>
      <c r="M184" s="312">
        <f t="shared" si="48"/>
        <v>12000</v>
      </c>
    </row>
    <row r="185" spans="1:14">
      <c r="A185" s="311" t="s">
        <v>322</v>
      </c>
      <c r="B185" s="336" t="s">
        <v>549</v>
      </c>
      <c r="C185" s="310" t="s">
        <v>439</v>
      </c>
      <c r="D185" s="310">
        <v>1</v>
      </c>
      <c r="E185" s="312">
        <f>'PMC3 National office equip'!$D$10</f>
        <v>46700</v>
      </c>
      <c r="F185" s="312">
        <f t="shared" si="47"/>
        <v>46700</v>
      </c>
      <c r="G185" s="312">
        <f>E185</f>
        <v>46700</v>
      </c>
      <c r="H185" s="312"/>
      <c r="I185" s="312"/>
      <c r="J185" s="312"/>
      <c r="K185" s="312"/>
      <c r="L185" s="312"/>
      <c r="M185" s="312"/>
    </row>
    <row r="186" spans="1:14">
      <c r="A186" s="311" t="s">
        <v>324</v>
      </c>
      <c r="B186" s="336" t="s">
        <v>550</v>
      </c>
      <c r="C186" s="310" t="s">
        <v>439</v>
      </c>
      <c r="D186" s="310">
        <v>1</v>
      </c>
      <c r="E186" s="312">
        <v>40000</v>
      </c>
      <c r="F186" s="312">
        <f t="shared" si="47"/>
        <v>40000</v>
      </c>
      <c r="G186" s="312">
        <f>$E$186</f>
        <v>40000</v>
      </c>
      <c r="H186" s="312"/>
      <c r="I186" s="312"/>
      <c r="J186" s="312"/>
      <c r="K186" s="312"/>
      <c r="L186" s="312"/>
      <c r="M186" s="312"/>
    </row>
    <row r="187" spans="1:14">
      <c r="A187" s="311" t="s">
        <v>327</v>
      </c>
      <c r="B187" s="336" t="s">
        <v>551</v>
      </c>
      <c r="C187" s="310" t="s">
        <v>439</v>
      </c>
      <c r="D187" s="310">
        <v>7</v>
      </c>
      <c r="E187" s="312">
        <v>2000</v>
      </c>
      <c r="F187" s="312">
        <f t="shared" si="47"/>
        <v>14000</v>
      </c>
      <c r="G187" s="312">
        <f>$E$187</f>
        <v>2000</v>
      </c>
      <c r="H187" s="312">
        <f t="shared" ref="H187:M187" si="49">$E$187</f>
        <v>2000</v>
      </c>
      <c r="I187" s="312">
        <f t="shared" si="49"/>
        <v>2000</v>
      </c>
      <c r="J187" s="312">
        <f t="shared" si="49"/>
        <v>2000</v>
      </c>
      <c r="K187" s="312">
        <f t="shared" si="49"/>
        <v>2000</v>
      </c>
      <c r="L187" s="312">
        <f t="shared" si="49"/>
        <v>2000</v>
      </c>
      <c r="M187" s="312">
        <f t="shared" si="49"/>
        <v>2000</v>
      </c>
    </row>
    <row r="188" spans="1:14" ht="26">
      <c r="A188" s="311" t="s">
        <v>329</v>
      </c>
      <c r="B188" s="336" t="s">
        <v>552</v>
      </c>
      <c r="C188" s="310" t="s">
        <v>439</v>
      </c>
      <c r="D188" s="310">
        <v>7</v>
      </c>
      <c r="E188" s="312">
        <v>7500</v>
      </c>
      <c r="F188" s="312">
        <f t="shared" si="47"/>
        <v>52500</v>
      </c>
      <c r="G188" s="312">
        <f>$E$188</f>
        <v>7500</v>
      </c>
      <c r="H188" s="312">
        <f t="shared" ref="H188:M188" si="50">$E$188</f>
        <v>7500</v>
      </c>
      <c r="I188" s="312">
        <f t="shared" si="50"/>
        <v>7500</v>
      </c>
      <c r="J188" s="312">
        <f t="shared" si="50"/>
        <v>7500</v>
      </c>
      <c r="K188" s="312">
        <f t="shared" si="50"/>
        <v>7500</v>
      </c>
      <c r="L188" s="312">
        <f t="shared" si="50"/>
        <v>7500</v>
      </c>
      <c r="M188" s="312">
        <f t="shared" si="50"/>
        <v>7500</v>
      </c>
    </row>
    <row r="189" spans="1:14" ht="26">
      <c r="A189" s="311" t="s">
        <v>331</v>
      </c>
      <c r="B189" s="336" t="s">
        <v>553</v>
      </c>
      <c r="C189" s="310" t="s">
        <v>439</v>
      </c>
      <c r="D189" s="310">
        <v>7</v>
      </c>
      <c r="E189" s="312">
        <v>1500</v>
      </c>
      <c r="F189" s="312">
        <f t="shared" si="47"/>
        <v>10500</v>
      </c>
      <c r="G189" s="312">
        <f>$E$189</f>
        <v>1500</v>
      </c>
      <c r="H189" s="312">
        <f t="shared" ref="H189:M189" si="51">$E$189</f>
        <v>1500</v>
      </c>
      <c r="I189" s="312">
        <f t="shared" si="51"/>
        <v>1500</v>
      </c>
      <c r="J189" s="312">
        <f t="shared" si="51"/>
        <v>1500</v>
      </c>
      <c r="K189" s="312">
        <f t="shared" si="51"/>
        <v>1500</v>
      </c>
      <c r="L189" s="312">
        <f t="shared" si="51"/>
        <v>1500</v>
      </c>
      <c r="M189" s="312">
        <f t="shared" si="51"/>
        <v>1500</v>
      </c>
    </row>
    <row r="190" spans="1:14">
      <c r="A190" s="311" t="s">
        <v>333</v>
      </c>
      <c r="B190" s="336" t="s">
        <v>554</v>
      </c>
      <c r="C190" s="310" t="s">
        <v>439</v>
      </c>
      <c r="D190" s="310">
        <v>7</v>
      </c>
      <c r="E190" s="312">
        <v>50000</v>
      </c>
      <c r="F190" s="312">
        <f t="shared" si="47"/>
        <v>350000</v>
      </c>
      <c r="G190" s="312">
        <f>$E$190</f>
        <v>50000</v>
      </c>
      <c r="H190" s="312">
        <f t="shared" ref="H190:M190" si="52">$E$190</f>
        <v>50000</v>
      </c>
      <c r="I190" s="312">
        <f t="shared" si="52"/>
        <v>50000</v>
      </c>
      <c r="J190" s="312">
        <f t="shared" si="52"/>
        <v>50000</v>
      </c>
      <c r="K190" s="312">
        <f t="shared" si="52"/>
        <v>50000</v>
      </c>
      <c r="L190" s="312">
        <f t="shared" si="52"/>
        <v>50000</v>
      </c>
      <c r="M190" s="312">
        <f t="shared" si="52"/>
        <v>50000</v>
      </c>
    </row>
    <row r="191" spans="1:14">
      <c r="A191" s="311" t="s">
        <v>335</v>
      </c>
      <c r="B191" s="336" t="s">
        <v>555</v>
      </c>
      <c r="C191" s="310" t="s">
        <v>439</v>
      </c>
      <c r="D191" s="310">
        <v>7</v>
      </c>
      <c r="E191" s="312">
        <v>5000</v>
      </c>
      <c r="F191" s="312">
        <f t="shared" si="47"/>
        <v>35000</v>
      </c>
      <c r="G191" s="312">
        <f>$E$191</f>
        <v>5000</v>
      </c>
      <c r="H191" s="312">
        <f t="shared" ref="H191:M191" si="53">$E$191</f>
        <v>5000</v>
      </c>
      <c r="I191" s="312">
        <f t="shared" si="53"/>
        <v>5000</v>
      </c>
      <c r="J191" s="312">
        <f t="shared" si="53"/>
        <v>5000</v>
      </c>
      <c r="K191" s="312">
        <f t="shared" si="53"/>
        <v>5000</v>
      </c>
      <c r="L191" s="312">
        <f t="shared" si="53"/>
        <v>5000</v>
      </c>
      <c r="M191" s="312">
        <f t="shared" si="53"/>
        <v>5000</v>
      </c>
    </row>
    <row r="192" spans="1:14">
      <c r="A192" s="311" t="s">
        <v>337</v>
      </c>
      <c r="B192" s="336" t="s">
        <v>556</v>
      </c>
      <c r="C192" s="310" t="s">
        <v>439</v>
      </c>
      <c r="D192" s="310">
        <v>7</v>
      </c>
      <c r="E192" s="312">
        <v>10000</v>
      </c>
      <c r="F192" s="312">
        <f t="shared" si="47"/>
        <v>70000</v>
      </c>
      <c r="G192" s="312">
        <f>$E$192</f>
        <v>10000</v>
      </c>
      <c r="H192" s="312">
        <f t="shared" ref="H192:M192" si="54">$E$192</f>
        <v>10000</v>
      </c>
      <c r="I192" s="312">
        <f t="shared" si="54"/>
        <v>10000</v>
      </c>
      <c r="J192" s="312">
        <f t="shared" si="54"/>
        <v>10000</v>
      </c>
      <c r="K192" s="312">
        <f t="shared" si="54"/>
        <v>10000</v>
      </c>
      <c r="L192" s="312">
        <f t="shared" si="54"/>
        <v>10000</v>
      </c>
      <c r="M192" s="312">
        <f t="shared" si="54"/>
        <v>10000</v>
      </c>
    </row>
    <row r="193" spans="1:13" ht="39">
      <c r="A193" s="311" t="s">
        <v>339</v>
      </c>
      <c r="B193" s="336" t="s">
        <v>557</v>
      </c>
      <c r="C193" s="310" t="s">
        <v>439</v>
      </c>
      <c r="D193" s="310">
        <v>7</v>
      </c>
      <c r="E193" s="312">
        <v>4500</v>
      </c>
      <c r="F193" s="312">
        <f t="shared" si="47"/>
        <v>31500</v>
      </c>
      <c r="G193" s="312">
        <f>$E$193</f>
        <v>4500</v>
      </c>
      <c r="H193" s="312">
        <f t="shared" ref="H193:M193" si="55">$E$193</f>
        <v>4500</v>
      </c>
      <c r="I193" s="312">
        <f t="shared" si="55"/>
        <v>4500</v>
      </c>
      <c r="J193" s="312">
        <f t="shared" si="55"/>
        <v>4500</v>
      </c>
      <c r="K193" s="312">
        <f t="shared" si="55"/>
        <v>4500</v>
      </c>
      <c r="L193" s="312">
        <f t="shared" si="55"/>
        <v>4500</v>
      </c>
      <c r="M193" s="312">
        <f t="shared" si="55"/>
        <v>4500</v>
      </c>
    </row>
    <row r="194" spans="1:13">
      <c r="A194" s="311" t="s">
        <v>341</v>
      </c>
      <c r="B194" s="340" t="s">
        <v>558</v>
      </c>
      <c r="C194" s="310" t="s">
        <v>439</v>
      </c>
      <c r="D194" s="310">
        <v>7</v>
      </c>
      <c r="E194" s="312">
        <v>5000</v>
      </c>
      <c r="F194" s="312">
        <f t="shared" si="47"/>
        <v>35000</v>
      </c>
      <c r="G194" s="312">
        <f>$E$194</f>
        <v>5000</v>
      </c>
      <c r="H194" s="312">
        <f t="shared" ref="H194:M194" si="56">$E$194</f>
        <v>5000</v>
      </c>
      <c r="I194" s="312">
        <f t="shared" si="56"/>
        <v>5000</v>
      </c>
      <c r="J194" s="312">
        <f t="shared" si="56"/>
        <v>5000</v>
      </c>
      <c r="K194" s="312">
        <f t="shared" si="56"/>
        <v>5000</v>
      </c>
      <c r="L194" s="312">
        <f t="shared" si="56"/>
        <v>5000</v>
      </c>
      <c r="M194" s="312">
        <f t="shared" si="56"/>
        <v>5000</v>
      </c>
    </row>
    <row r="195" spans="1:13">
      <c r="A195" s="311" t="s">
        <v>343</v>
      </c>
      <c r="B195" s="340" t="s">
        <v>559</v>
      </c>
      <c r="C195" s="310" t="s">
        <v>439</v>
      </c>
      <c r="D195" s="310">
        <v>7</v>
      </c>
      <c r="E195" s="312">
        <v>15000</v>
      </c>
      <c r="F195" s="312">
        <f t="shared" si="47"/>
        <v>105000</v>
      </c>
      <c r="G195" s="312">
        <f>$E$195</f>
        <v>15000</v>
      </c>
      <c r="H195" s="312">
        <f t="shared" ref="H195:M195" si="57">$E$195</f>
        <v>15000</v>
      </c>
      <c r="I195" s="312">
        <f t="shared" si="57"/>
        <v>15000</v>
      </c>
      <c r="J195" s="312">
        <f t="shared" si="57"/>
        <v>15000</v>
      </c>
      <c r="K195" s="312">
        <f t="shared" si="57"/>
        <v>15000</v>
      </c>
      <c r="L195" s="312">
        <f t="shared" si="57"/>
        <v>15000</v>
      </c>
      <c r="M195" s="312">
        <f t="shared" si="57"/>
        <v>15000</v>
      </c>
    </row>
  </sheetData>
  <autoFilter ref="A1:M1" xr:uid="{09DB0851-26A5-451E-BE8B-3BA707EEB4CA}">
    <filterColumn colId="0" showButton="0"/>
  </autoFilter>
  <mergeCells count="1">
    <mergeCell ref="A1:B1"/>
  </mergeCells>
  <phoneticPr fontId="34"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8"/>
  <sheetViews>
    <sheetView topLeftCell="A23" zoomScale="90" zoomScaleNormal="90" workbookViewId="0">
      <selection activeCell="F32" sqref="F32"/>
    </sheetView>
  </sheetViews>
  <sheetFormatPr defaultColWidth="25" defaultRowHeight="14.5"/>
  <cols>
    <col min="1" max="1" width="41.81640625" customWidth="1"/>
    <col min="2" max="2" width="37.1796875" customWidth="1"/>
    <col min="3" max="3" width="19.81640625" customWidth="1"/>
    <col min="4" max="4" width="22.54296875" customWidth="1"/>
    <col min="5" max="5" width="14.81640625" customWidth="1"/>
    <col min="6" max="6" width="18.453125" customWidth="1"/>
    <col min="7" max="7" width="22.81640625" customWidth="1"/>
  </cols>
  <sheetData>
    <row r="1" spans="1:9">
      <c r="A1" s="83" t="s">
        <v>560</v>
      </c>
      <c r="B1" s="89"/>
      <c r="D1" s="61"/>
      <c r="E1" s="61"/>
      <c r="F1" s="61"/>
      <c r="G1" s="61"/>
    </row>
    <row r="2" spans="1:9">
      <c r="A2" s="85" t="s">
        <v>561</v>
      </c>
      <c r="B2" s="286">
        <f>'Co-financing EPA In-kind'!J52</f>
        <v>1560967.111111111</v>
      </c>
      <c r="C2" s="108"/>
      <c r="D2" s="61"/>
      <c r="E2" s="61"/>
      <c r="F2" s="61"/>
      <c r="G2" s="61"/>
    </row>
    <row r="3" spans="1:9">
      <c r="A3" s="85" t="s">
        <v>562</v>
      </c>
      <c r="B3" s="286">
        <f>'Co-financing MoFA in-kind'!J67</f>
        <v>2848714.222222222</v>
      </c>
      <c r="C3" s="108"/>
      <c r="D3" s="108"/>
      <c r="E3" s="61"/>
      <c r="F3" s="61"/>
      <c r="G3" s="61"/>
    </row>
    <row r="4" spans="1:9">
      <c r="A4" s="85" t="s">
        <v>563</v>
      </c>
      <c r="B4" s="286">
        <v>500000</v>
      </c>
      <c r="C4" s="108"/>
      <c r="D4" s="61"/>
      <c r="E4" s="61"/>
      <c r="F4" s="61"/>
      <c r="G4" s="61"/>
    </row>
    <row r="5" spans="1:9">
      <c r="A5" s="85" t="s">
        <v>564</v>
      </c>
      <c r="B5" s="286">
        <v>1400000</v>
      </c>
      <c r="C5" s="108"/>
      <c r="D5" s="61"/>
      <c r="E5" s="61"/>
      <c r="F5" s="61"/>
      <c r="G5" s="61"/>
    </row>
    <row r="6" spans="1:9">
      <c r="A6" s="85"/>
      <c r="B6" s="286"/>
      <c r="C6" s="325"/>
      <c r="D6" s="61"/>
      <c r="E6" s="61"/>
      <c r="F6" s="61"/>
      <c r="G6" s="61"/>
    </row>
    <row r="7" spans="1:9">
      <c r="A7" s="85" t="s">
        <v>565</v>
      </c>
      <c r="B7" s="286">
        <f>SUM(B2:B6)</f>
        <v>6309681.333333333</v>
      </c>
      <c r="C7" s="108"/>
      <c r="D7" s="61"/>
      <c r="E7" s="61"/>
      <c r="F7" s="61"/>
      <c r="G7" s="61"/>
    </row>
    <row r="8" spans="1:9">
      <c r="A8" s="85"/>
      <c r="B8" s="286"/>
      <c r="C8" s="108"/>
      <c r="D8" s="61"/>
      <c r="E8" s="61"/>
      <c r="F8" s="61"/>
      <c r="G8" s="61"/>
    </row>
    <row r="9" spans="1:9">
      <c r="A9" s="89" t="s">
        <v>566</v>
      </c>
      <c r="B9" s="286">
        <f>'Co-financing EPA 4.3'!E4</f>
        <v>428000</v>
      </c>
      <c r="C9" s="108"/>
      <c r="D9" s="61"/>
      <c r="E9" s="61"/>
      <c r="F9" s="61"/>
      <c r="G9" s="61"/>
    </row>
    <row r="10" spans="1:9">
      <c r="A10" s="89" t="s">
        <v>567</v>
      </c>
      <c r="B10" s="286">
        <f>'Co-financing EPA cash'!D7</f>
        <v>250000</v>
      </c>
      <c r="C10" s="108"/>
      <c r="D10" s="108"/>
      <c r="E10" s="108"/>
      <c r="F10" s="108"/>
      <c r="G10" s="61"/>
    </row>
    <row r="11" spans="1:9">
      <c r="A11" s="86" t="s">
        <v>568</v>
      </c>
      <c r="B11" s="84">
        <f>+B7+B9+B10</f>
        <v>6987681.333333333</v>
      </c>
      <c r="C11" s="107"/>
      <c r="D11" s="61"/>
      <c r="E11" s="61"/>
      <c r="F11" s="61"/>
      <c r="G11" s="61"/>
    </row>
    <row r="12" spans="1:9">
      <c r="A12" s="106"/>
      <c r="B12" s="107"/>
      <c r="C12" s="107"/>
      <c r="D12" s="61"/>
      <c r="E12" s="61"/>
      <c r="F12" s="61"/>
      <c r="G12" s="61"/>
      <c r="H12" s="2"/>
    </row>
    <row r="13" spans="1:9" ht="15" thickBot="1"/>
    <row r="14" spans="1:9" ht="23.5" thickBot="1">
      <c r="A14" s="57" t="s">
        <v>7</v>
      </c>
      <c r="B14" s="57" t="s">
        <v>8</v>
      </c>
      <c r="C14" s="57" t="s">
        <v>569</v>
      </c>
      <c r="D14" s="57" t="s">
        <v>570</v>
      </c>
      <c r="E14" s="301" t="s">
        <v>571</v>
      </c>
      <c r="F14" s="301" t="s">
        <v>572</v>
      </c>
      <c r="G14" s="87" t="s">
        <v>573</v>
      </c>
      <c r="H14" s="2"/>
    </row>
    <row r="15" spans="1:9" ht="46.5" thickBot="1">
      <c r="A15" s="472" t="s">
        <v>574</v>
      </c>
      <c r="B15" s="109" t="s">
        <v>24</v>
      </c>
      <c r="C15" s="58">
        <f>'Detailed budget'!R19</f>
        <v>855290</v>
      </c>
      <c r="D15" s="58">
        <f>(G15*$B$5)</f>
        <v>88972.952328302155</v>
      </c>
      <c r="E15" s="302" t="s">
        <v>575</v>
      </c>
      <c r="F15" s="302"/>
      <c r="G15" s="88">
        <f>C15/$C$21</f>
        <v>6.355210880593011E-2</v>
      </c>
      <c r="H15" s="2"/>
    </row>
    <row r="16" spans="1:9" ht="36.75" customHeight="1" thickBot="1">
      <c r="A16" s="473"/>
      <c r="B16" s="475" t="s">
        <v>51</v>
      </c>
      <c r="C16" s="477">
        <f>'Detailed budget'!R32</f>
        <v>11291100</v>
      </c>
      <c r="D16" s="58">
        <f>(G16*$B$5)+(B4)</f>
        <v>1174575.792630678</v>
      </c>
      <c r="E16" s="302" t="s">
        <v>576</v>
      </c>
      <c r="F16" s="302"/>
      <c r="G16" s="88">
        <v>0.4818398518790557</v>
      </c>
      <c r="H16" s="2"/>
      <c r="I16" s="2"/>
    </row>
    <row r="17" spans="1:10" ht="15" thickBot="1">
      <c r="A17" s="473"/>
      <c r="B17" s="476"/>
      <c r="C17" s="478"/>
      <c r="D17" s="58">
        <f>(G17*$B$5)</f>
        <v>499999.49999999994</v>
      </c>
      <c r="E17" s="302" t="s">
        <v>58</v>
      </c>
      <c r="F17" s="302"/>
      <c r="G17" s="88">
        <v>0.35714249999999997</v>
      </c>
      <c r="H17" s="389"/>
      <c r="I17" s="2"/>
    </row>
    <row r="18" spans="1:10" ht="46.5" thickBot="1">
      <c r="A18" s="473"/>
      <c r="B18" s="109" t="s">
        <v>577</v>
      </c>
      <c r="C18" s="58">
        <f>'Detailed budget'!R48</f>
        <v>312600</v>
      </c>
      <c r="D18" s="58">
        <f>(G18*$B$5)</f>
        <v>32518.73036961411</v>
      </c>
      <c r="E18" s="302" t="s">
        <v>27</v>
      </c>
      <c r="F18" s="302"/>
      <c r="G18" s="88">
        <f t="shared" ref="G18:G20" si="0">C18/$C$21</f>
        <v>2.3227664549724365E-2</v>
      </c>
      <c r="H18" s="2"/>
      <c r="I18" s="2"/>
    </row>
    <row r="19" spans="1:10" ht="35" thickBot="1">
      <c r="A19" s="473"/>
      <c r="B19" s="109" t="s">
        <v>89</v>
      </c>
      <c r="C19" s="58">
        <f>'Detailed budget'!R67</f>
        <v>493850</v>
      </c>
      <c r="D19" s="58">
        <f>(G19*$B$5)</f>
        <v>51373.560438368302</v>
      </c>
      <c r="E19" s="302" t="s">
        <v>575</v>
      </c>
      <c r="F19" s="302"/>
      <c r="G19" s="88">
        <f t="shared" si="0"/>
        <v>3.6695400313120213E-2</v>
      </c>
      <c r="H19" s="2"/>
    </row>
    <row r="20" spans="1:10" ht="35" thickBot="1">
      <c r="A20" s="474"/>
      <c r="B20" s="109" t="s">
        <v>111</v>
      </c>
      <c r="C20" s="58">
        <f>'Detailed budget'!R84</f>
        <v>505250</v>
      </c>
      <c r="D20" s="58">
        <f>(G20*$B$5)</f>
        <v>52559.464233037528</v>
      </c>
      <c r="E20" s="302" t="s">
        <v>575</v>
      </c>
      <c r="F20" s="302"/>
      <c r="G20" s="88">
        <f t="shared" si="0"/>
        <v>3.7542474452169662E-2</v>
      </c>
      <c r="H20" s="2">
        <f>SUM(C15:C20)</f>
        <v>13458090</v>
      </c>
      <c r="I20" s="314">
        <f>SUM(D15:D20)</f>
        <v>1900000.0000000002</v>
      </c>
      <c r="J20" s="2">
        <f>SUM(H20:I20)</f>
        <v>15358090</v>
      </c>
    </row>
    <row r="21" spans="1:10" ht="15" thickBot="1">
      <c r="A21" s="372"/>
      <c r="B21" s="109" t="s">
        <v>578</v>
      </c>
      <c r="C21" s="58">
        <f>SUM(C15:C20)</f>
        <v>13458090</v>
      </c>
      <c r="D21" s="58">
        <f>SUM(D15:D20)</f>
        <v>1900000.0000000002</v>
      </c>
      <c r="E21" s="302"/>
      <c r="F21" s="302"/>
      <c r="G21" s="88">
        <f>SUM(G15:G20)</f>
        <v>1.0000000000000002</v>
      </c>
      <c r="H21" s="2"/>
      <c r="I21" s="314"/>
      <c r="J21" s="2"/>
    </row>
    <row r="22" spans="1:10" ht="15" thickBot="1">
      <c r="A22" s="372"/>
      <c r="B22" s="109"/>
      <c r="C22" s="58"/>
      <c r="D22" s="58"/>
      <c r="E22" s="302"/>
      <c r="F22" s="302"/>
      <c r="G22" s="88"/>
      <c r="H22" s="2"/>
      <c r="I22" s="314"/>
      <c r="J22" s="2"/>
    </row>
    <row r="23" spans="1:10" ht="35.9" customHeight="1" thickBot="1">
      <c r="A23" s="472" t="s">
        <v>579</v>
      </c>
      <c r="B23" s="479" t="s">
        <v>134</v>
      </c>
      <c r="C23" s="481">
        <f>'Detailed budget'!$R$97</f>
        <v>734557</v>
      </c>
      <c r="D23" s="58">
        <f>G23*$B$3</f>
        <v>91700.965427599993</v>
      </c>
      <c r="E23" s="302" t="s">
        <v>580</v>
      </c>
      <c r="F23" s="302"/>
      <c r="G23" s="88">
        <v>3.2190299999999998E-2</v>
      </c>
      <c r="H23" s="2"/>
      <c r="I23" s="2"/>
    </row>
    <row r="24" spans="1:10" ht="35.9" customHeight="1" thickBot="1">
      <c r="A24" s="473"/>
      <c r="B24" s="480"/>
      <c r="C24" s="482"/>
      <c r="D24" s="58">
        <v>0</v>
      </c>
      <c r="E24" s="302" t="s">
        <v>137</v>
      </c>
      <c r="F24" s="302">
        <v>250000</v>
      </c>
      <c r="G24" s="88"/>
      <c r="H24" s="2"/>
      <c r="I24" s="2"/>
    </row>
    <row r="25" spans="1:10" ht="35.9" customHeight="1" thickBot="1">
      <c r="A25" s="473"/>
      <c r="B25" s="109" t="s">
        <v>149</v>
      </c>
      <c r="C25" s="58">
        <f>'Detailed budget'!$R$109</f>
        <v>703640</v>
      </c>
      <c r="D25" s="58">
        <f t="shared" ref="D25:D28" si="1">G25*$B$3</f>
        <v>87841.743927222196</v>
      </c>
      <c r="E25" s="302" t="s">
        <v>135</v>
      </c>
      <c r="F25" s="302"/>
      <c r="G25" s="88">
        <f t="shared" ref="G25:G28" si="2">C25/$C$29</f>
        <v>3.0835576008989313E-2</v>
      </c>
      <c r="I25" s="2"/>
    </row>
    <row r="26" spans="1:10" ht="35" thickBot="1">
      <c r="A26" s="473"/>
      <c r="B26" s="109" t="s">
        <v>581</v>
      </c>
      <c r="C26" s="58">
        <f>'Detailed budget'!R116</f>
        <v>783600</v>
      </c>
      <c r="D26" s="58">
        <f t="shared" si="1"/>
        <v>97823.873772627077</v>
      </c>
      <c r="E26" s="302" t="s">
        <v>135</v>
      </c>
      <c r="F26" s="302"/>
      <c r="G26" s="88">
        <f t="shared" si="2"/>
        <v>3.4339658576323158E-2</v>
      </c>
      <c r="I26" s="2"/>
    </row>
    <row r="27" spans="1:10" ht="58" thickBot="1">
      <c r="A27" s="473"/>
      <c r="B27" s="109" t="s">
        <v>582</v>
      </c>
      <c r="C27" s="58">
        <f>'Detailed budget'!R122</f>
        <v>20480000</v>
      </c>
      <c r="D27" s="58">
        <f t="shared" si="1"/>
        <v>2556703.5922197583</v>
      </c>
      <c r="E27" s="302" t="s">
        <v>135</v>
      </c>
      <c r="F27" s="302"/>
      <c r="G27" s="88">
        <f t="shared" si="2"/>
        <v>0.89749388417955367</v>
      </c>
      <c r="H27" s="2"/>
    </row>
    <row r="28" spans="1:10" ht="58" thickBot="1">
      <c r="A28" s="474"/>
      <c r="B28" s="109" t="s">
        <v>183</v>
      </c>
      <c r="C28" s="58">
        <f>'Detailed budget'!R127</f>
        <v>117300</v>
      </c>
      <c r="D28" s="58">
        <f t="shared" si="1"/>
        <v>14643.619695672734</v>
      </c>
      <c r="E28" s="302" t="s">
        <v>135</v>
      </c>
      <c r="F28" s="302"/>
      <c r="G28" s="88">
        <f t="shared" si="2"/>
        <v>5.1404312799932439E-3</v>
      </c>
      <c r="H28" s="2">
        <f>SUM(C23:C28)</f>
        <v>22819097</v>
      </c>
      <c r="I28" s="314">
        <f>SUM(D23:D28)</f>
        <v>2848713.7950428803</v>
      </c>
      <c r="J28" s="2">
        <f>SUM(H28:I28)</f>
        <v>25667810.79504288</v>
      </c>
    </row>
    <row r="29" spans="1:10" ht="15" thickBot="1">
      <c r="A29" s="372"/>
      <c r="B29" s="109" t="s">
        <v>583</v>
      </c>
      <c r="C29" s="302">
        <f>SUM(C23:C28)</f>
        <v>22819097</v>
      </c>
      <c r="D29" s="58">
        <f>SUM(D23:D28)</f>
        <v>2848713.7950428803</v>
      </c>
      <c r="E29" s="302"/>
      <c r="F29" s="302"/>
      <c r="G29" s="88">
        <f>SUM(G23:G28)</f>
        <v>0.99999985004485936</v>
      </c>
      <c r="H29" s="2"/>
      <c r="I29" s="314"/>
      <c r="J29" s="2"/>
    </row>
    <row r="30" spans="1:10" ht="15" thickBot="1">
      <c r="A30" s="372"/>
      <c r="B30" s="109"/>
      <c r="C30" s="408"/>
      <c r="D30" s="58"/>
      <c r="E30" s="302"/>
      <c r="F30" s="302"/>
      <c r="G30" s="88"/>
      <c r="H30" s="2"/>
      <c r="I30" s="314"/>
      <c r="J30" s="2"/>
    </row>
    <row r="31" spans="1:10" ht="23.5" thickBot="1">
      <c r="A31" s="372" t="s">
        <v>196</v>
      </c>
      <c r="B31" s="109" t="s">
        <v>584</v>
      </c>
      <c r="C31" s="134">
        <f>'Detailed budget'!$P$136</f>
        <v>19823957</v>
      </c>
      <c r="D31" s="58">
        <f>(B$2*40%)</f>
        <v>624386.8444444444</v>
      </c>
      <c r="E31" s="302" t="s">
        <v>585</v>
      </c>
      <c r="F31" s="302"/>
      <c r="G31" s="88">
        <v>1</v>
      </c>
      <c r="H31" s="2"/>
      <c r="I31" s="314"/>
      <c r="J31" s="2"/>
    </row>
    <row r="32" spans="1:10" ht="63" customHeight="1" thickBot="1">
      <c r="A32" s="472" t="s">
        <v>586</v>
      </c>
      <c r="B32" s="109" t="s">
        <v>587</v>
      </c>
      <c r="C32" s="58">
        <f>'Detailed budget'!R145</f>
        <v>439600</v>
      </c>
      <c r="D32" s="58">
        <f>G32*($B$2*25%)</f>
        <v>160162.71637672588</v>
      </c>
      <c r="E32" s="302" t="s">
        <v>588</v>
      </c>
      <c r="F32" s="302"/>
      <c r="G32" s="88">
        <f>C32/$C$35</f>
        <v>0.41041919521986742</v>
      </c>
      <c r="H32" s="2"/>
      <c r="I32" s="2"/>
    </row>
    <row r="33" spans="1:10" ht="46.5" thickBot="1">
      <c r="A33" s="473"/>
      <c r="B33" s="141" t="s">
        <v>589</v>
      </c>
      <c r="C33" s="130">
        <f>'Detailed budget'!R149</f>
        <v>65000</v>
      </c>
      <c r="D33" s="58">
        <f>G33*($B$2*25%)</f>
        <v>23681.930310480398</v>
      </c>
      <c r="E33" s="302" t="s">
        <v>588</v>
      </c>
      <c r="F33" s="302"/>
      <c r="G33" s="88">
        <f t="shared" ref="G33:G34" si="3">C33/$C$35</f>
        <v>6.0685276818224256E-2</v>
      </c>
    </row>
    <row r="34" spans="1:10" ht="23.5" thickBot="1">
      <c r="A34" s="474"/>
      <c r="B34" s="142" t="s">
        <v>590</v>
      </c>
      <c r="C34" s="58">
        <f>'Detailed budget'!R171</f>
        <v>566500</v>
      </c>
      <c r="D34" s="58">
        <f>G34*($B$2*25%)</f>
        <v>206397.13109057146</v>
      </c>
      <c r="E34" s="302" t="s">
        <v>591</v>
      </c>
      <c r="F34" s="302">
        <v>428000</v>
      </c>
      <c r="G34" s="88">
        <f t="shared" si="3"/>
        <v>0.52889552796190831</v>
      </c>
      <c r="H34" s="2">
        <f>SUM(C32:C34)</f>
        <v>1071100</v>
      </c>
      <c r="I34" s="2">
        <f>SUM(D32:E34)</f>
        <v>390241.77777777775</v>
      </c>
      <c r="J34" s="2">
        <f>SUM(H34:I34)</f>
        <v>1461341.7777777778</v>
      </c>
    </row>
    <row r="35" spans="1:10" ht="15" thickBot="1">
      <c r="A35" s="372"/>
      <c r="B35" s="142" t="s">
        <v>583</v>
      </c>
      <c r="C35" s="58">
        <f>SUM(C32:C34)</f>
        <v>1071100</v>
      </c>
      <c r="D35" s="58">
        <f>SUM(D32:D34)</f>
        <v>390241.77777777775</v>
      </c>
      <c r="E35" s="302"/>
      <c r="F35" s="302"/>
      <c r="G35" s="88">
        <f>SUM(G32:G34)</f>
        <v>1</v>
      </c>
      <c r="H35" s="2"/>
      <c r="I35" s="2"/>
      <c r="J35" s="2"/>
    </row>
    <row r="36" spans="1:10" ht="15" thickBot="1">
      <c r="A36" s="372"/>
      <c r="B36" s="142"/>
      <c r="C36" s="58"/>
      <c r="D36" s="58"/>
      <c r="E36" s="302"/>
      <c r="F36" s="302"/>
      <c r="G36" s="88"/>
      <c r="H36" s="2"/>
      <c r="I36" s="2"/>
      <c r="J36" s="2"/>
    </row>
    <row r="37" spans="1:10" ht="51.75" customHeight="1" thickBot="1">
      <c r="A37" s="472" t="s">
        <v>592</v>
      </c>
      <c r="B37" s="109" t="s">
        <v>254</v>
      </c>
      <c r="C37" s="58">
        <f>'Detailed budget'!R183</f>
        <v>1022906</v>
      </c>
      <c r="D37" s="58">
        <f>G37*($B$2*25%)</f>
        <v>161945.58978701642</v>
      </c>
      <c r="E37" s="302" t="s">
        <v>588</v>
      </c>
      <c r="F37" s="302"/>
      <c r="G37" s="88">
        <f>C37/$C$40</f>
        <v>0.41498783320743265</v>
      </c>
      <c r="H37" s="2"/>
    </row>
    <row r="38" spans="1:10" ht="23.5" thickBot="1">
      <c r="A38" s="474"/>
      <c r="B38" s="109" t="s">
        <v>267</v>
      </c>
      <c r="C38" s="58">
        <f>'Detailed budget'!$R$192</f>
        <v>1106000</v>
      </c>
      <c r="D38" s="58">
        <f>G38*($B$2*25%)</f>
        <v>175100.95972106935</v>
      </c>
      <c r="E38" s="302" t="s">
        <v>588</v>
      </c>
      <c r="F38" s="302"/>
      <c r="G38" s="88">
        <f>C38/$C$40</f>
        <v>0.44869865220012445</v>
      </c>
      <c r="H38" s="2">
        <f>SUM(C37:C38)</f>
        <v>2128906</v>
      </c>
      <c r="I38" s="2">
        <f>SUM(D37:D38)</f>
        <v>337046.54950808577</v>
      </c>
      <c r="J38" s="2">
        <f>SUM(H38:I38)</f>
        <v>2465952.5495080859</v>
      </c>
    </row>
    <row r="39" spans="1:10" ht="46.5" thickBot="1">
      <c r="A39" s="300"/>
      <c r="B39" s="377" t="s">
        <v>284</v>
      </c>
      <c r="C39" s="58">
        <f>'Detailed budget'!$R$195</f>
        <v>336000</v>
      </c>
      <c r="D39" s="58">
        <f>G39*($B$2*25%)</f>
        <v>53195.228269691957</v>
      </c>
      <c r="E39" s="302"/>
      <c r="F39" s="302"/>
      <c r="G39" s="88">
        <f>C39/$C$40</f>
        <v>0.13631351459244287</v>
      </c>
      <c r="H39" s="2"/>
      <c r="I39" s="2"/>
      <c r="J39" s="2"/>
    </row>
    <row r="40" spans="1:10" ht="15" thickBot="1">
      <c r="A40" s="300"/>
      <c r="B40" s="109" t="s">
        <v>583</v>
      </c>
      <c r="C40" s="58">
        <f>SUM(C37:C39)</f>
        <v>2464906</v>
      </c>
      <c r="D40" s="58">
        <f>SUM(D37:D39)</f>
        <v>390241.77777777775</v>
      </c>
      <c r="E40" s="302"/>
      <c r="F40" s="302"/>
      <c r="G40" s="88">
        <f>SUM(G37:G39)</f>
        <v>1</v>
      </c>
      <c r="H40" s="2"/>
      <c r="I40" s="2"/>
      <c r="J40" s="2"/>
    </row>
    <row r="41" spans="1:10" ht="15" thickBot="1">
      <c r="A41" s="300" t="s">
        <v>593</v>
      </c>
      <c r="B41" s="109"/>
      <c r="C41" s="58">
        <f>'Detailed budget'!$R$208</f>
        <v>1314414</v>
      </c>
      <c r="D41" s="58">
        <f>($B$2*5%)</f>
        <v>78048.35555555555</v>
      </c>
      <c r="E41" s="302" t="s">
        <v>594</v>
      </c>
      <c r="F41" s="302"/>
      <c r="G41" s="88"/>
      <c r="H41" s="2">
        <f>C41</f>
        <v>1314414</v>
      </c>
      <c r="I41" s="2">
        <f>D41</f>
        <v>78048.35555555555</v>
      </c>
      <c r="J41" s="2">
        <f>SUM(H41:I41)</f>
        <v>1392462.3555555556</v>
      </c>
    </row>
    <row r="42" spans="1:10" ht="15" thickBot="1">
      <c r="A42" s="103" t="s">
        <v>305</v>
      </c>
      <c r="B42" s="103"/>
      <c r="C42" s="58">
        <f>'Detailed budget'!R231</f>
        <v>2259577</v>
      </c>
      <c r="D42" s="58">
        <f>($B$2*5%)</f>
        <v>78048.35555555555</v>
      </c>
      <c r="E42" s="302" t="s">
        <v>595</v>
      </c>
      <c r="F42" s="302"/>
      <c r="G42" s="88"/>
      <c r="H42" s="2">
        <f>C42</f>
        <v>2259577</v>
      </c>
      <c r="I42" s="2">
        <f>D42</f>
        <v>78048.35555555555</v>
      </c>
      <c r="J42" s="2">
        <f>SUM(H42:I42)</f>
        <v>2337625.3555555558</v>
      </c>
    </row>
    <row r="43" spans="1:10" ht="15" thickBot="1">
      <c r="A43" s="471" t="s">
        <v>596</v>
      </c>
      <c r="B43" s="471"/>
      <c r="C43" s="56">
        <f>+C21+C29+C31+C35+C40+C41+C42</f>
        <v>63211141</v>
      </c>
      <c r="D43" s="56">
        <f>+D21+D29+D31+D35+D40+D41+D42</f>
        <v>6309680.9061539927</v>
      </c>
      <c r="E43" s="406">
        <f>SUM(E15:E42)</f>
        <v>0</v>
      </c>
      <c r="F43" s="407">
        <f>SUM(F15:F42)</f>
        <v>678000</v>
      </c>
      <c r="G43" s="88"/>
      <c r="H43" s="2">
        <f>SUM(H15:H42)</f>
        <v>43051184</v>
      </c>
      <c r="I43" s="2">
        <f>SUM(I15:I42)</f>
        <v>5632098.8334398558</v>
      </c>
      <c r="J43" s="2">
        <f>SUM(J15:J42)</f>
        <v>48683282.833439857</v>
      </c>
    </row>
    <row r="45" spans="1:10">
      <c r="D45" s="2"/>
      <c r="E45" s="2"/>
      <c r="F45" s="2"/>
    </row>
    <row r="46" spans="1:10">
      <c r="D46" s="2">
        <f>D43+F43</f>
        <v>6987680.9061539927</v>
      </c>
      <c r="E46" s="2"/>
      <c r="F46" s="2"/>
    </row>
    <row r="47" spans="1:10">
      <c r="D47" s="2"/>
      <c r="E47" s="2"/>
      <c r="F47" s="2"/>
    </row>
    <row r="48" spans="1:10">
      <c r="D48" s="2"/>
      <c r="E48" s="2"/>
      <c r="F48" s="2"/>
      <c r="H48" s="2"/>
      <c r="I48" s="2"/>
      <c r="J48" s="2"/>
    </row>
  </sheetData>
  <mergeCells count="9">
    <mergeCell ref="A43:B43"/>
    <mergeCell ref="A23:A28"/>
    <mergeCell ref="A15:A20"/>
    <mergeCell ref="B16:B17"/>
    <mergeCell ref="C16:C17"/>
    <mergeCell ref="B23:B24"/>
    <mergeCell ref="C23:C24"/>
    <mergeCell ref="A37:A38"/>
    <mergeCell ref="A32:A3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ADB4F-F1CD-456B-B0D8-496550F2DED0}">
  <dimension ref="A1:E4"/>
  <sheetViews>
    <sheetView workbookViewId="0">
      <selection activeCell="E4" sqref="E4"/>
    </sheetView>
  </sheetViews>
  <sheetFormatPr defaultColWidth="9.1796875" defaultRowHeight="14.5"/>
  <cols>
    <col min="1" max="1" width="33" style="3" customWidth="1"/>
    <col min="2" max="2" width="36" style="3" customWidth="1"/>
    <col min="3" max="4" width="14.1796875" style="3" customWidth="1"/>
    <col min="5" max="5" width="17.54296875" style="3" customWidth="1"/>
    <col min="6" max="16384" width="9.1796875" style="3"/>
  </cols>
  <sheetData>
    <row r="1" spans="1:5" ht="29">
      <c r="A1" s="284" t="s">
        <v>597</v>
      </c>
      <c r="B1" s="284" t="s">
        <v>598</v>
      </c>
      <c r="C1" s="284" t="s">
        <v>599</v>
      </c>
      <c r="D1" s="284" t="s">
        <v>600</v>
      </c>
      <c r="E1" s="284" t="s">
        <v>601</v>
      </c>
    </row>
    <row r="2" spans="1:5" ht="145">
      <c r="A2" s="427" t="s">
        <v>602</v>
      </c>
      <c r="B2" s="100" t="s">
        <v>603</v>
      </c>
      <c r="C2" s="100" t="s">
        <v>604</v>
      </c>
      <c r="D2" s="100" t="s">
        <v>605</v>
      </c>
      <c r="E2" s="281">
        <v>44000</v>
      </c>
    </row>
    <row r="3" spans="1:5" ht="58">
      <c r="A3" s="427"/>
      <c r="B3" s="100" t="s">
        <v>606</v>
      </c>
      <c r="C3" s="100" t="s">
        <v>607</v>
      </c>
      <c r="D3" s="100" t="s">
        <v>605</v>
      </c>
      <c r="E3" s="281">
        <v>384000</v>
      </c>
    </row>
    <row r="4" spans="1:5">
      <c r="A4" s="283" t="s">
        <v>608</v>
      </c>
      <c r="E4" s="282">
        <f>SUM(E2:E3)</f>
        <v>428000</v>
      </c>
    </row>
  </sheetData>
  <mergeCells count="1">
    <mergeCell ref="A2:A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52"/>
  <sheetViews>
    <sheetView topLeftCell="A33" workbookViewId="0">
      <selection activeCell="J52" sqref="J52"/>
    </sheetView>
  </sheetViews>
  <sheetFormatPr defaultRowHeight="14.5"/>
  <cols>
    <col min="1" max="1" width="29.81640625" customWidth="1"/>
    <col min="7" max="7" width="12.81640625" customWidth="1"/>
    <col min="10" max="10" width="11.453125" customWidth="1"/>
  </cols>
  <sheetData>
    <row r="1" spans="1:10" ht="72.5">
      <c r="A1" s="71" t="s">
        <v>609</v>
      </c>
      <c r="B1" s="70" t="s">
        <v>610</v>
      </c>
      <c r="C1" s="70" t="s">
        <v>611</v>
      </c>
      <c r="D1" s="70" t="s">
        <v>612</v>
      </c>
      <c r="E1" s="297" t="s">
        <v>613</v>
      </c>
      <c r="F1" s="297" t="s">
        <v>614</v>
      </c>
      <c r="G1" s="70" t="s">
        <v>615</v>
      </c>
      <c r="H1" s="72" t="s">
        <v>616</v>
      </c>
      <c r="I1" s="72" t="s">
        <v>617</v>
      </c>
      <c r="J1" s="72" t="s">
        <v>618</v>
      </c>
    </row>
    <row r="2" spans="1:10">
      <c r="A2" s="484" t="s">
        <v>619</v>
      </c>
      <c r="B2" s="484"/>
      <c r="C2" s="484"/>
      <c r="D2" s="484"/>
      <c r="E2" s="484"/>
      <c r="F2" s="484"/>
      <c r="G2" s="484"/>
      <c r="H2" s="484"/>
      <c r="I2" s="484"/>
      <c r="J2" s="484"/>
    </row>
    <row r="3" spans="1:10">
      <c r="A3" s="62" t="s">
        <v>620</v>
      </c>
      <c r="B3" s="62"/>
      <c r="C3" s="62"/>
      <c r="D3" s="62"/>
      <c r="E3" s="62"/>
      <c r="F3" s="62"/>
      <c r="G3" s="62"/>
      <c r="H3" s="62"/>
      <c r="I3" s="62"/>
      <c r="J3" s="62"/>
    </row>
    <row r="4" spans="1:10">
      <c r="A4" s="63" t="s">
        <v>621</v>
      </c>
      <c r="B4" s="63">
        <v>1</v>
      </c>
      <c r="C4" s="68">
        <v>4816</v>
      </c>
      <c r="D4" s="75">
        <f>C4/168</f>
        <v>28.666666666666668</v>
      </c>
      <c r="E4" s="63">
        <v>3</v>
      </c>
      <c r="F4" s="298">
        <f>D4*E4*4</f>
        <v>344</v>
      </c>
      <c r="G4" s="67">
        <v>5000</v>
      </c>
      <c r="H4" s="67">
        <f>(F4*12)+G4</f>
        <v>9128</v>
      </c>
      <c r="I4" s="68">
        <f>H4*7</f>
        <v>63896</v>
      </c>
      <c r="J4" s="69">
        <f>I4*B4</f>
        <v>63896</v>
      </c>
    </row>
    <row r="5" spans="1:10">
      <c r="A5" s="63" t="s">
        <v>622</v>
      </c>
      <c r="B5" s="63">
        <v>1</v>
      </c>
      <c r="C5" s="68">
        <v>3324</v>
      </c>
      <c r="D5" s="75">
        <f t="shared" ref="D5:D44" si="0">C5/168</f>
        <v>19.785714285714285</v>
      </c>
      <c r="E5" s="63">
        <v>3</v>
      </c>
      <c r="F5" s="298">
        <f t="shared" ref="F5:F44" si="1">D5*E5*4</f>
        <v>237.42857142857142</v>
      </c>
      <c r="G5" s="67">
        <v>4000</v>
      </c>
      <c r="H5" s="67">
        <f t="shared" ref="H5:H44" si="2">(F5*12)+G5</f>
        <v>6849.1428571428569</v>
      </c>
      <c r="I5" s="68">
        <f t="shared" ref="I5:I50" si="3">H5*7</f>
        <v>47944</v>
      </c>
      <c r="J5" s="69">
        <f t="shared" ref="J5:J44" si="4">I5*B5</f>
        <v>47944</v>
      </c>
    </row>
    <row r="6" spans="1:10">
      <c r="A6" s="63" t="s">
        <v>623</v>
      </c>
      <c r="B6" s="63">
        <v>2</v>
      </c>
      <c r="C6" s="68">
        <v>2581</v>
      </c>
      <c r="D6" s="75">
        <f t="shared" si="0"/>
        <v>15.363095238095237</v>
      </c>
      <c r="E6" s="63">
        <v>16</v>
      </c>
      <c r="F6" s="298">
        <f t="shared" si="1"/>
        <v>983.23809523809518</v>
      </c>
      <c r="G6" s="67">
        <v>2000</v>
      </c>
      <c r="H6" s="67">
        <f t="shared" si="2"/>
        <v>13798.857142857141</v>
      </c>
      <c r="I6" s="68">
        <f t="shared" si="3"/>
        <v>96591.999999999985</v>
      </c>
      <c r="J6" s="69">
        <f t="shared" si="4"/>
        <v>193183.99999999997</v>
      </c>
    </row>
    <row r="7" spans="1:10">
      <c r="A7" s="63" t="s">
        <v>624</v>
      </c>
      <c r="B7" s="63">
        <v>2</v>
      </c>
      <c r="C7" s="68">
        <v>2144</v>
      </c>
      <c r="D7" s="75">
        <f t="shared" si="0"/>
        <v>12.761904761904763</v>
      </c>
      <c r="E7" s="63">
        <v>16</v>
      </c>
      <c r="F7" s="298">
        <f t="shared" si="1"/>
        <v>816.76190476190482</v>
      </c>
      <c r="G7" s="67">
        <v>1500</v>
      </c>
      <c r="H7" s="67">
        <f t="shared" si="2"/>
        <v>11301.142857142859</v>
      </c>
      <c r="I7" s="68">
        <f t="shared" si="3"/>
        <v>79108.000000000015</v>
      </c>
      <c r="J7" s="69">
        <f t="shared" si="4"/>
        <v>158216.00000000003</v>
      </c>
    </row>
    <row r="8" spans="1:10">
      <c r="A8" s="63" t="s">
        <v>625</v>
      </c>
      <c r="B8" s="63">
        <v>1</v>
      </c>
      <c r="C8" s="68">
        <v>2581</v>
      </c>
      <c r="D8" s="75">
        <f t="shared" si="0"/>
        <v>15.363095238095237</v>
      </c>
      <c r="E8" s="63">
        <v>5</v>
      </c>
      <c r="F8" s="298">
        <f t="shared" si="1"/>
        <v>307.26190476190476</v>
      </c>
      <c r="G8" s="67">
        <v>2000</v>
      </c>
      <c r="H8" s="67">
        <f t="shared" si="2"/>
        <v>5687.1428571428569</v>
      </c>
      <c r="I8" s="68">
        <f t="shared" si="3"/>
        <v>39810</v>
      </c>
      <c r="J8" s="69">
        <f t="shared" si="4"/>
        <v>39810</v>
      </c>
    </row>
    <row r="9" spans="1:10">
      <c r="A9" s="62" t="s">
        <v>626</v>
      </c>
      <c r="B9" s="62"/>
      <c r="C9" s="69"/>
      <c r="D9" s="75"/>
      <c r="E9" s="62"/>
      <c r="F9" s="298">
        <f t="shared" si="1"/>
        <v>0</v>
      </c>
      <c r="G9" s="67"/>
      <c r="H9" s="67"/>
      <c r="I9" s="68"/>
      <c r="J9" s="69"/>
    </row>
    <row r="10" spans="1:10">
      <c r="A10" s="63" t="s">
        <v>621</v>
      </c>
      <c r="B10" s="63">
        <v>1</v>
      </c>
      <c r="C10" s="68">
        <v>4816</v>
      </c>
      <c r="D10" s="75">
        <f t="shared" si="0"/>
        <v>28.666666666666668</v>
      </c>
      <c r="E10" s="63">
        <v>3</v>
      </c>
      <c r="F10" s="298">
        <f t="shared" si="1"/>
        <v>344</v>
      </c>
      <c r="G10" s="67">
        <v>5000</v>
      </c>
      <c r="H10" s="67">
        <f t="shared" si="2"/>
        <v>9128</v>
      </c>
      <c r="I10" s="68">
        <f t="shared" si="3"/>
        <v>63896</v>
      </c>
      <c r="J10" s="69">
        <f t="shared" si="4"/>
        <v>63896</v>
      </c>
    </row>
    <row r="11" spans="1:10">
      <c r="A11" s="63" t="s">
        <v>622</v>
      </c>
      <c r="B11" s="63">
        <v>1</v>
      </c>
      <c r="C11" s="68">
        <v>3324</v>
      </c>
      <c r="D11" s="75">
        <f t="shared" si="0"/>
        <v>19.785714285714285</v>
      </c>
      <c r="E11" s="63">
        <v>3</v>
      </c>
      <c r="F11" s="298">
        <f t="shared" si="1"/>
        <v>237.42857142857142</v>
      </c>
      <c r="G11" s="67">
        <v>4000</v>
      </c>
      <c r="H11" s="67">
        <f t="shared" si="2"/>
        <v>6849.1428571428569</v>
      </c>
      <c r="I11" s="68">
        <f t="shared" si="3"/>
        <v>47944</v>
      </c>
      <c r="J11" s="69">
        <f t="shared" si="4"/>
        <v>47944</v>
      </c>
    </row>
    <row r="12" spans="1:10">
      <c r="A12" s="63" t="s">
        <v>623</v>
      </c>
      <c r="B12" s="63">
        <v>2</v>
      </c>
      <c r="C12" s="68">
        <v>2581</v>
      </c>
      <c r="D12" s="75">
        <f t="shared" si="0"/>
        <v>15.363095238095237</v>
      </c>
      <c r="E12" s="63">
        <v>5</v>
      </c>
      <c r="F12" s="298">
        <f t="shared" si="1"/>
        <v>307.26190476190476</v>
      </c>
      <c r="G12" s="67">
        <v>2000</v>
      </c>
      <c r="H12" s="67">
        <f t="shared" si="2"/>
        <v>5687.1428571428569</v>
      </c>
      <c r="I12" s="68">
        <f t="shared" si="3"/>
        <v>39810</v>
      </c>
      <c r="J12" s="69">
        <f t="shared" si="4"/>
        <v>79620</v>
      </c>
    </row>
    <row r="13" spans="1:10">
      <c r="A13" s="63" t="s">
        <v>624</v>
      </c>
      <c r="B13" s="63">
        <v>2</v>
      </c>
      <c r="C13" s="68">
        <v>2144</v>
      </c>
      <c r="D13" s="75">
        <f t="shared" si="0"/>
        <v>12.761904761904763</v>
      </c>
      <c r="E13" s="63">
        <v>5</v>
      </c>
      <c r="F13" s="298">
        <f t="shared" si="1"/>
        <v>255.23809523809524</v>
      </c>
      <c r="G13" s="67">
        <v>1500</v>
      </c>
      <c r="H13" s="67">
        <f t="shared" si="2"/>
        <v>4562.8571428571431</v>
      </c>
      <c r="I13" s="68">
        <f t="shared" si="3"/>
        <v>31940</v>
      </c>
      <c r="J13" s="69">
        <f t="shared" si="4"/>
        <v>63880</v>
      </c>
    </row>
    <row r="14" spans="1:10">
      <c r="A14" s="63" t="s">
        <v>625</v>
      </c>
      <c r="B14" s="63">
        <v>1</v>
      </c>
      <c r="C14" s="68">
        <v>2581</v>
      </c>
      <c r="D14" s="75">
        <f t="shared" si="0"/>
        <v>15.363095238095237</v>
      </c>
      <c r="E14" s="63">
        <v>5</v>
      </c>
      <c r="F14" s="298">
        <f t="shared" si="1"/>
        <v>307.26190476190476</v>
      </c>
      <c r="G14" s="67">
        <v>2000</v>
      </c>
      <c r="H14" s="67">
        <f t="shared" si="2"/>
        <v>5687.1428571428569</v>
      </c>
      <c r="I14" s="68">
        <f t="shared" si="3"/>
        <v>39810</v>
      </c>
      <c r="J14" s="69">
        <f t="shared" si="4"/>
        <v>39810</v>
      </c>
    </row>
    <row r="15" spans="1:10">
      <c r="A15" s="62" t="s">
        <v>627</v>
      </c>
      <c r="B15" s="62"/>
      <c r="C15" s="69"/>
      <c r="D15" s="75"/>
      <c r="E15" s="62"/>
      <c r="F15" s="298">
        <f t="shared" si="1"/>
        <v>0</v>
      </c>
      <c r="G15" s="67"/>
      <c r="H15" s="67"/>
      <c r="I15" s="68"/>
      <c r="J15" s="69"/>
    </row>
    <row r="16" spans="1:10">
      <c r="A16" s="63" t="s">
        <v>628</v>
      </c>
      <c r="B16" s="63">
        <v>1</v>
      </c>
      <c r="C16" s="68">
        <v>4816</v>
      </c>
      <c r="D16" s="75">
        <f t="shared" si="0"/>
        <v>28.666666666666668</v>
      </c>
      <c r="E16" s="63">
        <v>3</v>
      </c>
      <c r="F16" s="298">
        <f t="shared" si="1"/>
        <v>344</v>
      </c>
      <c r="G16" s="67">
        <v>5000</v>
      </c>
      <c r="H16" s="67">
        <f t="shared" si="2"/>
        <v>9128</v>
      </c>
      <c r="I16" s="68">
        <f t="shared" si="3"/>
        <v>63896</v>
      </c>
      <c r="J16" s="69">
        <f t="shared" si="4"/>
        <v>63896</v>
      </c>
    </row>
    <row r="17" spans="1:10">
      <c r="A17" s="63" t="s">
        <v>622</v>
      </c>
      <c r="B17" s="63">
        <v>1</v>
      </c>
      <c r="C17" s="68">
        <v>3324</v>
      </c>
      <c r="D17" s="75">
        <f t="shared" si="0"/>
        <v>19.785714285714285</v>
      </c>
      <c r="E17" s="63">
        <v>3</v>
      </c>
      <c r="F17" s="298">
        <f t="shared" si="1"/>
        <v>237.42857142857142</v>
      </c>
      <c r="G17" s="67">
        <v>4000</v>
      </c>
      <c r="H17" s="67">
        <f t="shared" si="2"/>
        <v>6849.1428571428569</v>
      </c>
      <c r="I17" s="68">
        <f t="shared" si="3"/>
        <v>47944</v>
      </c>
      <c r="J17" s="69">
        <f t="shared" si="4"/>
        <v>47944</v>
      </c>
    </row>
    <row r="18" spans="1:10">
      <c r="A18" s="63" t="s">
        <v>623</v>
      </c>
      <c r="B18" s="63">
        <v>2</v>
      </c>
      <c r="C18" s="68">
        <v>2581</v>
      </c>
      <c r="D18" s="75">
        <f t="shared" si="0"/>
        <v>15.363095238095237</v>
      </c>
      <c r="E18" s="63">
        <v>5</v>
      </c>
      <c r="F18" s="298">
        <f t="shared" si="1"/>
        <v>307.26190476190476</v>
      </c>
      <c r="G18" s="67">
        <v>2000</v>
      </c>
      <c r="H18" s="67">
        <f t="shared" si="2"/>
        <v>5687.1428571428569</v>
      </c>
      <c r="I18" s="68">
        <f t="shared" si="3"/>
        <v>39810</v>
      </c>
      <c r="J18" s="69">
        <f t="shared" si="4"/>
        <v>79620</v>
      </c>
    </row>
    <row r="19" spans="1:10">
      <c r="A19" s="63" t="s">
        <v>624</v>
      </c>
      <c r="B19" s="63">
        <v>2</v>
      </c>
      <c r="C19" s="68">
        <v>2144</v>
      </c>
      <c r="D19" s="75">
        <f t="shared" si="0"/>
        <v>12.761904761904763</v>
      </c>
      <c r="E19" s="63">
        <v>5</v>
      </c>
      <c r="F19" s="298">
        <f t="shared" si="1"/>
        <v>255.23809523809524</v>
      </c>
      <c r="G19" s="67">
        <v>1500</v>
      </c>
      <c r="H19" s="67">
        <f t="shared" si="2"/>
        <v>4562.8571428571431</v>
      </c>
      <c r="I19" s="68">
        <f t="shared" si="3"/>
        <v>31940</v>
      </c>
      <c r="J19" s="69">
        <f t="shared" si="4"/>
        <v>63880</v>
      </c>
    </row>
    <row r="20" spans="1:10">
      <c r="A20" s="63" t="s">
        <v>625</v>
      </c>
      <c r="B20" s="63">
        <v>1</v>
      </c>
      <c r="C20" s="68">
        <v>2581</v>
      </c>
      <c r="D20" s="75">
        <f t="shared" si="0"/>
        <v>15.363095238095237</v>
      </c>
      <c r="E20" s="63">
        <v>5</v>
      </c>
      <c r="F20" s="298">
        <f t="shared" si="1"/>
        <v>307.26190476190476</v>
      </c>
      <c r="G20" s="67">
        <v>2000</v>
      </c>
      <c r="H20" s="67">
        <f t="shared" si="2"/>
        <v>5687.1428571428569</v>
      </c>
      <c r="I20" s="68">
        <f t="shared" si="3"/>
        <v>39810</v>
      </c>
      <c r="J20" s="69">
        <f t="shared" si="4"/>
        <v>39810</v>
      </c>
    </row>
    <row r="21" spans="1:10">
      <c r="A21" s="62" t="s">
        <v>629</v>
      </c>
      <c r="B21" s="62"/>
      <c r="C21" s="69"/>
      <c r="D21" s="75"/>
      <c r="E21" s="62"/>
      <c r="F21" s="298">
        <f t="shared" si="1"/>
        <v>0</v>
      </c>
      <c r="G21" s="67"/>
      <c r="H21" s="67"/>
      <c r="I21" s="68"/>
      <c r="J21" s="69"/>
    </row>
    <row r="22" spans="1:10">
      <c r="A22" s="63" t="s">
        <v>630</v>
      </c>
      <c r="B22" s="63">
        <v>1</v>
      </c>
      <c r="C22" s="68">
        <v>5329</v>
      </c>
      <c r="D22" s="75">
        <f t="shared" si="0"/>
        <v>31.720238095238095</v>
      </c>
      <c r="E22" s="63">
        <v>1</v>
      </c>
      <c r="F22" s="298">
        <f t="shared" si="1"/>
        <v>126.88095238095238</v>
      </c>
      <c r="G22" s="67">
        <v>7000</v>
      </c>
      <c r="H22" s="67">
        <f t="shared" si="2"/>
        <v>8522.5714285714275</v>
      </c>
      <c r="I22" s="68">
        <f t="shared" si="3"/>
        <v>59657.999999999993</v>
      </c>
      <c r="J22" s="69">
        <f t="shared" si="4"/>
        <v>59657.999999999993</v>
      </c>
    </row>
    <row r="23" spans="1:10">
      <c r="A23" s="63" t="s">
        <v>631</v>
      </c>
      <c r="B23" s="63">
        <v>1</v>
      </c>
      <c r="C23" s="68">
        <v>5240</v>
      </c>
      <c r="D23" s="75">
        <f t="shared" si="0"/>
        <v>31.19047619047619</v>
      </c>
      <c r="E23" s="63">
        <v>3</v>
      </c>
      <c r="F23" s="298">
        <f t="shared" si="1"/>
        <v>374.28571428571428</v>
      </c>
      <c r="G23" s="67">
        <v>6000</v>
      </c>
      <c r="H23" s="67">
        <f t="shared" si="2"/>
        <v>10491.428571428572</v>
      </c>
      <c r="I23" s="68">
        <f t="shared" si="3"/>
        <v>73440</v>
      </c>
      <c r="J23" s="69">
        <f t="shared" si="4"/>
        <v>73440</v>
      </c>
    </row>
    <row r="24" spans="1:10">
      <c r="A24" s="63" t="s">
        <v>632</v>
      </c>
      <c r="B24" s="63">
        <v>1</v>
      </c>
      <c r="C24" s="68">
        <v>5240</v>
      </c>
      <c r="D24" s="75">
        <f t="shared" si="0"/>
        <v>31.19047619047619</v>
      </c>
      <c r="E24" s="63">
        <v>3</v>
      </c>
      <c r="F24" s="298">
        <f t="shared" si="1"/>
        <v>374.28571428571428</v>
      </c>
      <c r="G24" s="67">
        <v>6000</v>
      </c>
      <c r="H24" s="67">
        <f t="shared" si="2"/>
        <v>10491.428571428572</v>
      </c>
      <c r="I24" s="68">
        <f t="shared" si="3"/>
        <v>73440</v>
      </c>
      <c r="J24" s="69">
        <f t="shared" si="4"/>
        <v>73440</v>
      </c>
    </row>
    <row r="25" spans="1:10">
      <c r="A25" s="63" t="s">
        <v>633</v>
      </c>
      <c r="B25" s="63">
        <v>1</v>
      </c>
      <c r="C25" s="68">
        <v>4816</v>
      </c>
      <c r="D25" s="75">
        <f t="shared" si="0"/>
        <v>28.666666666666668</v>
      </c>
      <c r="E25" s="63">
        <v>3</v>
      </c>
      <c r="F25" s="298">
        <f t="shared" si="1"/>
        <v>344</v>
      </c>
      <c r="G25" s="67">
        <v>5000</v>
      </c>
      <c r="H25" s="67">
        <f t="shared" si="2"/>
        <v>9128</v>
      </c>
      <c r="I25" s="68">
        <f t="shared" si="3"/>
        <v>63896</v>
      </c>
      <c r="J25" s="69">
        <f t="shared" si="4"/>
        <v>63896</v>
      </c>
    </row>
    <row r="26" spans="1:10">
      <c r="A26" s="63" t="s">
        <v>634</v>
      </c>
      <c r="B26" s="63">
        <v>3</v>
      </c>
      <c r="C26" s="68">
        <v>4735</v>
      </c>
      <c r="D26" s="75">
        <f t="shared" si="0"/>
        <v>28.18452380952381</v>
      </c>
      <c r="E26" s="63">
        <v>3</v>
      </c>
      <c r="F26" s="298">
        <f t="shared" si="1"/>
        <v>338.21428571428572</v>
      </c>
      <c r="G26" s="67">
        <v>5000</v>
      </c>
      <c r="H26" s="67">
        <f t="shared" si="2"/>
        <v>9058.5714285714275</v>
      </c>
      <c r="I26" s="68">
        <f t="shared" si="3"/>
        <v>63409.999999999993</v>
      </c>
      <c r="J26" s="69">
        <f t="shared" si="4"/>
        <v>190229.99999999997</v>
      </c>
    </row>
    <row r="27" spans="1:10">
      <c r="A27" s="63" t="s">
        <v>622</v>
      </c>
      <c r="B27" s="63">
        <v>1</v>
      </c>
      <c r="C27" s="68">
        <v>3324</v>
      </c>
      <c r="D27" s="75">
        <f t="shared" si="0"/>
        <v>19.785714285714285</v>
      </c>
      <c r="E27" s="63">
        <v>8</v>
      </c>
      <c r="F27" s="298">
        <f t="shared" si="1"/>
        <v>633.14285714285711</v>
      </c>
      <c r="G27" s="67">
        <v>4000</v>
      </c>
      <c r="H27" s="67">
        <f t="shared" si="2"/>
        <v>11597.714285714286</v>
      </c>
      <c r="I27" s="68">
        <f t="shared" si="3"/>
        <v>81184</v>
      </c>
      <c r="J27" s="69">
        <f t="shared" si="4"/>
        <v>81184</v>
      </c>
    </row>
    <row r="28" spans="1:10">
      <c r="A28" s="63" t="s">
        <v>635</v>
      </c>
      <c r="B28" s="63">
        <v>1</v>
      </c>
      <c r="C28" s="68">
        <v>2761</v>
      </c>
      <c r="D28" s="75">
        <f t="shared" si="0"/>
        <v>16.43452380952381</v>
      </c>
      <c r="E28" s="63">
        <v>8</v>
      </c>
      <c r="F28" s="298">
        <f t="shared" si="1"/>
        <v>525.90476190476193</v>
      </c>
      <c r="G28" s="67">
        <v>3000</v>
      </c>
      <c r="H28" s="67">
        <f t="shared" si="2"/>
        <v>9310.8571428571431</v>
      </c>
      <c r="I28" s="68">
        <f t="shared" si="3"/>
        <v>65176</v>
      </c>
      <c r="J28" s="69">
        <f t="shared" si="4"/>
        <v>65176</v>
      </c>
    </row>
    <row r="29" spans="1:10">
      <c r="A29" s="63" t="s">
        <v>636</v>
      </c>
      <c r="B29" s="63">
        <v>2</v>
      </c>
      <c r="C29" s="68">
        <v>2581</v>
      </c>
      <c r="D29" s="75">
        <f t="shared" si="0"/>
        <v>15.363095238095237</v>
      </c>
      <c r="E29" s="63">
        <v>8</v>
      </c>
      <c r="F29" s="298">
        <f t="shared" si="1"/>
        <v>491.61904761904759</v>
      </c>
      <c r="G29" s="67">
        <v>2000</v>
      </c>
      <c r="H29" s="67">
        <f t="shared" si="2"/>
        <v>7899.4285714285706</v>
      </c>
      <c r="I29" s="68">
        <f t="shared" si="3"/>
        <v>55295.999999999993</v>
      </c>
      <c r="J29" s="69">
        <f t="shared" si="4"/>
        <v>110591.99999999999</v>
      </c>
    </row>
    <row r="30" spans="1:10">
      <c r="A30" s="63" t="s">
        <v>637</v>
      </c>
      <c r="B30" s="63">
        <v>2</v>
      </c>
      <c r="C30" s="68">
        <v>2144</v>
      </c>
      <c r="D30" s="75">
        <f t="shared" si="0"/>
        <v>12.761904761904763</v>
      </c>
      <c r="E30" s="63">
        <v>8</v>
      </c>
      <c r="F30" s="298">
        <f t="shared" si="1"/>
        <v>408.38095238095241</v>
      </c>
      <c r="G30" s="67">
        <v>1500</v>
      </c>
      <c r="H30" s="67">
        <f t="shared" si="2"/>
        <v>6400.5714285714294</v>
      </c>
      <c r="I30" s="68">
        <f t="shared" si="3"/>
        <v>44804.000000000007</v>
      </c>
      <c r="J30" s="69">
        <f t="shared" si="4"/>
        <v>89608.000000000015</v>
      </c>
    </row>
    <row r="31" spans="1:10">
      <c r="A31" s="65" t="s">
        <v>638</v>
      </c>
      <c r="B31" s="63"/>
      <c r="C31" s="68"/>
      <c r="D31" s="75"/>
      <c r="E31" s="63"/>
      <c r="F31" s="298">
        <f t="shared" si="1"/>
        <v>0</v>
      </c>
      <c r="G31" s="67"/>
      <c r="H31" s="67"/>
      <c r="I31" s="68"/>
      <c r="J31" s="69"/>
    </row>
    <row r="32" spans="1:10">
      <c r="A32" s="63" t="s">
        <v>639</v>
      </c>
      <c r="B32" s="63">
        <v>1</v>
      </c>
      <c r="C32" s="68">
        <v>4816</v>
      </c>
      <c r="D32" s="75">
        <f t="shared" si="0"/>
        <v>28.666666666666668</v>
      </c>
      <c r="E32" s="63">
        <v>1</v>
      </c>
      <c r="F32" s="298">
        <f t="shared" si="1"/>
        <v>114.66666666666667</v>
      </c>
      <c r="G32" s="67">
        <v>5000</v>
      </c>
      <c r="H32" s="67">
        <f t="shared" si="2"/>
        <v>6376</v>
      </c>
      <c r="I32" s="68">
        <f t="shared" si="3"/>
        <v>44632</v>
      </c>
      <c r="J32" s="69">
        <f t="shared" si="4"/>
        <v>44632</v>
      </c>
    </row>
    <row r="33" spans="1:12">
      <c r="A33" s="63" t="s">
        <v>640</v>
      </c>
      <c r="B33" s="63">
        <v>1</v>
      </c>
      <c r="C33" s="68">
        <v>3324</v>
      </c>
      <c r="D33" s="75">
        <f t="shared" si="0"/>
        <v>19.785714285714285</v>
      </c>
      <c r="E33" s="63">
        <v>1</v>
      </c>
      <c r="F33" s="298">
        <f t="shared" si="1"/>
        <v>79.142857142857139</v>
      </c>
      <c r="G33" s="67">
        <v>4000</v>
      </c>
      <c r="H33" s="67">
        <f t="shared" si="2"/>
        <v>4949.7142857142853</v>
      </c>
      <c r="I33" s="68">
        <f t="shared" si="3"/>
        <v>34648</v>
      </c>
      <c r="J33" s="69">
        <f t="shared" si="4"/>
        <v>34648</v>
      </c>
      <c r="K33" s="61"/>
      <c r="L33" s="61"/>
    </row>
    <row r="34" spans="1:12">
      <c r="A34" s="63" t="s">
        <v>641</v>
      </c>
      <c r="B34" s="63">
        <v>1</v>
      </c>
      <c r="C34" s="68">
        <v>2761</v>
      </c>
      <c r="D34" s="75">
        <f t="shared" si="0"/>
        <v>16.43452380952381</v>
      </c>
      <c r="E34" s="63">
        <v>3</v>
      </c>
      <c r="F34" s="298">
        <f t="shared" si="1"/>
        <v>197.21428571428572</v>
      </c>
      <c r="G34" s="67">
        <v>3000</v>
      </c>
      <c r="H34" s="67">
        <f t="shared" si="2"/>
        <v>5366.5714285714284</v>
      </c>
      <c r="I34" s="68">
        <f t="shared" si="3"/>
        <v>37566</v>
      </c>
      <c r="J34" s="69">
        <f t="shared" si="4"/>
        <v>37566</v>
      </c>
      <c r="K34" s="61"/>
      <c r="L34" s="61"/>
    </row>
    <row r="35" spans="1:12">
      <c r="A35" s="65" t="s">
        <v>642</v>
      </c>
      <c r="B35" s="63"/>
      <c r="C35" s="68"/>
      <c r="D35" s="75"/>
      <c r="E35" s="63"/>
      <c r="F35" s="298">
        <f t="shared" si="1"/>
        <v>0</v>
      </c>
      <c r="G35" s="67"/>
      <c r="H35" s="67"/>
      <c r="I35" s="68"/>
      <c r="J35" s="69"/>
      <c r="K35" s="61"/>
      <c r="L35" s="61"/>
    </row>
    <row r="36" spans="1:12">
      <c r="A36" s="63" t="s">
        <v>643</v>
      </c>
      <c r="B36" s="63">
        <v>1</v>
      </c>
      <c r="C36" s="68">
        <v>2581</v>
      </c>
      <c r="D36" s="75">
        <f t="shared" si="0"/>
        <v>15.363095238095237</v>
      </c>
      <c r="E36" s="63">
        <v>3</v>
      </c>
      <c r="F36" s="298">
        <f t="shared" si="1"/>
        <v>184.35714285714283</v>
      </c>
      <c r="G36" s="67">
        <v>2000</v>
      </c>
      <c r="H36" s="67">
        <f t="shared" si="2"/>
        <v>4212.2857142857138</v>
      </c>
      <c r="I36" s="68">
        <f t="shared" si="3"/>
        <v>29485.999999999996</v>
      </c>
      <c r="J36" s="69">
        <f t="shared" si="4"/>
        <v>29485.999999999996</v>
      </c>
      <c r="K36" s="61"/>
      <c r="L36" s="61"/>
    </row>
    <row r="37" spans="1:12">
      <c r="A37" s="63" t="s">
        <v>644</v>
      </c>
      <c r="B37" s="63">
        <v>2</v>
      </c>
      <c r="C37" s="68">
        <v>2144</v>
      </c>
      <c r="D37" s="75">
        <f t="shared" si="0"/>
        <v>12.761904761904763</v>
      </c>
      <c r="E37" s="63">
        <v>3</v>
      </c>
      <c r="F37" s="298">
        <f t="shared" si="1"/>
        <v>153.14285714285717</v>
      </c>
      <c r="G37" s="67">
        <v>1500</v>
      </c>
      <c r="H37" s="67">
        <f t="shared" si="2"/>
        <v>3337.7142857142862</v>
      </c>
      <c r="I37" s="68">
        <f t="shared" si="3"/>
        <v>23364.000000000004</v>
      </c>
      <c r="J37" s="69">
        <f t="shared" si="4"/>
        <v>46728.000000000007</v>
      </c>
      <c r="K37" s="61"/>
      <c r="L37" s="61"/>
    </row>
    <row r="38" spans="1:12">
      <c r="A38" s="65" t="s">
        <v>645</v>
      </c>
      <c r="B38" s="63"/>
      <c r="C38" s="68"/>
      <c r="D38" s="75"/>
      <c r="E38" s="63"/>
      <c r="F38" s="298">
        <f t="shared" si="1"/>
        <v>0</v>
      </c>
      <c r="G38" s="67"/>
      <c r="H38" s="67"/>
      <c r="I38" s="68"/>
      <c r="J38" s="69"/>
      <c r="K38" s="61"/>
      <c r="L38" s="61"/>
    </row>
    <row r="39" spans="1:12">
      <c r="A39" s="63" t="s">
        <v>646</v>
      </c>
      <c r="B39" s="63">
        <v>1</v>
      </c>
      <c r="C39" s="68">
        <v>2144</v>
      </c>
      <c r="D39" s="75">
        <f t="shared" si="0"/>
        <v>12.761904761904763</v>
      </c>
      <c r="E39" s="63">
        <v>3</v>
      </c>
      <c r="F39" s="298">
        <f t="shared" si="1"/>
        <v>153.14285714285717</v>
      </c>
      <c r="G39" s="67">
        <v>1500</v>
      </c>
      <c r="H39" s="67">
        <f t="shared" si="2"/>
        <v>3337.7142857142862</v>
      </c>
      <c r="I39" s="68">
        <f t="shared" si="3"/>
        <v>23364.000000000004</v>
      </c>
      <c r="J39" s="69">
        <f t="shared" si="4"/>
        <v>23364.000000000004</v>
      </c>
      <c r="K39" s="61"/>
      <c r="L39" s="61"/>
    </row>
    <row r="40" spans="1:12">
      <c r="A40" s="63" t="s">
        <v>647</v>
      </c>
      <c r="B40" s="63">
        <v>2</v>
      </c>
      <c r="C40" s="68">
        <v>1188</v>
      </c>
      <c r="D40" s="75">
        <f t="shared" si="0"/>
        <v>7.0714285714285712</v>
      </c>
      <c r="E40" s="63">
        <v>3</v>
      </c>
      <c r="F40" s="298">
        <f t="shared" si="1"/>
        <v>84.857142857142861</v>
      </c>
      <c r="G40" s="67">
        <v>1000</v>
      </c>
      <c r="H40" s="67">
        <f t="shared" si="2"/>
        <v>2018.2857142857142</v>
      </c>
      <c r="I40" s="68">
        <f t="shared" si="3"/>
        <v>14128</v>
      </c>
      <c r="J40" s="69">
        <f t="shared" si="4"/>
        <v>28256</v>
      </c>
      <c r="K40" s="61"/>
      <c r="L40" s="61"/>
    </row>
    <row r="41" spans="1:12">
      <c r="A41" s="65" t="s">
        <v>648</v>
      </c>
      <c r="B41" s="63"/>
      <c r="C41" s="68"/>
      <c r="D41" s="75"/>
      <c r="E41" s="63"/>
      <c r="F41" s="298">
        <f t="shared" si="1"/>
        <v>0</v>
      </c>
      <c r="G41" s="67"/>
      <c r="H41" s="67"/>
      <c r="I41" s="68"/>
      <c r="J41" s="69"/>
      <c r="K41" s="61"/>
      <c r="L41" s="61"/>
    </row>
    <row r="42" spans="1:12">
      <c r="A42" s="66" t="s">
        <v>649</v>
      </c>
      <c r="B42" s="63">
        <v>1</v>
      </c>
      <c r="C42" s="68">
        <v>3324</v>
      </c>
      <c r="D42" s="75">
        <f t="shared" si="0"/>
        <v>19.785714285714285</v>
      </c>
      <c r="E42" s="63">
        <v>1</v>
      </c>
      <c r="F42" s="298">
        <f t="shared" si="1"/>
        <v>79.142857142857139</v>
      </c>
      <c r="G42" s="67">
        <v>4000</v>
      </c>
      <c r="H42" s="67">
        <f t="shared" si="2"/>
        <v>4949.7142857142853</v>
      </c>
      <c r="I42" s="68">
        <f t="shared" si="3"/>
        <v>34648</v>
      </c>
      <c r="J42" s="69">
        <f t="shared" si="4"/>
        <v>34648</v>
      </c>
      <c r="K42" s="61"/>
      <c r="L42" s="61"/>
    </row>
    <row r="43" spans="1:12">
      <c r="A43" s="63" t="s">
        <v>650</v>
      </c>
      <c r="B43" s="63">
        <v>1</v>
      </c>
      <c r="C43" s="68">
        <v>2761</v>
      </c>
      <c r="D43" s="75">
        <f t="shared" si="0"/>
        <v>16.43452380952381</v>
      </c>
      <c r="E43" s="63">
        <v>1</v>
      </c>
      <c r="F43" s="298">
        <f t="shared" si="1"/>
        <v>65.738095238095241</v>
      </c>
      <c r="G43" s="67">
        <v>3000</v>
      </c>
      <c r="H43" s="67">
        <f t="shared" si="2"/>
        <v>3788.8571428571431</v>
      </c>
      <c r="I43" s="68">
        <f t="shared" si="3"/>
        <v>26522</v>
      </c>
      <c r="J43" s="69">
        <f t="shared" si="4"/>
        <v>26522</v>
      </c>
      <c r="K43" s="59" t="s">
        <v>651</v>
      </c>
      <c r="L43" s="59" t="s">
        <v>652</v>
      </c>
    </row>
    <row r="44" spans="1:12">
      <c r="A44" s="63" t="s">
        <v>653</v>
      </c>
      <c r="B44" s="63">
        <v>2</v>
      </c>
      <c r="C44" s="68">
        <v>2144</v>
      </c>
      <c r="D44" s="75">
        <f t="shared" si="0"/>
        <v>12.761904761904763</v>
      </c>
      <c r="E44" s="63">
        <v>3</v>
      </c>
      <c r="F44" s="298">
        <f t="shared" si="1"/>
        <v>153.14285714285717</v>
      </c>
      <c r="G44" s="67">
        <v>1500</v>
      </c>
      <c r="H44" s="67">
        <f t="shared" si="2"/>
        <v>3337.7142857142862</v>
      </c>
      <c r="I44" s="68">
        <f t="shared" si="3"/>
        <v>23364.000000000004</v>
      </c>
      <c r="J44" s="69">
        <f t="shared" si="4"/>
        <v>46728.000000000007</v>
      </c>
      <c r="K44" s="73">
        <f>SUM(J4:J44)</f>
        <v>2253152</v>
      </c>
      <c r="L44" s="73">
        <f>K44/4.5</f>
        <v>500700.44444444444</v>
      </c>
    </row>
    <row r="45" spans="1:12">
      <c r="A45" s="60" t="s">
        <v>654</v>
      </c>
      <c r="B45" s="60"/>
      <c r="C45" s="60"/>
      <c r="D45" s="60"/>
      <c r="E45" s="60"/>
      <c r="F45" s="60"/>
      <c r="G45" s="60"/>
      <c r="H45" s="60"/>
      <c r="I45" s="60"/>
      <c r="J45" s="60"/>
      <c r="K45" s="59" t="s">
        <v>651</v>
      </c>
      <c r="L45" s="59" t="s">
        <v>652</v>
      </c>
    </row>
    <row r="46" spans="1:12">
      <c r="A46" s="63" t="s">
        <v>655</v>
      </c>
      <c r="B46" s="63">
        <v>2</v>
      </c>
      <c r="C46" s="63"/>
      <c r="D46" s="63"/>
      <c r="E46" s="63"/>
      <c r="F46" s="68">
        <v>20000</v>
      </c>
      <c r="G46" s="67"/>
      <c r="H46" s="67">
        <f>(F46*12)+G46</f>
        <v>240000</v>
      </c>
      <c r="I46" s="68">
        <f t="shared" si="3"/>
        <v>1680000</v>
      </c>
      <c r="J46" s="69">
        <f>I46*B46</f>
        <v>3360000</v>
      </c>
      <c r="K46" s="73">
        <f>J46</f>
        <v>3360000</v>
      </c>
      <c r="L46" s="73">
        <f>K46/4.5</f>
        <v>746666.66666666663</v>
      </c>
    </row>
    <row r="47" spans="1:12">
      <c r="A47" s="60" t="s">
        <v>656</v>
      </c>
      <c r="B47" s="60"/>
      <c r="C47" s="60"/>
      <c r="D47" s="60"/>
      <c r="E47" s="60"/>
      <c r="F47" s="60"/>
      <c r="G47" s="60"/>
      <c r="H47" s="60"/>
      <c r="I47" s="60"/>
      <c r="J47" s="60"/>
      <c r="K47" s="73"/>
      <c r="L47" s="73"/>
    </row>
    <row r="48" spans="1:12" ht="29">
      <c r="A48" s="64" t="s">
        <v>657</v>
      </c>
      <c r="B48" s="62">
        <v>3</v>
      </c>
      <c r="C48" s="62"/>
      <c r="D48" s="62"/>
      <c r="E48" s="62"/>
      <c r="F48" s="68">
        <v>5000</v>
      </c>
      <c r="G48" s="67"/>
      <c r="H48" s="67">
        <f>(F48*12)+G48</f>
        <v>60000</v>
      </c>
      <c r="I48" s="68">
        <f t="shared" si="3"/>
        <v>420000</v>
      </c>
      <c r="J48" s="69">
        <f>I48*B48</f>
        <v>1260000</v>
      </c>
      <c r="K48" s="73"/>
      <c r="L48" s="73"/>
    </row>
    <row r="49" spans="1:12">
      <c r="A49" s="64" t="s">
        <v>658</v>
      </c>
      <c r="B49" s="62">
        <v>1</v>
      </c>
      <c r="C49" s="62"/>
      <c r="D49" s="62"/>
      <c r="E49" s="62"/>
      <c r="F49" s="68">
        <v>600</v>
      </c>
      <c r="G49" s="67"/>
      <c r="H49" s="67">
        <f>(F49*12)+G49</f>
        <v>7200</v>
      </c>
      <c r="I49" s="68">
        <f t="shared" si="3"/>
        <v>50400</v>
      </c>
      <c r="J49" s="69">
        <f>I49*B49</f>
        <v>50400</v>
      </c>
      <c r="K49" s="59" t="s">
        <v>651</v>
      </c>
      <c r="L49" s="59" t="s">
        <v>652</v>
      </c>
    </row>
    <row r="50" spans="1:12">
      <c r="A50" s="63" t="s">
        <v>659</v>
      </c>
      <c r="B50" s="63">
        <v>3</v>
      </c>
      <c r="C50" s="63"/>
      <c r="D50" s="63"/>
      <c r="E50" s="63"/>
      <c r="F50" s="68">
        <v>400</v>
      </c>
      <c r="G50" s="67"/>
      <c r="H50" s="67">
        <f>(F50*12)+G50</f>
        <v>4800</v>
      </c>
      <c r="I50" s="68">
        <f t="shared" si="3"/>
        <v>33600</v>
      </c>
      <c r="J50" s="69">
        <f>I50*B50</f>
        <v>100800</v>
      </c>
      <c r="K50" s="73">
        <f>SUM(J48:J50)</f>
        <v>1411200</v>
      </c>
      <c r="L50" s="73">
        <f>K50/4.5</f>
        <v>313600</v>
      </c>
    </row>
    <row r="51" spans="1:12">
      <c r="A51" s="483" t="s">
        <v>660</v>
      </c>
      <c r="B51" s="483"/>
      <c r="C51" s="483"/>
      <c r="D51" s="483"/>
      <c r="E51" s="483"/>
      <c r="F51" s="483"/>
      <c r="G51" s="483"/>
      <c r="H51" s="483"/>
      <c r="I51" s="483"/>
      <c r="J51" s="74">
        <f>SUM(J3:J50)</f>
        <v>7024352</v>
      </c>
      <c r="K51" s="61"/>
      <c r="L51" s="61"/>
    </row>
    <row r="52" spans="1:12">
      <c r="A52" s="483" t="s">
        <v>661</v>
      </c>
      <c r="B52" s="483"/>
      <c r="C52" s="483"/>
      <c r="D52" s="483"/>
      <c r="E52" s="483"/>
      <c r="F52" s="483"/>
      <c r="G52" s="483"/>
      <c r="H52" s="483"/>
      <c r="I52" s="483"/>
      <c r="J52" s="74">
        <f>J51/4.5</f>
        <v>1560967.111111111</v>
      </c>
      <c r="K52" s="61"/>
      <c r="L52" s="61"/>
    </row>
  </sheetData>
  <mergeCells count="3">
    <mergeCell ref="A51:I51"/>
    <mergeCell ref="A52:I52"/>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67"/>
  <sheetViews>
    <sheetView topLeftCell="A23" workbookViewId="0">
      <selection activeCell="E6" sqref="E6"/>
    </sheetView>
  </sheetViews>
  <sheetFormatPr defaultRowHeight="14.5"/>
  <cols>
    <col min="1" max="1" width="35.54296875" bestFit="1" customWidth="1"/>
    <col min="7" max="7" width="11.81640625" customWidth="1"/>
    <col min="10" max="10" width="10.81640625" customWidth="1"/>
    <col min="11" max="11" width="10.453125" customWidth="1"/>
  </cols>
  <sheetData>
    <row r="1" spans="1:10" ht="72.5">
      <c r="A1" s="71" t="s">
        <v>609</v>
      </c>
      <c r="B1" s="70" t="s">
        <v>610</v>
      </c>
      <c r="C1" s="70" t="s">
        <v>611</v>
      </c>
      <c r="D1" s="70" t="s">
        <v>612</v>
      </c>
      <c r="E1" s="297" t="s">
        <v>613</v>
      </c>
      <c r="F1" s="297" t="s">
        <v>614</v>
      </c>
      <c r="G1" s="70" t="s">
        <v>615</v>
      </c>
      <c r="H1" s="72" t="s">
        <v>616</v>
      </c>
      <c r="I1" s="72" t="s">
        <v>617</v>
      </c>
      <c r="J1" s="72" t="s">
        <v>618</v>
      </c>
    </row>
    <row r="2" spans="1:10">
      <c r="A2" s="484" t="s">
        <v>619</v>
      </c>
      <c r="B2" s="484"/>
      <c r="C2" s="484"/>
      <c r="D2" s="484"/>
      <c r="E2" s="484"/>
      <c r="F2" s="484"/>
      <c r="G2" s="484"/>
      <c r="H2" s="484"/>
      <c r="I2" s="484"/>
      <c r="J2" s="484"/>
    </row>
    <row r="3" spans="1:10">
      <c r="A3" s="78" t="s">
        <v>662</v>
      </c>
      <c r="B3" s="80"/>
      <c r="C3" s="62"/>
      <c r="D3" s="62"/>
      <c r="E3" s="62"/>
      <c r="F3" s="68"/>
      <c r="G3" s="62"/>
      <c r="H3" s="62"/>
      <c r="I3" s="62"/>
      <c r="J3" s="62"/>
    </row>
    <row r="4" spans="1:10">
      <c r="A4" s="79" t="s">
        <v>663</v>
      </c>
      <c r="B4" s="63">
        <v>4</v>
      </c>
      <c r="C4" s="68">
        <v>4434</v>
      </c>
      <c r="D4" s="75">
        <f>C4/168</f>
        <v>26.392857142857142</v>
      </c>
      <c r="E4" s="63">
        <v>3</v>
      </c>
      <c r="F4" s="298">
        <f>D4*E4*4</f>
        <v>316.71428571428572</v>
      </c>
      <c r="G4" s="67">
        <v>3000</v>
      </c>
      <c r="H4" s="67">
        <f>(F4*12)+G4</f>
        <v>6800.5714285714284</v>
      </c>
      <c r="I4" s="68">
        <f>H4*7</f>
        <v>47604</v>
      </c>
      <c r="J4" s="69">
        <f>I4*B4</f>
        <v>190416</v>
      </c>
    </row>
    <row r="5" spans="1:10">
      <c r="A5" s="79" t="s">
        <v>664</v>
      </c>
      <c r="B5" s="80">
        <v>4</v>
      </c>
      <c r="C5" s="63">
        <v>3068</v>
      </c>
      <c r="D5" s="75">
        <f t="shared" ref="D5:D59" si="0">C5/168</f>
        <v>18.261904761904763</v>
      </c>
      <c r="E5" s="63">
        <v>3</v>
      </c>
      <c r="F5" s="298">
        <f t="shared" ref="F5:F59" si="1">D5*E5*4</f>
        <v>219.14285714285717</v>
      </c>
      <c r="G5" s="82">
        <v>2000</v>
      </c>
      <c r="H5" s="67">
        <f t="shared" ref="H5:H59" si="2">(F5*12)+G5</f>
        <v>4629.7142857142862</v>
      </c>
      <c r="I5" s="68">
        <f t="shared" ref="I5:I65" si="3">H5*7</f>
        <v>32408.000000000004</v>
      </c>
      <c r="J5" s="69">
        <f t="shared" ref="J5:J59" si="4">I5*B5</f>
        <v>129632.00000000001</v>
      </c>
    </row>
    <row r="6" spans="1:10">
      <c r="A6" s="79" t="s">
        <v>665</v>
      </c>
      <c r="B6" s="80">
        <v>12</v>
      </c>
      <c r="C6" s="63">
        <v>2104</v>
      </c>
      <c r="D6" s="75">
        <f t="shared" si="0"/>
        <v>12.523809523809524</v>
      </c>
      <c r="E6" s="63">
        <v>6</v>
      </c>
      <c r="F6" s="298">
        <f t="shared" si="1"/>
        <v>300.57142857142856</v>
      </c>
      <c r="G6" s="82">
        <v>1500</v>
      </c>
      <c r="H6" s="67">
        <f t="shared" si="2"/>
        <v>5106.8571428571431</v>
      </c>
      <c r="I6" s="68">
        <f t="shared" si="3"/>
        <v>35748</v>
      </c>
      <c r="J6" s="69">
        <f t="shared" si="4"/>
        <v>428976</v>
      </c>
    </row>
    <row r="7" spans="1:10">
      <c r="A7" s="79" t="s">
        <v>666</v>
      </c>
      <c r="B7" s="80">
        <v>24</v>
      </c>
      <c r="C7" s="63">
        <v>2217</v>
      </c>
      <c r="D7" s="75">
        <f t="shared" si="0"/>
        <v>13.196428571428571</v>
      </c>
      <c r="E7" s="63">
        <v>8</v>
      </c>
      <c r="F7" s="298">
        <f t="shared" si="1"/>
        <v>422.28571428571428</v>
      </c>
      <c r="G7" s="82">
        <v>1200</v>
      </c>
      <c r="H7" s="67">
        <f t="shared" si="2"/>
        <v>6267.4285714285716</v>
      </c>
      <c r="I7" s="68">
        <f t="shared" si="3"/>
        <v>43872</v>
      </c>
      <c r="J7" s="69">
        <f t="shared" si="4"/>
        <v>1052928</v>
      </c>
    </row>
    <row r="8" spans="1:10">
      <c r="A8" s="79" t="s">
        <v>667</v>
      </c>
      <c r="B8" s="80">
        <v>4</v>
      </c>
      <c r="C8" s="63">
        <v>2761</v>
      </c>
      <c r="D8" s="75">
        <f t="shared" si="0"/>
        <v>16.43452380952381</v>
      </c>
      <c r="E8" s="63">
        <v>3</v>
      </c>
      <c r="F8" s="298">
        <f t="shared" si="1"/>
        <v>197.21428571428572</v>
      </c>
      <c r="G8" s="82">
        <v>1200</v>
      </c>
      <c r="H8" s="67">
        <f t="shared" si="2"/>
        <v>3566.5714285714284</v>
      </c>
      <c r="I8" s="68">
        <f t="shared" si="3"/>
        <v>24966</v>
      </c>
      <c r="J8" s="69">
        <f t="shared" si="4"/>
        <v>99864</v>
      </c>
    </row>
    <row r="9" spans="1:10">
      <c r="A9" s="79" t="s">
        <v>668</v>
      </c>
      <c r="B9" s="80">
        <v>4</v>
      </c>
      <c r="C9" s="63">
        <v>1188</v>
      </c>
      <c r="D9" s="75">
        <f t="shared" si="0"/>
        <v>7.0714285714285712</v>
      </c>
      <c r="E9" s="63">
        <v>3</v>
      </c>
      <c r="F9" s="298">
        <f t="shared" si="1"/>
        <v>84.857142857142861</v>
      </c>
      <c r="G9" s="82">
        <v>1000</v>
      </c>
      <c r="H9" s="67">
        <f t="shared" si="2"/>
        <v>2018.2857142857142</v>
      </c>
      <c r="I9" s="68">
        <f t="shared" si="3"/>
        <v>14128</v>
      </c>
      <c r="J9" s="69">
        <f t="shared" si="4"/>
        <v>56512</v>
      </c>
    </row>
    <row r="10" spans="1:10">
      <c r="A10" s="79" t="s">
        <v>669</v>
      </c>
      <c r="B10" s="80">
        <v>4</v>
      </c>
      <c r="C10" s="63">
        <v>1786</v>
      </c>
      <c r="D10" s="75">
        <f t="shared" si="0"/>
        <v>10.630952380952381</v>
      </c>
      <c r="E10" s="63">
        <v>3</v>
      </c>
      <c r="F10" s="298">
        <f t="shared" si="1"/>
        <v>127.57142857142858</v>
      </c>
      <c r="G10" s="82">
        <v>1000</v>
      </c>
      <c r="H10" s="67">
        <f t="shared" si="2"/>
        <v>2530.8571428571431</v>
      </c>
      <c r="I10" s="68">
        <f t="shared" si="3"/>
        <v>17716</v>
      </c>
      <c r="J10" s="69">
        <f t="shared" si="4"/>
        <v>70864</v>
      </c>
    </row>
    <row r="11" spans="1:10">
      <c r="A11" s="78" t="s">
        <v>670</v>
      </c>
      <c r="B11" s="80"/>
      <c r="C11" s="62"/>
      <c r="D11" s="75"/>
      <c r="E11" s="62"/>
      <c r="F11" s="298">
        <f t="shared" si="1"/>
        <v>0</v>
      </c>
      <c r="G11" s="62"/>
      <c r="H11" s="67"/>
      <c r="I11" s="68"/>
      <c r="J11" s="69"/>
    </row>
    <row r="12" spans="1:10">
      <c r="A12" s="79" t="s">
        <v>663</v>
      </c>
      <c r="B12" s="80">
        <v>3</v>
      </c>
      <c r="C12" s="63">
        <v>4434</v>
      </c>
      <c r="D12" s="75">
        <f t="shared" si="0"/>
        <v>26.392857142857142</v>
      </c>
      <c r="E12" s="63">
        <v>3</v>
      </c>
      <c r="F12" s="298">
        <f t="shared" si="1"/>
        <v>316.71428571428572</v>
      </c>
      <c r="G12" s="82">
        <v>3000</v>
      </c>
      <c r="H12" s="67">
        <f t="shared" si="2"/>
        <v>6800.5714285714284</v>
      </c>
      <c r="I12" s="68">
        <f t="shared" si="3"/>
        <v>47604</v>
      </c>
      <c r="J12" s="69">
        <f t="shared" si="4"/>
        <v>142812</v>
      </c>
    </row>
    <row r="13" spans="1:10">
      <c r="A13" s="79" t="s">
        <v>664</v>
      </c>
      <c r="B13" s="80">
        <v>3</v>
      </c>
      <c r="C13" s="63">
        <v>3068</v>
      </c>
      <c r="D13" s="75">
        <f t="shared" si="0"/>
        <v>18.261904761904763</v>
      </c>
      <c r="E13" s="63">
        <v>3</v>
      </c>
      <c r="F13" s="298">
        <f t="shared" si="1"/>
        <v>219.14285714285717</v>
      </c>
      <c r="G13" s="82">
        <v>2000</v>
      </c>
      <c r="H13" s="67">
        <f t="shared" si="2"/>
        <v>4629.7142857142862</v>
      </c>
      <c r="I13" s="68">
        <f t="shared" si="3"/>
        <v>32408.000000000004</v>
      </c>
      <c r="J13" s="69">
        <f t="shared" si="4"/>
        <v>97224.000000000015</v>
      </c>
    </row>
    <row r="14" spans="1:10">
      <c r="A14" s="79" t="s">
        <v>665</v>
      </c>
      <c r="B14" s="80">
        <v>9</v>
      </c>
      <c r="C14" s="63">
        <v>2104</v>
      </c>
      <c r="D14" s="75">
        <f t="shared" si="0"/>
        <v>12.523809523809524</v>
      </c>
      <c r="E14" s="63">
        <v>6</v>
      </c>
      <c r="F14" s="298">
        <f t="shared" si="1"/>
        <v>300.57142857142856</v>
      </c>
      <c r="G14" s="82">
        <v>1500</v>
      </c>
      <c r="H14" s="67">
        <f t="shared" si="2"/>
        <v>5106.8571428571431</v>
      </c>
      <c r="I14" s="68">
        <f t="shared" si="3"/>
        <v>35748</v>
      </c>
      <c r="J14" s="69">
        <f t="shared" si="4"/>
        <v>321732</v>
      </c>
    </row>
    <row r="15" spans="1:10">
      <c r="A15" s="79" t="s">
        <v>666</v>
      </c>
      <c r="B15" s="80">
        <v>18</v>
      </c>
      <c r="C15" s="63">
        <v>2217</v>
      </c>
      <c r="D15" s="75">
        <f t="shared" si="0"/>
        <v>13.196428571428571</v>
      </c>
      <c r="E15" s="63">
        <v>8</v>
      </c>
      <c r="F15" s="298">
        <f t="shared" si="1"/>
        <v>422.28571428571428</v>
      </c>
      <c r="G15" s="82">
        <v>1200</v>
      </c>
      <c r="H15" s="67">
        <f t="shared" si="2"/>
        <v>6267.4285714285716</v>
      </c>
      <c r="I15" s="68">
        <f t="shared" si="3"/>
        <v>43872</v>
      </c>
      <c r="J15" s="69">
        <f t="shared" si="4"/>
        <v>789696</v>
      </c>
    </row>
    <row r="16" spans="1:10">
      <c r="A16" s="79" t="s">
        <v>667</v>
      </c>
      <c r="B16" s="80">
        <v>3</v>
      </c>
      <c r="C16" s="63">
        <v>2761</v>
      </c>
      <c r="D16" s="75">
        <f t="shared" si="0"/>
        <v>16.43452380952381</v>
      </c>
      <c r="E16" s="63">
        <v>3</v>
      </c>
      <c r="F16" s="298">
        <f t="shared" si="1"/>
        <v>197.21428571428572</v>
      </c>
      <c r="G16" s="82">
        <v>1200</v>
      </c>
      <c r="H16" s="67">
        <f t="shared" si="2"/>
        <v>3566.5714285714284</v>
      </c>
      <c r="I16" s="68">
        <f t="shared" si="3"/>
        <v>24966</v>
      </c>
      <c r="J16" s="69">
        <f t="shared" si="4"/>
        <v>74898</v>
      </c>
    </row>
    <row r="17" spans="1:10">
      <c r="A17" s="79" t="s">
        <v>668</v>
      </c>
      <c r="B17" s="80">
        <v>3</v>
      </c>
      <c r="C17" s="63">
        <v>1188</v>
      </c>
      <c r="D17" s="75">
        <f t="shared" si="0"/>
        <v>7.0714285714285712</v>
      </c>
      <c r="E17" s="63">
        <v>3</v>
      </c>
      <c r="F17" s="298">
        <f t="shared" si="1"/>
        <v>84.857142857142861</v>
      </c>
      <c r="G17" s="82">
        <v>1000</v>
      </c>
      <c r="H17" s="67">
        <f t="shared" si="2"/>
        <v>2018.2857142857142</v>
      </c>
      <c r="I17" s="68">
        <f t="shared" si="3"/>
        <v>14128</v>
      </c>
      <c r="J17" s="69">
        <f t="shared" si="4"/>
        <v>42384</v>
      </c>
    </row>
    <row r="18" spans="1:10">
      <c r="A18" s="79" t="s">
        <v>669</v>
      </c>
      <c r="B18" s="80">
        <v>3</v>
      </c>
      <c r="C18" s="63">
        <v>1786</v>
      </c>
      <c r="D18" s="75">
        <f t="shared" si="0"/>
        <v>10.630952380952381</v>
      </c>
      <c r="E18" s="63">
        <v>3</v>
      </c>
      <c r="F18" s="298">
        <f t="shared" si="1"/>
        <v>127.57142857142858</v>
      </c>
      <c r="G18" s="82">
        <v>1000</v>
      </c>
      <c r="H18" s="67">
        <f t="shared" si="2"/>
        <v>2530.8571428571431</v>
      </c>
      <c r="I18" s="68">
        <f t="shared" si="3"/>
        <v>17716</v>
      </c>
      <c r="J18" s="69">
        <f t="shared" si="4"/>
        <v>53148</v>
      </c>
    </row>
    <row r="19" spans="1:10">
      <c r="A19" s="78" t="s">
        <v>671</v>
      </c>
      <c r="B19" s="80"/>
      <c r="C19" s="62"/>
      <c r="D19" s="75"/>
      <c r="E19" s="62"/>
      <c r="F19" s="298">
        <f t="shared" si="1"/>
        <v>0</v>
      </c>
      <c r="G19" s="62"/>
      <c r="H19" s="67"/>
      <c r="I19" s="68"/>
      <c r="J19" s="69"/>
    </row>
    <row r="20" spans="1:10">
      <c r="A20" s="79" t="s">
        <v>663</v>
      </c>
      <c r="B20" s="80">
        <v>2</v>
      </c>
      <c r="C20" s="63">
        <v>4434</v>
      </c>
      <c r="D20" s="75">
        <f t="shared" si="0"/>
        <v>26.392857142857142</v>
      </c>
      <c r="E20" s="63">
        <v>3</v>
      </c>
      <c r="F20" s="298">
        <f t="shared" si="1"/>
        <v>316.71428571428572</v>
      </c>
      <c r="G20" s="82">
        <v>3000</v>
      </c>
      <c r="H20" s="67">
        <f t="shared" si="2"/>
        <v>6800.5714285714284</v>
      </c>
      <c r="I20" s="68">
        <f t="shared" si="3"/>
        <v>47604</v>
      </c>
      <c r="J20" s="69">
        <f t="shared" si="4"/>
        <v>95208</v>
      </c>
    </row>
    <row r="21" spans="1:10">
      <c r="A21" s="79" t="s">
        <v>664</v>
      </c>
      <c r="B21" s="80">
        <v>2</v>
      </c>
      <c r="C21" s="63">
        <v>3068</v>
      </c>
      <c r="D21" s="75">
        <f t="shared" si="0"/>
        <v>18.261904761904763</v>
      </c>
      <c r="E21" s="63">
        <v>3</v>
      </c>
      <c r="F21" s="298">
        <f t="shared" si="1"/>
        <v>219.14285714285717</v>
      </c>
      <c r="G21" s="82">
        <v>2000</v>
      </c>
      <c r="H21" s="67">
        <f t="shared" si="2"/>
        <v>4629.7142857142862</v>
      </c>
      <c r="I21" s="68">
        <f t="shared" si="3"/>
        <v>32408.000000000004</v>
      </c>
      <c r="J21" s="69">
        <f t="shared" si="4"/>
        <v>64816.000000000007</v>
      </c>
    </row>
    <row r="22" spans="1:10">
      <c r="A22" s="79" t="s">
        <v>665</v>
      </c>
      <c r="B22" s="80">
        <v>6</v>
      </c>
      <c r="C22" s="63">
        <v>2104</v>
      </c>
      <c r="D22" s="75">
        <f t="shared" si="0"/>
        <v>12.523809523809524</v>
      </c>
      <c r="E22" s="63">
        <v>6</v>
      </c>
      <c r="F22" s="298">
        <f t="shared" si="1"/>
        <v>300.57142857142856</v>
      </c>
      <c r="G22" s="82">
        <v>1500</v>
      </c>
      <c r="H22" s="67">
        <f t="shared" si="2"/>
        <v>5106.8571428571431</v>
      </c>
      <c r="I22" s="68">
        <f t="shared" si="3"/>
        <v>35748</v>
      </c>
      <c r="J22" s="69">
        <f t="shared" si="4"/>
        <v>214488</v>
      </c>
    </row>
    <row r="23" spans="1:10">
      <c r="A23" s="79" t="s">
        <v>666</v>
      </c>
      <c r="B23" s="80">
        <v>12</v>
      </c>
      <c r="C23" s="63">
        <v>2217</v>
      </c>
      <c r="D23" s="75">
        <f t="shared" si="0"/>
        <v>13.196428571428571</v>
      </c>
      <c r="E23" s="63">
        <v>8</v>
      </c>
      <c r="F23" s="298">
        <f t="shared" si="1"/>
        <v>422.28571428571428</v>
      </c>
      <c r="G23" s="82">
        <v>1200</v>
      </c>
      <c r="H23" s="67">
        <f t="shared" si="2"/>
        <v>6267.4285714285716</v>
      </c>
      <c r="I23" s="68">
        <f t="shared" si="3"/>
        <v>43872</v>
      </c>
      <c r="J23" s="69">
        <f t="shared" si="4"/>
        <v>526464</v>
      </c>
    </row>
    <row r="24" spans="1:10">
      <c r="A24" s="79" t="s">
        <v>667</v>
      </c>
      <c r="B24" s="80">
        <v>2</v>
      </c>
      <c r="C24" s="63">
        <v>2761</v>
      </c>
      <c r="D24" s="75">
        <f t="shared" si="0"/>
        <v>16.43452380952381</v>
      </c>
      <c r="E24" s="63">
        <v>3</v>
      </c>
      <c r="F24" s="298">
        <f t="shared" si="1"/>
        <v>197.21428571428572</v>
      </c>
      <c r="G24" s="82">
        <v>1200</v>
      </c>
      <c r="H24" s="67">
        <f t="shared" si="2"/>
        <v>3566.5714285714284</v>
      </c>
      <c r="I24" s="68">
        <f t="shared" si="3"/>
        <v>24966</v>
      </c>
      <c r="J24" s="69">
        <f t="shared" si="4"/>
        <v>49932</v>
      </c>
    </row>
    <row r="25" spans="1:10">
      <c r="A25" s="79" t="s">
        <v>668</v>
      </c>
      <c r="B25" s="80">
        <v>2</v>
      </c>
      <c r="C25" s="63">
        <v>1188</v>
      </c>
      <c r="D25" s="75">
        <f t="shared" si="0"/>
        <v>7.0714285714285712</v>
      </c>
      <c r="E25" s="63">
        <v>3</v>
      </c>
      <c r="F25" s="298">
        <f t="shared" si="1"/>
        <v>84.857142857142861</v>
      </c>
      <c r="G25" s="82">
        <v>1000</v>
      </c>
      <c r="H25" s="67">
        <f t="shared" si="2"/>
        <v>2018.2857142857142</v>
      </c>
      <c r="I25" s="68">
        <f t="shared" si="3"/>
        <v>14128</v>
      </c>
      <c r="J25" s="69">
        <f t="shared" si="4"/>
        <v>28256</v>
      </c>
    </row>
    <row r="26" spans="1:10">
      <c r="A26" s="79" t="s">
        <v>669</v>
      </c>
      <c r="B26" s="80">
        <v>2</v>
      </c>
      <c r="C26" s="63">
        <v>1786</v>
      </c>
      <c r="D26" s="75">
        <f t="shared" si="0"/>
        <v>10.630952380952381</v>
      </c>
      <c r="E26" s="63">
        <v>3</v>
      </c>
      <c r="F26" s="298">
        <f t="shared" si="1"/>
        <v>127.57142857142858</v>
      </c>
      <c r="G26" s="82">
        <v>1000</v>
      </c>
      <c r="H26" s="67">
        <f t="shared" si="2"/>
        <v>2530.8571428571431</v>
      </c>
      <c r="I26" s="68">
        <f t="shared" si="3"/>
        <v>17716</v>
      </c>
      <c r="J26" s="69">
        <f t="shared" si="4"/>
        <v>35432</v>
      </c>
    </row>
    <row r="27" spans="1:10">
      <c r="A27" s="62" t="s">
        <v>620</v>
      </c>
      <c r="B27" s="62"/>
      <c r="C27" s="62"/>
      <c r="D27" s="75"/>
      <c r="E27" s="62"/>
      <c r="F27" s="298">
        <f t="shared" si="1"/>
        <v>0</v>
      </c>
      <c r="G27" s="62"/>
      <c r="H27" s="67"/>
      <c r="I27" s="68"/>
      <c r="J27" s="69"/>
    </row>
    <row r="28" spans="1:10">
      <c r="A28" s="63" t="s">
        <v>621</v>
      </c>
      <c r="B28" s="63">
        <v>1</v>
      </c>
      <c r="C28" s="68">
        <v>4917</v>
      </c>
      <c r="D28" s="75">
        <f t="shared" si="0"/>
        <v>29.267857142857142</v>
      </c>
      <c r="E28" s="63">
        <v>1</v>
      </c>
      <c r="F28" s="298">
        <f t="shared" si="1"/>
        <v>117.07142857142857</v>
      </c>
      <c r="G28" s="76">
        <v>5000</v>
      </c>
      <c r="H28" s="67">
        <f t="shared" si="2"/>
        <v>6404.8571428571431</v>
      </c>
      <c r="I28" s="68">
        <f t="shared" si="3"/>
        <v>44834</v>
      </c>
      <c r="J28" s="69">
        <f t="shared" si="4"/>
        <v>44834</v>
      </c>
    </row>
    <row r="29" spans="1:10">
      <c r="A29" s="79" t="s">
        <v>672</v>
      </c>
      <c r="B29" s="63">
        <v>1</v>
      </c>
      <c r="C29" s="68">
        <v>4434</v>
      </c>
      <c r="D29" s="75">
        <f t="shared" si="0"/>
        <v>26.392857142857142</v>
      </c>
      <c r="E29" s="63">
        <v>3</v>
      </c>
      <c r="F29" s="298">
        <f t="shared" si="1"/>
        <v>316.71428571428572</v>
      </c>
      <c r="G29" s="76">
        <v>4000</v>
      </c>
      <c r="H29" s="67">
        <f t="shared" si="2"/>
        <v>7800.5714285714284</v>
      </c>
      <c r="I29" s="68">
        <f t="shared" si="3"/>
        <v>54604</v>
      </c>
      <c r="J29" s="69">
        <f t="shared" si="4"/>
        <v>54604</v>
      </c>
    </row>
    <row r="30" spans="1:10">
      <c r="A30" s="79" t="s">
        <v>673</v>
      </c>
      <c r="B30" s="63">
        <v>1</v>
      </c>
      <c r="C30" s="68">
        <v>3068</v>
      </c>
      <c r="D30" s="75">
        <f t="shared" si="0"/>
        <v>18.261904761904763</v>
      </c>
      <c r="E30" s="63">
        <v>5</v>
      </c>
      <c r="F30" s="298">
        <f t="shared" si="1"/>
        <v>365.23809523809524</v>
      </c>
      <c r="G30" s="76">
        <v>2000</v>
      </c>
      <c r="H30" s="67">
        <f t="shared" si="2"/>
        <v>6382.8571428571431</v>
      </c>
      <c r="I30" s="68">
        <f t="shared" si="3"/>
        <v>44680</v>
      </c>
      <c r="J30" s="69">
        <f t="shared" si="4"/>
        <v>44680</v>
      </c>
    </row>
    <row r="31" spans="1:10">
      <c r="A31" s="79" t="s">
        <v>674</v>
      </c>
      <c r="B31" s="63">
        <v>1</v>
      </c>
      <c r="C31" s="68">
        <v>2454</v>
      </c>
      <c r="D31" s="75">
        <f t="shared" si="0"/>
        <v>14.607142857142858</v>
      </c>
      <c r="E31" s="63">
        <v>5</v>
      </c>
      <c r="F31" s="298">
        <f t="shared" si="1"/>
        <v>292.14285714285717</v>
      </c>
      <c r="G31" s="76">
        <v>1500</v>
      </c>
      <c r="H31" s="67">
        <f t="shared" si="2"/>
        <v>5005.7142857142862</v>
      </c>
      <c r="I31" s="68">
        <f t="shared" si="3"/>
        <v>35040</v>
      </c>
      <c r="J31" s="69">
        <f t="shared" si="4"/>
        <v>35040</v>
      </c>
    </row>
    <row r="32" spans="1:10">
      <c r="A32" s="79" t="s">
        <v>625</v>
      </c>
      <c r="B32" s="63">
        <v>1</v>
      </c>
      <c r="C32" s="68">
        <v>2967</v>
      </c>
      <c r="D32" s="75">
        <f t="shared" si="0"/>
        <v>17.660714285714285</v>
      </c>
      <c r="E32" s="63">
        <v>5</v>
      </c>
      <c r="F32" s="298">
        <f t="shared" si="1"/>
        <v>353.21428571428567</v>
      </c>
      <c r="G32" s="76">
        <v>2000</v>
      </c>
      <c r="H32" s="67">
        <f t="shared" si="2"/>
        <v>6238.5714285714275</v>
      </c>
      <c r="I32" s="68">
        <f t="shared" si="3"/>
        <v>43669.999999999993</v>
      </c>
      <c r="J32" s="69">
        <f t="shared" si="4"/>
        <v>43669.999999999993</v>
      </c>
    </row>
    <row r="33" spans="1:10">
      <c r="A33" s="62" t="s">
        <v>626</v>
      </c>
      <c r="B33" s="62"/>
      <c r="C33" s="69"/>
      <c r="D33" s="75"/>
      <c r="E33" s="62"/>
      <c r="F33" s="298">
        <f t="shared" si="1"/>
        <v>0</v>
      </c>
      <c r="G33" s="76"/>
      <c r="H33" s="67"/>
      <c r="I33" s="68"/>
      <c r="J33" s="69"/>
    </row>
    <row r="34" spans="1:10">
      <c r="A34" s="63" t="s">
        <v>621</v>
      </c>
      <c r="B34" s="63">
        <v>1</v>
      </c>
      <c r="C34" s="68">
        <v>4917</v>
      </c>
      <c r="D34" s="75">
        <f t="shared" si="0"/>
        <v>29.267857142857142</v>
      </c>
      <c r="E34" s="63">
        <v>1</v>
      </c>
      <c r="F34" s="298">
        <f t="shared" si="1"/>
        <v>117.07142857142857</v>
      </c>
      <c r="G34" s="76">
        <v>5000</v>
      </c>
      <c r="H34" s="67">
        <f t="shared" si="2"/>
        <v>6404.8571428571431</v>
      </c>
      <c r="I34" s="68">
        <f t="shared" si="3"/>
        <v>44834</v>
      </c>
      <c r="J34" s="69">
        <f t="shared" si="4"/>
        <v>44834</v>
      </c>
    </row>
    <row r="35" spans="1:10">
      <c r="A35" s="63" t="s">
        <v>672</v>
      </c>
      <c r="B35" s="63">
        <v>1</v>
      </c>
      <c r="C35" s="68">
        <v>4434</v>
      </c>
      <c r="D35" s="75">
        <f t="shared" si="0"/>
        <v>26.392857142857142</v>
      </c>
      <c r="E35" s="63">
        <v>3</v>
      </c>
      <c r="F35" s="298">
        <f t="shared" si="1"/>
        <v>316.71428571428572</v>
      </c>
      <c r="G35" s="76">
        <v>4000</v>
      </c>
      <c r="H35" s="67">
        <f t="shared" si="2"/>
        <v>7800.5714285714284</v>
      </c>
      <c r="I35" s="68">
        <f t="shared" si="3"/>
        <v>54604</v>
      </c>
      <c r="J35" s="69">
        <f t="shared" si="4"/>
        <v>54604</v>
      </c>
    </row>
    <row r="36" spans="1:10">
      <c r="A36" s="63" t="s">
        <v>673</v>
      </c>
      <c r="B36" s="63">
        <v>1</v>
      </c>
      <c r="C36" s="68">
        <v>3068</v>
      </c>
      <c r="D36" s="75">
        <f t="shared" si="0"/>
        <v>18.261904761904763</v>
      </c>
      <c r="E36" s="63">
        <v>5</v>
      </c>
      <c r="F36" s="298">
        <f t="shared" si="1"/>
        <v>365.23809523809524</v>
      </c>
      <c r="G36" s="76">
        <v>2000</v>
      </c>
      <c r="H36" s="67">
        <f t="shared" si="2"/>
        <v>6382.8571428571431</v>
      </c>
      <c r="I36" s="68">
        <f t="shared" si="3"/>
        <v>44680</v>
      </c>
      <c r="J36" s="69">
        <f t="shared" si="4"/>
        <v>44680</v>
      </c>
    </row>
    <row r="37" spans="1:10">
      <c r="A37" s="63" t="s">
        <v>674</v>
      </c>
      <c r="B37" s="63">
        <v>1</v>
      </c>
      <c r="C37" s="68">
        <v>2454</v>
      </c>
      <c r="D37" s="75">
        <f t="shared" si="0"/>
        <v>14.607142857142858</v>
      </c>
      <c r="E37" s="63">
        <v>5</v>
      </c>
      <c r="F37" s="298">
        <f t="shared" si="1"/>
        <v>292.14285714285717</v>
      </c>
      <c r="G37" s="76">
        <v>1500</v>
      </c>
      <c r="H37" s="67">
        <f t="shared" si="2"/>
        <v>5005.7142857142862</v>
      </c>
      <c r="I37" s="68">
        <f t="shared" si="3"/>
        <v>35040</v>
      </c>
      <c r="J37" s="69">
        <f t="shared" si="4"/>
        <v>35040</v>
      </c>
    </row>
    <row r="38" spans="1:10">
      <c r="A38" s="63" t="s">
        <v>625</v>
      </c>
      <c r="B38" s="63">
        <v>1</v>
      </c>
      <c r="C38" s="68">
        <v>2967</v>
      </c>
      <c r="D38" s="75">
        <f t="shared" si="0"/>
        <v>17.660714285714285</v>
      </c>
      <c r="E38" s="63">
        <v>5</v>
      </c>
      <c r="F38" s="298">
        <f t="shared" si="1"/>
        <v>353.21428571428567</v>
      </c>
      <c r="G38" s="76">
        <v>2000</v>
      </c>
      <c r="H38" s="67">
        <f t="shared" si="2"/>
        <v>6238.5714285714275</v>
      </c>
      <c r="I38" s="68">
        <f t="shared" si="3"/>
        <v>43669.999999999993</v>
      </c>
      <c r="J38" s="69">
        <f t="shared" si="4"/>
        <v>43669.999999999993</v>
      </c>
    </row>
    <row r="39" spans="1:10">
      <c r="A39" s="62" t="s">
        <v>627</v>
      </c>
      <c r="B39" s="62"/>
      <c r="C39" s="69"/>
      <c r="D39" s="75"/>
      <c r="E39" s="62"/>
      <c r="F39" s="298">
        <f t="shared" si="1"/>
        <v>0</v>
      </c>
      <c r="G39" s="76"/>
      <c r="H39" s="67"/>
      <c r="I39" s="68"/>
      <c r="J39" s="69"/>
    </row>
    <row r="40" spans="1:10">
      <c r="A40" s="63" t="s">
        <v>621</v>
      </c>
      <c r="B40" s="63">
        <v>1</v>
      </c>
      <c r="C40" s="68">
        <v>4917</v>
      </c>
      <c r="D40" s="75">
        <f t="shared" si="0"/>
        <v>29.267857142857142</v>
      </c>
      <c r="E40" s="63">
        <v>1</v>
      </c>
      <c r="F40" s="298">
        <f t="shared" si="1"/>
        <v>117.07142857142857</v>
      </c>
      <c r="G40" s="76">
        <v>5000</v>
      </c>
      <c r="H40" s="67">
        <f t="shared" si="2"/>
        <v>6404.8571428571431</v>
      </c>
      <c r="I40" s="68">
        <f t="shared" si="3"/>
        <v>44834</v>
      </c>
      <c r="J40" s="69">
        <f t="shared" si="4"/>
        <v>44834</v>
      </c>
    </row>
    <row r="41" spans="1:10">
      <c r="A41" s="63" t="s">
        <v>672</v>
      </c>
      <c r="B41" s="63">
        <v>1</v>
      </c>
      <c r="C41" s="68">
        <v>4434</v>
      </c>
      <c r="D41" s="75">
        <f t="shared" si="0"/>
        <v>26.392857142857142</v>
      </c>
      <c r="E41" s="63">
        <v>3</v>
      </c>
      <c r="F41" s="298">
        <f t="shared" si="1"/>
        <v>316.71428571428572</v>
      </c>
      <c r="G41" s="76">
        <v>4000</v>
      </c>
      <c r="H41" s="67">
        <f t="shared" si="2"/>
        <v>7800.5714285714284</v>
      </c>
      <c r="I41" s="68">
        <f t="shared" si="3"/>
        <v>54604</v>
      </c>
      <c r="J41" s="69">
        <f t="shared" si="4"/>
        <v>54604</v>
      </c>
    </row>
    <row r="42" spans="1:10">
      <c r="A42" s="63" t="s">
        <v>673</v>
      </c>
      <c r="B42" s="63">
        <v>1</v>
      </c>
      <c r="C42" s="68">
        <v>3068</v>
      </c>
      <c r="D42" s="75">
        <f t="shared" si="0"/>
        <v>18.261904761904763</v>
      </c>
      <c r="E42" s="63">
        <v>5</v>
      </c>
      <c r="F42" s="298">
        <f t="shared" si="1"/>
        <v>365.23809523809524</v>
      </c>
      <c r="G42" s="76">
        <v>2000</v>
      </c>
      <c r="H42" s="67">
        <f t="shared" si="2"/>
        <v>6382.8571428571431</v>
      </c>
      <c r="I42" s="68">
        <f t="shared" si="3"/>
        <v>44680</v>
      </c>
      <c r="J42" s="69">
        <f t="shared" si="4"/>
        <v>44680</v>
      </c>
    </row>
    <row r="43" spans="1:10">
      <c r="A43" s="63" t="s">
        <v>674</v>
      </c>
      <c r="B43" s="63">
        <v>1</v>
      </c>
      <c r="C43" s="68">
        <v>2454</v>
      </c>
      <c r="D43" s="75">
        <f t="shared" si="0"/>
        <v>14.607142857142858</v>
      </c>
      <c r="E43" s="63">
        <v>5</v>
      </c>
      <c r="F43" s="298">
        <f t="shared" si="1"/>
        <v>292.14285714285717</v>
      </c>
      <c r="G43" s="76">
        <v>1500</v>
      </c>
      <c r="H43" s="67">
        <f t="shared" si="2"/>
        <v>5005.7142857142862</v>
      </c>
      <c r="I43" s="68">
        <f t="shared" si="3"/>
        <v>35040</v>
      </c>
      <c r="J43" s="69">
        <f t="shared" si="4"/>
        <v>35040</v>
      </c>
    </row>
    <row r="44" spans="1:10">
      <c r="A44" s="63" t="s">
        <v>625</v>
      </c>
      <c r="B44" s="63">
        <v>1</v>
      </c>
      <c r="C44" s="68">
        <v>2967</v>
      </c>
      <c r="D44" s="75">
        <f t="shared" si="0"/>
        <v>17.660714285714285</v>
      </c>
      <c r="E44" s="63">
        <v>5</v>
      </c>
      <c r="F44" s="298">
        <f t="shared" si="1"/>
        <v>353.21428571428567</v>
      </c>
      <c r="G44" s="76">
        <v>2000</v>
      </c>
      <c r="H44" s="67">
        <f t="shared" si="2"/>
        <v>6238.5714285714275</v>
      </c>
      <c r="I44" s="68">
        <f t="shared" si="3"/>
        <v>43669.999999999993</v>
      </c>
      <c r="J44" s="69">
        <f t="shared" si="4"/>
        <v>43669.999999999993</v>
      </c>
    </row>
    <row r="45" spans="1:10">
      <c r="A45" s="62" t="s">
        <v>629</v>
      </c>
      <c r="B45" s="62"/>
      <c r="C45" s="69"/>
      <c r="D45" s="75"/>
      <c r="E45" s="62"/>
      <c r="F45" s="298">
        <f t="shared" si="1"/>
        <v>0</v>
      </c>
      <c r="G45" s="76"/>
      <c r="H45" s="67"/>
      <c r="I45" s="68"/>
      <c r="J45" s="69"/>
    </row>
    <row r="46" spans="1:10">
      <c r="A46" s="63" t="s">
        <v>675</v>
      </c>
      <c r="B46" s="63">
        <v>1</v>
      </c>
      <c r="C46" s="68">
        <v>4917</v>
      </c>
      <c r="D46" s="75">
        <f t="shared" si="0"/>
        <v>29.267857142857142</v>
      </c>
      <c r="E46" s="63">
        <v>1</v>
      </c>
      <c r="F46" s="298">
        <f t="shared" si="1"/>
        <v>117.07142857142857</v>
      </c>
      <c r="G46" s="76">
        <v>7000</v>
      </c>
      <c r="H46" s="67">
        <f t="shared" si="2"/>
        <v>8404.8571428571431</v>
      </c>
      <c r="I46" s="68">
        <f t="shared" si="3"/>
        <v>58834</v>
      </c>
      <c r="J46" s="69">
        <f t="shared" si="4"/>
        <v>58834</v>
      </c>
    </row>
    <row r="47" spans="1:10">
      <c r="A47" s="63" t="s">
        <v>676</v>
      </c>
      <c r="B47" s="63">
        <v>1</v>
      </c>
      <c r="C47" s="68">
        <v>4434</v>
      </c>
      <c r="D47" s="75">
        <f t="shared" si="0"/>
        <v>26.392857142857142</v>
      </c>
      <c r="E47" s="63">
        <v>8</v>
      </c>
      <c r="F47" s="298">
        <f t="shared" si="1"/>
        <v>844.57142857142856</v>
      </c>
      <c r="G47" s="76">
        <v>6000</v>
      </c>
      <c r="H47" s="67">
        <f t="shared" si="2"/>
        <v>16134.857142857143</v>
      </c>
      <c r="I47" s="68">
        <f t="shared" si="3"/>
        <v>112944</v>
      </c>
      <c r="J47" s="69">
        <f t="shared" si="4"/>
        <v>112944</v>
      </c>
    </row>
    <row r="48" spans="1:10">
      <c r="A48" s="63" t="s">
        <v>673</v>
      </c>
      <c r="B48" s="63">
        <v>1</v>
      </c>
      <c r="C48" s="68">
        <v>3068</v>
      </c>
      <c r="D48" s="75">
        <f t="shared" si="0"/>
        <v>18.261904761904763</v>
      </c>
      <c r="E48" s="63">
        <v>3</v>
      </c>
      <c r="F48" s="298">
        <f t="shared" si="1"/>
        <v>219.14285714285717</v>
      </c>
      <c r="G48" s="76">
        <v>6000</v>
      </c>
      <c r="H48" s="67">
        <f t="shared" si="2"/>
        <v>8629.7142857142862</v>
      </c>
      <c r="I48" s="68">
        <f t="shared" si="3"/>
        <v>60408</v>
      </c>
      <c r="J48" s="69">
        <f t="shared" si="4"/>
        <v>60408</v>
      </c>
    </row>
    <row r="49" spans="1:12">
      <c r="A49" s="63" t="s">
        <v>677</v>
      </c>
      <c r="B49" s="63">
        <v>2</v>
      </c>
      <c r="C49" s="68">
        <v>2104</v>
      </c>
      <c r="D49" s="75">
        <f t="shared" si="0"/>
        <v>12.523809523809524</v>
      </c>
      <c r="E49" s="63">
        <v>3</v>
      </c>
      <c r="F49" s="298">
        <f t="shared" si="1"/>
        <v>150.28571428571428</v>
      </c>
      <c r="G49" s="76">
        <v>5000</v>
      </c>
      <c r="H49" s="67">
        <f t="shared" si="2"/>
        <v>6803.4285714285716</v>
      </c>
      <c r="I49" s="68">
        <f t="shared" si="3"/>
        <v>47624</v>
      </c>
      <c r="J49" s="69">
        <f t="shared" si="4"/>
        <v>95248</v>
      </c>
      <c r="K49" s="61"/>
      <c r="L49" s="61"/>
    </row>
    <row r="50" spans="1:12">
      <c r="A50" s="63" t="s">
        <v>678</v>
      </c>
      <c r="B50" s="63">
        <v>1</v>
      </c>
      <c r="C50" s="68">
        <v>2581</v>
      </c>
      <c r="D50" s="75">
        <f t="shared" si="0"/>
        <v>15.363095238095237</v>
      </c>
      <c r="E50" s="63">
        <v>3</v>
      </c>
      <c r="F50" s="298">
        <f t="shared" si="1"/>
        <v>184.35714285714283</v>
      </c>
      <c r="G50" s="76">
        <v>5000</v>
      </c>
      <c r="H50" s="67">
        <f t="shared" si="2"/>
        <v>7212.2857142857138</v>
      </c>
      <c r="I50" s="68">
        <f t="shared" si="3"/>
        <v>50486</v>
      </c>
      <c r="J50" s="69">
        <f t="shared" si="4"/>
        <v>50486</v>
      </c>
      <c r="K50" s="61"/>
      <c r="L50" s="61"/>
    </row>
    <row r="51" spans="1:12">
      <c r="A51" s="63" t="s">
        <v>679</v>
      </c>
      <c r="B51" s="63">
        <v>1</v>
      </c>
      <c r="C51" s="68">
        <v>1786</v>
      </c>
      <c r="D51" s="75">
        <f t="shared" si="0"/>
        <v>10.630952380952381</v>
      </c>
      <c r="E51" s="63">
        <v>5</v>
      </c>
      <c r="F51" s="298">
        <f t="shared" si="1"/>
        <v>212.61904761904762</v>
      </c>
      <c r="G51" s="76">
        <v>4000</v>
      </c>
      <c r="H51" s="67">
        <f t="shared" si="2"/>
        <v>6551.4285714285716</v>
      </c>
      <c r="I51" s="68">
        <f t="shared" si="3"/>
        <v>45860</v>
      </c>
      <c r="J51" s="69">
        <f t="shared" si="4"/>
        <v>45860</v>
      </c>
      <c r="K51" s="61"/>
      <c r="L51" s="61"/>
    </row>
    <row r="52" spans="1:12">
      <c r="A52" s="65" t="s">
        <v>638</v>
      </c>
      <c r="B52" s="63"/>
      <c r="C52" s="68"/>
      <c r="D52" s="75"/>
      <c r="E52" s="63"/>
      <c r="F52" s="298">
        <f t="shared" si="1"/>
        <v>0</v>
      </c>
      <c r="G52" s="76"/>
      <c r="H52" s="67"/>
      <c r="I52" s="68"/>
      <c r="J52" s="69"/>
      <c r="K52" s="61"/>
      <c r="L52" s="61"/>
    </row>
    <row r="53" spans="1:12">
      <c r="A53" s="63" t="s">
        <v>640</v>
      </c>
      <c r="B53" s="63">
        <v>1</v>
      </c>
      <c r="C53" s="68">
        <v>3324</v>
      </c>
      <c r="D53" s="75">
        <f t="shared" si="0"/>
        <v>19.785714285714285</v>
      </c>
      <c r="E53" s="63">
        <v>1</v>
      </c>
      <c r="F53" s="298">
        <f t="shared" si="1"/>
        <v>79.142857142857139</v>
      </c>
      <c r="G53" s="76">
        <v>4000</v>
      </c>
      <c r="H53" s="67">
        <f t="shared" si="2"/>
        <v>4949.7142857142853</v>
      </c>
      <c r="I53" s="68">
        <f t="shared" si="3"/>
        <v>34648</v>
      </c>
      <c r="J53" s="69">
        <f t="shared" si="4"/>
        <v>34648</v>
      </c>
      <c r="K53" s="61"/>
      <c r="L53" s="61"/>
    </row>
    <row r="54" spans="1:12">
      <c r="A54" s="63" t="s">
        <v>680</v>
      </c>
      <c r="B54" s="63">
        <v>1</v>
      </c>
      <c r="C54" s="68">
        <v>2581</v>
      </c>
      <c r="D54" s="75">
        <f t="shared" si="0"/>
        <v>15.363095238095237</v>
      </c>
      <c r="E54" s="63">
        <v>3</v>
      </c>
      <c r="F54" s="298">
        <f t="shared" si="1"/>
        <v>184.35714285714283</v>
      </c>
      <c r="G54" s="76">
        <v>3000</v>
      </c>
      <c r="H54" s="67">
        <f t="shared" si="2"/>
        <v>5212.2857142857138</v>
      </c>
      <c r="I54" s="68">
        <f t="shared" si="3"/>
        <v>36486</v>
      </c>
      <c r="J54" s="69">
        <f t="shared" si="4"/>
        <v>36486</v>
      </c>
      <c r="K54" s="61"/>
      <c r="L54" s="61"/>
    </row>
    <row r="55" spans="1:12">
      <c r="A55" s="65" t="s">
        <v>645</v>
      </c>
      <c r="B55" s="63"/>
      <c r="C55" s="68"/>
      <c r="D55" s="75"/>
      <c r="E55" s="63"/>
      <c r="F55" s="298">
        <f t="shared" si="1"/>
        <v>0</v>
      </c>
      <c r="G55" s="76"/>
      <c r="H55" s="67"/>
      <c r="I55" s="68"/>
      <c r="J55" s="69"/>
      <c r="K55" s="61"/>
      <c r="L55" s="61"/>
    </row>
    <row r="56" spans="1:12">
      <c r="A56" s="63" t="s">
        <v>646</v>
      </c>
      <c r="B56" s="63">
        <v>1</v>
      </c>
      <c r="C56" s="68">
        <v>2144</v>
      </c>
      <c r="D56" s="75">
        <f t="shared" si="0"/>
        <v>12.761904761904763</v>
      </c>
      <c r="E56" s="63">
        <v>3</v>
      </c>
      <c r="F56" s="298">
        <f t="shared" si="1"/>
        <v>153.14285714285717</v>
      </c>
      <c r="G56" s="76">
        <v>1500</v>
      </c>
      <c r="H56" s="67">
        <f t="shared" si="2"/>
        <v>3337.7142857142862</v>
      </c>
      <c r="I56" s="68">
        <f t="shared" si="3"/>
        <v>23364.000000000004</v>
      </c>
      <c r="J56" s="69">
        <f t="shared" si="4"/>
        <v>23364.000000000004</v>
      </c>
      <c r="K56" s="61"/>
      <c r="L56" s="61"/>
    </row>
    <row r="57" spans="1:12">
      <c r="A57" s="65" t="s">
        <v>648</v>
      </c>
      <c r="B57" s="63"/>
      <c r="C57" s="68"/>
      <c r="D57" s="75"/>
      <c r="E57" s="63"/>
      <c r="F57" s="298">
        <f t="shared" si="1"/>
        <v>0</v>
      </c>
      <c r="G57" s="76"/>
      <c r="H57" s="67"/>
      <c r="I57" s="68"/>
      <c r="J57" s="69"/>
      <c r="K57" s="61"/>
      <c r="L57" s="61"/>
    </row>
    <row r="58" spans="1:12">
      <c r="A58" s="66" t="s">
        <v>649</v>
      </c>
      <c r="B58" s="63">
        <v>1</v>
      </c>
      <c r="C58" s="68">
        <v>3324</v>
      </c>
      <c r="D58" s="75">
        <f t="shared" si="0"/>
        <v>19.785714285714285</v>
      </c>
      <c r="E58" s="63">
        <v>1</v>
      </c>
      <c r="F58" s="298">
        <f t="shared" si="1"/>
        <v>79.142857142857139</v>
      </c>
      <c r="G58" s="76">
        <v>4000</v>
      </c>
      <c r="H58" s="67">
        <f t="shared" si="2"/>
        <v>4949.7142857142853</v>
      </c>
      <c r="I58" s="68">
        <f t="shared" si="3"/>
        <v>34648</v>
      </c>
      <c r="J58" s="69">
        <f t="shared" si="4"/>
        <v>34648</v>
      </c>
      <c r="K58" s="59" t="s">
        <v>651</v>
      </c>
      <c r="L58" s="59" t="s">
        <v>652</v>
      </c>
    </row>
    <row r="59" spans="1:12">
      <c r="A59" s="63" t="s">
        <v>650</v>
      </c>
      <c r="B59" s="63">
        <v>1</v>
      </c>
      <c r="C59" s="68">
        <v>2761</v>
      </c>
      <c r="D59" s="75">
        <f t="shared" si="0"/>
        <v>16.43452380952381</v>
      </c>
      <c r="E59" s="63">
        <v>1</v>
      </c>
      <c r="F59" s="298">
        <f t="shared" si="1"/>
        <v>65.738095238095241</v>
      </c>
      <c r="G59" s="76">
        <v>3000</v>
      </c>
      <c r="H59" s="67">
        <f t="shared" si="2"/>
        <v>3788.8571428571431</v>
      </c>
      <c r="I59" s="68">
        <f t="shared" si="3"/>
        <v>26522</v>
      </c>
      <c r="J59" s="69">
        <f t="shared" si="4"/>
        <v>26522</v>
      </c>
      <c r="K59" s="81">
        <f>SUM(J4:J59)</f>
        <v>5813614</v>
      </c>
      <c r="L59" s="81">
        <f>K59/4.5</f>
        <v>1291914.2222222222</v>
      </c>
    </row>
    <row r="60" spans="1:12">
      <c r="A60" s="60" t="s">
        <v>654</v>
      </c>
      <c r="B60" s="60"/>
      <c r="C60" s="60"/>
      <c r="D60" s="60"/>
      <c r="E60" s="60"/>
      <c r="F60" s="60"/>
      <c r="G60" s="60"/>
      <c r="H60" s="60"/>
      <c r="I60" s="60"/>
      <c r="J60" s="60"/>
      <c r="K60" s="59" t="s">
        <v>651</v>
      </c>
      <c r="L60" s="59" t="s">
        <v>652</v>
      </c>
    </row>
    <row r="61" spans="1:12">
      <c r="A61" s="63" t="s">
        <v>655</v>
      </c>
      <c r="B61" s="63">
        <v>4</v>
      </c>
      <c r="C61" s="63"/>
      <c r="D61" s="63"/>
      <c r="E61" s="63"/>
      <c r="F61" s="68">
        <v>20000</v>
      </c>
      <c r="G61" s="76"/>
      <c r="H61" s="67">
        <f>(F61*12)+G61</f>
        <v>240000</v>
      </c>
      <c r="I61" s="68">
        <f t="shared" si="3"/>
        <v>1680000</v>
      </c>
      <c r="J61" s="69">
        <f>I61*B61</f>
        <v>6720000</v>
      </c>
      <c r="K61" s="81">
        <f>J61</f>
        <v>6720000</v>
      </c>
      <c r="L61" s="81">
        <f>K61/4.5</f>
        <v>1493333.3333333333</v>
      </c>
    </row>
    <row r="62" spans="1:12">
      <c r="A62" s="60" t="s">
        <v>656</v>
      </c>
      <c r="B62" s="60"/>
      <c r="C62" s="60"/>
      <c r="D62" s="60"/>
      <c r="E62" s="60"/>
      <c r="F62" s="60"/>
      <c r="G62" s="60"/>
      <c r="H62" s="60"/>
      <c r="I62" s="60"/>
      <c r="J62" s="60"/>
      <c r="K62" s="61"/>
      <c r="L62" s="61"/>
    </row>
    <row r="63" spans="1:12">
      <c r="A63" s="64" t="s">
        <v>681</v>
      </c>
      <c r="B63" s="63">
        <v>1</v>
      </c>
      <c r="C63" s="63"/>
      <c r="D63" s="63"/>
      <c r="E63" s="63"/>
      <c r="F63" s="68">
        <v>600</v>
      </c>
      <c r="G63" s="76"/>
      <c r="H63" s="67">
        <f>(F63*12)+G63</f>
        <v>7200</v>
      </c>
      <c r="I63" s="68">
        <f t="shared" si="3"/>
        <v>50400</v>
      </c>
      <c r="J63" s="69">
        <f>I63*B63</f>
        <v>50400</v>
      </c>
      <c r="K63" s="61"/>
      <c r="L63" s="61"/>
    </row>
    <row r="64" spans="1:12" ht="19.5" customHeight="1">
      <c r="A64" s="64" t="s">
        <v>682</v>
      </c>
      <c r="B64" s="63">
        <v>3</v>
      </c>
      <c r="C64" s="63"/>
      <c r="D64" s="63"/>
      <c r="E64" s="63"/>
      <c r="F64" s="68">
        <v>400</v>
      </c>
      <c r="G64" s="76"/>
      <c r="H64" s="67">
        <f>(F64*12)+G64</f>
        <v>4800</v>
      </c>
      <c r="I64" s="68">
        <f t="shared" si="3"/>
        <v>33600</v>
      </c>
      <c r="J64" s="69">
        <f>I64*B64</f>
        <v>100800</v>
      </c>
      <c r="K64" s="59" t="s">
        <v>651</v>
      </c>
      <c r="L64" s="59" t="s">
        <v>652</v>
      </c>
    </row>
    <row r="65" spans="1:12">
      <c r="A65" s="63" t="s">
        <v>683</v>
      </c>
      <c r="B65" s="63">
        <v>8</v>
      </c>
      <c r="C65" s="63"/>
      <c r="D65" s="63"/>
      <c r="E65" s="63"/>
      <c r="F65" s="68">
        <v>200</v>
      </c>
      <c r="G65" s="76"/>
      <c r="H65" s="67">
        <f>(F65*12)+G65</f>
        <v>2400</v>
      </c>
      <c r="I65" s="68">
        <f t="shared" si="3"/>
        <v>16800</v>
      </c>
      <c r="J65" s="69">
        <f>I65*B65</f>
        <v>134400</v>
      </c>
      <c r="K65" s="81">
        <f>SUM(J63:J65)</f>
        <v>285600</v>
      </c>
      <c r="L65" s="81">
        <f>K65/4.5</f>
        <v>63466.666666666664</v>
      </c>
    </row>
    <row r="66" spans="1:12">
      <c r="A66" s="483" t="s">
        <v>660</v>
      </c>
      <c r="B66" s="483"/>
      <c r="C66" s="483"/>
      <c r="D66" s="483"/>
      <c r="E66" s="483"/>
      <c r="F66" s="483"/>
      <c r="G66" s="483"/>
      <c r="H66" s="483"/>
      <c r="I66" s="483"/>
      <c r="J66" s="77">
        <f>SUM(J4:J65)</f>
        <v>12819214</v>
      </c>
      <c r="K66" s="61"/>
      <c r="L66" s="61"/>
    </row>
    <row r="67" spans="1:12">
      <c r="A67" s="483" t="s">
        <v>661</v>
      </c>
      <c r="B67" s="483"/>
      <c r="C67" s="483"/>
      <c r="D67" s="483"/>
      <c r="E67" s="483"/>
      <c r="F67" s="483"/>
      <c r="G67" s="483"/>
      <c r="H67" s="483"/>
      <c r="I67" s="483"/>
      <c r="J67" s="77">
        <f>J66/4.5</f>
        <v>2848714.222222222</v>
      </c>
      <c r="K67" s="61"/>
      <c r="L67" s="61"/>
    </row>
  </sheetData>
  <mergeCells count="3">
    <mergeCell ref="A2:J2"/>
    <mergeCell ref="A66:I66"/>
    <mergeCell ref="A67:I6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7"/>
  <sheetViews>
    <sheetView workbookViewId="0">
      <selection activeCell="D7" sqref="D7"/>
    </sheetView>
  </sheetViews>
  <sheetFormatPr defaultRowHeight="14.5"/>
  <cols>
    <col min="1" max="2" width="35.1796875" customWidth="1"/>
    <col min="3" max="3" width="29.81640625" customWidth="1"/>
    <col min="4" max="4" width="26.81640625" customWidth="1"/>
  </cols>
  <sheetData>
    <row r="1" spans="1:4" ht="29">
      <c r="A1" s="55"/>
      <c r="B1" s="55"/>
      <c r="C1" s="55"/>
      <c r="D1" s="72" t="s">
        <v>684</v>
      </c>
    </row>
    <row r="2" spans="1:4" ht="60.65" customHeight="1">
      <c r="A2" s="486" t="s">
        <v>685</v>
      </c>
      <c r="B2" s="105" t="s">
        <v>686</v>
      </c>
      <c r="C2" s="105" t="s">
        <v>34</v>
      </c>
      <c r="D2" s="104">
        <v>90000</v>
      </c>
    </row>
    <row r="3" spans="1:4">
      <c r="A3" s="486"/>
      <c r="B3" s="485" t="s">
        <v>687</v>
      </c>
      <c r="C3" s="487" t="s">
        <v>40</v>
      </c>
      <c r="D3" s="485">
        <v>160000</v>
      </c>
    </row>
    <row r="4" spans="1:4">
      <c r="A4" s="486"/>
      <c r="B4" s="485"/>
      <c r="C4" s="488"/>
      <c r="D4" s="485"/>
    </row>
    <row r="5" spans="1:4">
      <c r="A5" s="486"/>
      <c r="B5" s="485"/>
      <c r="C5" s="488"/>
      <c r="D5" s="485"/>
    </row>
    <row r="6" spans="1:4">
      <c r="A6" s="486"/>
      <c r="B6" s="485"/>
      <c r="C6" s="489"/>
      <c r="D6" s="485"/>
    </row>
    <row r="7" spans="1:4">
      <c r="A7" s="89"/>
      <c r="B7" s="89"/>
      <c r="C7" s="89"/>
      <c r="D7" s="131">
        <f>SUM(D2:D6)</f>
        <v>250000</v>
      </c>
    </row>
  </sheetData>
  <mergeCells count="4">
    <mergeCell ref="D3:D6"/>
    <mergeCell ref="B3:B6"/>
    <mergeCell ref="A2:A6"/>
    <mergeCell ref="C3:C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46A9F-0CD4-41AD-AD5D-4B511211A1FB}">
  <dimension ref="A1:M527"/>
  <sheetViews>
    <sheetView topLeftCell="A33" zoomScale="70" zoomScaleNormal="70" workbookViewId="0">
      <selection activeCell="N81" sqref="N81"/>
    </sheetView>
  </sheetViews>
  <sheetFormatPr defaultColWidth="14" defaultRowHeight="14.5"/>
  <cols>
    <col min="1" max="2" width="3.54296875" customWidth="1"/>
    <col min="3" max="3" width="52.81640625" customWidth="1"/>
    <col min="4" max="4" width="3.54296875" customWidth="1"/>
  </cols>
  <sheetData>
    <row r="1" spans="1:12" s="184" customFormat="1" ht="19.399999999999999" customHeight="1" thickBot="1">
      <c r="A1" s="184" t="s">
        <v>688</v>
      </c>
      <c r="E1" s="185" t="s">
        <v>689</v>
      </c>
      <c r="F1" s="186">
        <v>1</v>
      </c>
      <c r="G1" s="186">
        <f>F1+1</f>
        <v>2</v>
      </c>
      <c r="H1" s="186">
        <f>G1+1</f>
        <v>3</v>
      </c>
      <c r="I1" s="186">
        <f>H1+1</f>
        <v>4</v>
      </c>
      <c r="J1" s="186">
        <f>I1+1</f>
        <v>5</v>
      </c>
    </row>
    <row r="2" spans="1:12">
      <c r="E2" s="187"/>
      <c r="F2" s="187"/>
      <c r="G2" s="187"/>
      <c r="H2" s="187"/>
      <c r="I2" s="187"/>
      <c r="J2" s="187"/>
      <c r="K2" s="187"/>
      <c r="L2" s="187"/>
    </row>
    <row r="3" spans="1:12" ht="15.5">
      <c r="A3" s="188" t="s">
        <v>690</v>
      </c>
      <c r="B3" s="189"/>
      <c r="C3" s="189"/>
      <c r="D3" s="189"/>
      <c r="E3" s="190"/>
      <c r="F3" s="190"/>
      <c r="G3" s="190"/>
      <c r="H3" s="190"/>
      <c r="I3" s="190"/>
      <c r="J3" s="190"/>
      <c r="K3" s="187"/>
      <c r="L3" s="187"/>
    </row>
    <row r="4" spans="1:12">
      <c r="A4" s="189"/>
      <c r="B4" s="189"/>
      <c r="C4" s="189"/>
      <c r="D4" s="189"/>
      <c r="E4" s="190"/>
      <c r="F4" s="190"/>
      <c r="G4" s="190"/>
      <c r="H4" s="190"/>
      <c r="I4" s="190"/>
      <c r="J4" s="190"/>
      <c r="K4" s="187"/>
      <c r="L4" s="187"/>
    </row>
    <row r="5" spans="1:12" s="194" customFormat="1" ht="15.5">
      <c r="A5" s="191" t="s">
        <v>691</v>
      </c>
      <c r="B5" s="191"/>
      <c r="C5" s="191"/>
      <c r="D5" s="191"/>
      <c r="E5" s="192"/>
      <c r="F5" s="192"/>
      <c r="G5" s="192"/>
      <c r="H5" s="192"/>
      <c r="I5" s="192"/>
      <c r="J5" s="192"/>
      <c r="K5" s="193"/>
      <c r="L5" s="193"/>
    </row>
    <row r="6" spans="1:12" s="262" customFormat="1">
      <c r="B6" s="262" t="s">
        <v>692</v>
      </c>
      <c r="E6" s="263"/>
      <c r="F6" s="263"/>
      <c r="G6" s="263"/>
      <c r="H6" s="263"/>
      <c r="I6" s="263"/>
      <c r="J6" s="263"/>
      <c r="K6" s="264"/>
      <c r="L6" s="264"/>
    </row>
    <row r="7" spans="1:12" ht="15.5">
      <c r="A7" s="189"/>
      <c r="B7" s="189"/>
      <c r="C7" s="189" t="s">
        <v>693</v>
      </c>
      <c r="D7" s="189"/>
      <c r="E7" s="196">
        <f>SUM(F7:J7)</f>
        <v>2</v>
      </c>
      <c r="F7" s="197">
        <v>2</v>
      </c>
      <c r="G7" s="197">
        <v>0</v>
      </c>
      <c r="H7" s="197">
        <v>0</v>
      </c>
      <c r="I7" s="197">
        <v>0</v>
      </c>
      <c r="J7" s="197">
        <v>0</v>
      </c>
      <c r="K7" s="187"/>
      <c r="L7" s="187"/>
    </row>
    <row r="8" spans="1:12" ht="15.5">
      <c r="A8" s="189"/>
      <c r="B8" s="189"/>
      <c r="C8" s="189" t="s">
        <v>694</v>
      </c>
      <c r="D8" s="189"/>
      <c r="E8" s="197">
        <v>2</v>
      </c>
      <c r="F8" s="195">
        <f>E8</f>
        <v>2</v>
      </c>
      <c r="G8" s="195">
        <f>F8</f>
        <v>2</v>
      </c>
      <c r="H8" s="195">
        <f>G8</f>
        <v>2</v>
      </c>
      <c r="I8" s="195">
        <f>H8</f>
        <v>2</v>
      </c>
      <c r="J8" s="195">
        <f>I8</f>
        <v>2</v>
      </c>
      <c r="K8" s="187"/>
      <c r="L8" s="187"/>
    </row>
    <row r="9" spans="1:12" ht="15.5">
      <c r="A9" s="189"/>
      <c r="B9" s="189"/>
      <c r="C9" s="189" t="s">
        <v>695</v>
      </c>
      <c r="D9" s="189"/>
      <c r="E9" s="197">
        <v>3</v>
      </c>
      <c r="F9" s="195">
        <f t="shared" ref="F9:J10" si="0">E9</f>
        <v>3</v>
      </c>
      <c r="G9" s="195">
        <f t="shared" si="0"/>
        <v>3</v>
      </c>
      <c r="H9" s="195">
        <f t="shared" si="0"/>
        <v>3</v>
      </c>
      <c r="I9" s="195">
        <f t="shared" si="0"/>
        <v>3</v>
      </c>
      <c r="J9" s="195">
        <f t="shared" si="0"/>
        <v>3</v>
      </c>
      <c r="K9" s="187"/>
      <c r="L9" s="187"/>
    </row>
    <row r="10" spans="1:12" ht="15.5">
      <c r="A10" s="189"/>
      <c r="B10" s="189"/>
      <c r="C10" s="189" t="s">
        <v>696</v>
      </c>
      <c r="D10" s="189"/>
      <c r="E10" s="197">
        <v>800</v>
      </c>
      <c r="F10" s="195">
        <f t="shared" si="0"/>
        <v>800</v>
      </c>
      <c r="G10" s="195">
        <f t="shared" si="0"/>
        <v>800</v>
      </c>
      <c r="H10" s="195">
        <f t="shared" si="0"/>
        <v>800</v>
      </c>
      <c r="I10" s="195">
        <f t="shared" si="0"/>
        <v>800</v>
      </c>
      <c r="J10" s="195">
        <f t="shared" si="0"/>
        <v>800</v>
      </c>
      <c r="K10" s="187"/>
      <c r="L10" s="187"/>
    </row>
    <row r="11" spans="1:12" ht="15.5">
      <c r="A11" s="189"/>
      <c r="B11" s="189"/>
      <c r="C11" s="189" t="s">
        <v>608</v>
      </c>
      <c r="D11" s="189"/>
      <c r="E11" s="198">
        <f>E10*E9*(E7+E8)</f>
        <v>9600</v>
      </c>
      <c r="F11" s="198">
        <f>F10*F9*(F7+F8)</f>
        <v>9600</v>
      </c>
      <c r="G11" s="199">
        <v>0</v>
      </c>
      <c r="H11" s="199">
        <v>0</v>
      </c>
      <c r="I11" s="199">
        <v>0</v>
      </c>
      <c r="J11" s="199">
        <v>0</v>
      </c>
      <c r="K11" s="187"/>
      <c r="L11" s="187"/>
    </row>
    <row r="12" spans="1:12" s="262" customFormat="1">
      <c r="B12" s="262" t="s">
        <v>697</v>
      </c>
      <c r="E12" s="263"/>
      <c r="F12" s="263"/>
      <c r="G12" s="263"/>
      <c r="H12" s="263"/>
      <c r="I12" s="263"/>
      <c r="J12" s="263"/>
      <c r="K12" s="264"/>
      <c r="L12" s="264"/>
    </row>
    <row r="13" spans="1:12" ht="15.5">
      <c r="A13" s="189"/>
      <c r="B13" s="189"/>
      <c r="C13" s="189" t="s">
        <v>698</v>
      </c>
      <c r="D13" s="189"/>
      <c r="E13" s="197">
        <v>1500</v>
      </c>
      <c r="F13" s="195">
        <f>E13</f>
        <v>1500</v>
      </c>
      <c r="G13" s="195">
        <f>F13</f>
        <v>1500</v>
      </c>
      <c r="H13" s="195">
        <f>G13</f>
        <v>1500</v>
      </c>
      <c r="I13" s="195">
        <f>H13</f>
        <v>1500</v>
      </c>
      <c r="J13" s="195">
        <f>I13</f>
        <v>1500</v>
      </c>
      <c r="K13" s="187"/>
      <c r="L13" s="187"/>
    </row>
    <row r="14" spans="1:12" ht="15.5">
      <c r="A14" s="189"/>
      <c r="B14" s="189"/>
      <c r="C14" s="189" t="s">
        <v>699</v>
      </c>
      <c r="D14" s="189"/>
      <c r="E14" s="198">
        <f>E13*E9</f>
        <v>4500</v>
      </c>
      <c r="F14" s="198">
        <f>F13*F9</f>
        <v>4500</v>
      </c>
      <c r="G14" s="199">
        <v>0</v>
      </c>
      <c r="H14" s="199">
        <v>0</v>
      </c>
      <c r="I14" s="199">
        <v>0</v>
      </c>
      <c r="J14" s="199">
        <v>0</v>
      </c>
      <c r="K14" s="187"/>
      <c r="L14" s="187"/>
    </row>
    <row r="15" spans="1:12" s="262" customFormat="1">
      <c r="B15" s="262" t="s">
        <v>700</v>
      </c>
      <c r="E15" s="263"/>
      <c r="F15" s="263"/>
      <c r="G15" s="263"/>
      <c r="H15" s="263"/>
      <c r="I15" s="263"/>
      <c r="J15" s="263"/>
      <c r="K15" s="264"/>
      <c r="L15" s="264"/>
    </row>
    <row r="16" spans="1:12" ht="15.5">
      <c r="A16" s="189"/>
      <c r="B16" s="189"/>
      <c r="C16" s="189" t="s">
        <v>701</v>
      </c>
      <c r="D16" s="189"/>
      <c r="E16" s="197">
        <v>250</v>
      </c>
      <c r="F16" s="195">
        <f>E16</f>
        <v>250</v>
      </c>
      <c r="G16" s="195">
        <f>F16</f>
        <v>250</v>
      </c>
      <c r="H16" s="195">
        <f>G16</f>
        <v>250</v>
      </c>
      <c r="I16" s="195">
        <f>H16</f>
        <v>250</v>
      </c>
      <c r="J16" s="195">
        <f>I16</f>
        <v>250</v>
      </c>
      <c r="K16" s="187"/>
      <c r="L16" s="187"/>
    </row>
    <row r="17" spans="1:12">
      <c r="A17" s="189"/>
      <c r="B17" s="189"/>
      <c r="C17" s="189" t="s">
        <v>699</v>
      </c>
      <c r="D17" s="189"/>
      <c r="E17" s="198">
        <f t="shared" ref="E17:J17" si="1">E16*E9*E7</f>
        <v>1500</v>
      </c>
      <c r="F17" s="198">
        <f t="shared" si="1"/>
        <v>1500</v>
      </c>
      <c r="G17" s="198">
        <f t="shared" si="1"/>
        <v>0</v>
      </c>
      <c r="H17" s="198">
        <f t="shared" si="1"/>
        <v>0</v>
      </c>
      <c r="I17" s="198">
        <f t="shared" si="1"/>
        <v>0</v>
      </c>
      <c r="J17" s="198">
        <f t="shared" si="1"/>
        <v>0</v>
      </c>
      <c r="K17" s="187"/>
      <c r="L17" s="187"/>
    </row>
    <row r="18" spans="1:12" s="262" customFormat="1">
      <c r="B18" s="262" t="s">
        <v>702</v>
      </c>
      <c r="E18" s="263"/>
      <c r="F18" s="263"/>
      <c r="G18" s="263"/>
      <c r="H18" s="263"/>
      <c r="I18" s="263"/>
      <c r="J18" s="263"/>
      <c r="K18" s="264"/>
      <c r="L18" s="264"/>
    </row>
    <row r="19" spans="1:12" ht="15.5">
      <c r="A19" s="189"/>
      <c r="B19" s="189"/>
      <c r="C19" s="189" t="s">
        <v>703</v>
      </c>
      <c r="D19" s="189"/>
      <c r="E19" s="197">
        <v>100</v>
      </c>
      <c r="F19" s="195">
        <f t="shared" ref="F19:J20" si="2">E19</f>
        <v>100</v>
      </c>
      <c r="G19" s="195">
        <f t="shared" si="2"/>
        <v>100</v>
      </c>
      <c r="H19" s="195">
        <f t="shared" si="2"/>
        <v>100</v>
      </c>
      <c r="I19" s="195">
        <f t="shared" si="2"/>
        <v>100</v>
      </c>
      <c r="J19" s="195">
        <f t="shared" si="2"/>
        <v>100</v>
      </c>
      <c r="K19" s="187"/>
      <c r="L19" s="187"/>
    </row>
    <row r="20" spans="1:12" ht="15.5">
      <c r="A20" s="189"/>
      <c r="B20" s="189"/>
      <c r="C20" s="189" t="s">
        <v>704</v>
      </c>
      <c r="D20" s="189"/>
      <c r="E20" s="197">
        <v>50</v>
      </c>
      <c r="F20" s="195">
        <f t="shared" si="2"/>
        <v>50</v>
      </c>
      <c r="G20" s="195">
        <f t="shared" si="2"/>
        <v>50</v>
      </c>
      <c r="H20" s="195">
        <f t="shared" si="2"/>
        <v>50</v>
      </c>
      <c r="I20" s="195">
        <f t="shared" si="2"/>
        <v>50</v>
      </c>
      <c r="J20" s="195">
        <f t="shared" si="2"/>
        <v>50</v>
      </c>
      <c r="K20" s="187"/>
      <c r="L20" s="187"/>
    </row>
    <row r="21" spans="1:12" ht="15.5">
      <c r="A21" s="189"/>
      <c r="B21" s="189"/>
      <c r="C21" s="189" t="s">
        <v>699</v>
      </c>
      <c r="D21" s="189"/>
      <c r="E21" s="198">
        <f>E19*E9*2+E20*E9*2</f>
        <v>900</v>
      </c>
      <c r="F21" s="198">
        <f>F19*F9*2+F20*F9*2</f>
        <v>900</v>
      </c>
      <c r="G21" s="199">
        <v>0</v>
      </c>
      <c r="H21" s="199">
        <v>0</v>
      </c>
      <c r="I21" s="199">
        <v>0</v>
      </c>
      <c r="J21" s="199">
        <v>0</v>
      </c>
      <c r="K21" s="187"/>
      <c r="L21" s="187"/>
    </row>
    <row r="22" spans="1:12" s="262" customFormat="1" ht="15.5">
      <c r="B22" s="262" t="s">
        <v>705</v>
      </c>
      <c r="E22" s="269"/>
      <c r="F22" s="263"/>
      <c r="G22" s="263"/>
      <c r="H22" s="263"/>
      <c r="I22" s="263"/>
      <c r="J22" s="263"/>
      <c r="K22" s="264"/>
      <c r="L22" s="264"/>
    </row>
    <row r="23" spans="1:12" ht="15.5">
      <c r="A23" s="189"/>
      <c r="B23" s="189"/>
      <c r="C23" s="189" t="s">
        <v>706</v>
      </c>
      <c r="D23" s="189"/>
      <c r="E23" s="197">
        <v>150</v>
      </c>
      <c r="F23" s="195">
        <f>E23</f>
        <v>150</v>
      </c>
      <c r="G23" s="195">
        <f>F23</f>
        <v>150</v>
      </c>
      <c r="H23" s="195">
        <f>G23</f>
        <v>150</v>
      </c>
      <c r="I23" s="195">
        <f>H23</f>
        <v>150</v>
      </c>
      <c r="J23" s="195">
        <f>I23</f>
        <v>150</v>
      </c>
      <c r="K23" s="187"/>
      <c r="L23" s="187"/>
    </row>
    <row r="24" spans="1:12" ht="15.5">
      <c r="A24" s="189"/>
      <c r="B24" s="189"/>
      <c r="C24" s="189" t="s">
        <v>699</v>
      </c>
      <c r="D24" s="189"/>
      <c r="E24" s="200">
        <f>E23*E9</f>
        <v>450</v>
      </c>
      <c r="F24" s="200">
        <f>F23*F9</f>
        <v>450</v>
      </c>
      <c r="G24" s="199">
        <v>0</v>
      </c>
      <c r="H24" s="199">
        <v>0</v>
      </c>
      <c r="I24" s="199">
        <v>0</v>
      </c>
      <c r="J24" s="199">
        <v>0</v>
      </c>
      <c r="K24" s="187"/>
      <c r="L24" s="187"/>
    </row>
    <row r="25" spans="1:12" s="262" customFormat="1">
      <c r="B25" s="262" t="s">
        <v>707</v>
      </c>
      <c r="E25" s="263"/>
      <c r="F25" s="263"/>
      <c r="G25" s="263"/>
      <c r="H25" s="263"/>
      <c r="I25" s="263"/>
      <c r="J25" s="263"/>
      <c r="K25" s="264"/>
      <c r="L25" s="264"/>
    </row>
    <row r="26" spans="1:12" ht="15.5">
      <c r="A26" s="189"/>
      <c r="B26" s="189"/>
      <c r="C26" s="189" t="s">
        <v>708</v>
      </c>
      <c r="D26" s="189"/>
      <c r="E26" s="197">
        <v>3000</v>
      </c>
      <c r="F26" s="195">
        <f>E26</f>
        <v>3000</v>
      </c>
      <c r="G26" s="195">
        <f>F26</f>
        <v>3000</v>
      </c>
      <c r="H26" s="195">
        <f>G26</f>
        <v>3000</v>
      </c>
      <c r="I26" s="195">
        <f>H26</f>
        <v>3000</v>
      </c>
      <c r="J26" s="195">
        <f>I26</f>
        <v>3000</v>
      </c>
      <c r="K26" s="187" t="s">
        <v>709</v>
      </c>
      <c r="L26" s="187">
        <f>SUM(2*(E26+E29*E30))</f>
        <v>8400</v>
      </c>
    </row>
    <row r="27" spans="1:12">
      <c r="A27" s="189"/>
      <c r="B27" s="189"/>
      <c r="C27" s="189" t="s">
        <v>699</v>
      </c>
      <c r="D27" s="189"/>
      <c r="E27" s="198">
        <f t="shared" ref="E27:J27" si="3">E7*E26</f>
        <v>6000</v>
      </c>
      <c r="F27" s="198">
        <f t="shared" si="3"/>
        <v>6000</v>
      </c>
      <c r="G27" s="198">
        <f t="shared" si="3"/>
        <v>0</v>
      </c>
      <c r="H27" s="198">
        <f t="shared" si="3"/>
        <v>0</v>
      </c>
      <c r="I27" s="198">
        <f t="shared" si="3"/>
        <v>0</v>
      </c>
      <c r="J27" s="198">
        <f t="shared" si="3"/>
        <v>0</v>
      </c>
      <c r="K27" s="187"/>
      <c r="L27" s="187"/>
    </row>
    <row r="28" spans="1:12" s="262" customFormat="1">
      <c r="B28" s="262" t="s">
        <v>710</v>
      </c>
      <c r="E28" s="263"/>
      <c r="F28" s="263"/>
      <c r="G28" s="263"/>
      <c r="H28" s="263"/>
      <c r="I28" s="263"/>
      <c r="J28" s="263"/>
      <c r="K28" s="264"/>
      <c r="L28" s="264"/>
    </row>
    <row r="29" spans="1:12" ht="15.5">
      <c r="A29" s="189"/>
      <c r="B29" s="189"/>
      <c r="C29" s="189" t="s">
        <v>711</v>
      </c>
      <c r="D29" s="189"/>
      <c r="E29" s="197">
        <v>40</v>
      </c>
      <c r="F29" s="195">
        <f t="shared" ref="F29:J30" si="4">E29</f>
        <v>40</v>
      </c>
      <c r="G29" s="195">
        <f t="shared" si="4"/>
        <v>40</v>
      </c>
      <c r="H29" s="195">
        <f t="shared" si="4"/>
        <v>40</v>
      </c>
      <c r="I29" s="195">
        <f t="shared" si="4"/>
        <v>40</v>
      </c>
      <c r="J29" s="195">
        <f t="shared" si="4"/>
        <v>40</v>
      </c>
      <c r="K29" s="187"/>
      <c r="L29" s="187"/>
    </row>
    <row r="30" spans="1:12" ht="15.5">
      <c r="A30" s="189"/>
      <c r="B30" s="189"/>
      <c r="C30" s="189" t="s">
        <v>712</v>
      </c>
      <c r="D30" s="189"/>
      <c r="E30" s="197">
        <v>30</v>
      </c>
      <c r="F30" s="195">
        <f t="shared" si="4"/>
        <v>30</v>
      </c>
      <c r="G30" s="195">
        <f t="shared" si="4"/>
        <v>30</v>
      </c>
      <c r="H30" s="195">
        <f t="shared" si="4"/>
        <v>30</v>
      </c>
      <c r="I30" s="195">
        <f t="shared" si="4"/>
        <v>30</v>
      </c>
      <c r="J30" s="195">
        <f t="shared" si="4"/>
        <v>30</v>
      </c>
      <c r="K30" s="187"/>
      <c r="L30" s="187"/>
    </row>
    <row r="31" spans="1:12">
      <c r="A31" s="189"/>
      <c r="B31" s="189"/>
      <c r="C31" s="189" t="s">
        <v>699</v>
      </c>
      <c r="D31" s="189"/>
      <c r="E31" s="198">
        <f t="shared" ref="E31:J31" si="5">E29*E30*E7</f>
        <v>2400</v>
      </c>
      <c r="F31" s="198">
        <f t="shared" si="5"/>
        <v>2400</v>
      </c>
      <c r="G31" s="198">
        <f t="shared" si="5"/>
        <v>0</v>
      </c>
      <c r="H31" s="198">
        <f t="shared" si="5"/>
        <v>0</v>
      </c>
      <c r="I31" s="198">
        <f t="shared" si="5"/>
        <v>0</v>
      </c>
      <c r="J31" s="198">
        <f t="shared" si="5"/>
        <v>0</v>
      </c>
      <c r="K31" s="187"/>
      <c r="L31" s="187"/>
    </row>
    <row r="32" spans="1:12" s="262" customFormat="1">
      <c r="B32" s="262" t="s">
        <v>713</v>
      </c>
      <c r="E32" s="263"/>
      <c r="F32" s="263"/>
      <c r="G32" s="263"/>
      <c r="H32" s="263"/>
      <c r="I32" s="263"/>
      <c r="J32" s="263"/>
      <c r="K32" s="264" t="s">
        <v>714</v>
      </c>
      <c r="L32" s="264">
        <f>SUM(E33+E34)</f>
        <v>250</v>
      </c>
    </row>
    <row r="33" spans="1:12" ht="15.5">
      <c r="A33" s="189"/>
      <c r="B33" s="189"/>
      <c r="C33" s="189" t="s">
        <v>715</v>
      </c>
      <c r="D33" s="189"/>
      <c r="E33" s="197">
        <v>100</v>
      </c>
      <c r="F33" s="195">
        <f t="shared" ref="F33:J34" si="6">E33</f>
        <v>100</v>
      </c>
      <c r="G33" s="195">
        <f t="shared" si="6"/>
        <v>100</v>
      </c>
      <c r="H33" s="195">
        <f t="shared" si="6"/>
        <v>100</v>
      </c>
      <c r="I33" s="195">
        <f t="shared" si="6"/>
        <v>100</v>
      </c>
      <c r="J33" s="195">
        <f t="shared" si="6"/>
        <v>100</v>
      </c>
      <c r="K33" s="187"/>
      <c r="L33" s="187"/>
    </row>
    <row r="34" spans="1:12" ht="15.5">
      <c r="A34" s="189"/>
      <c r="B34" s="189"/>
      <c r="C34" s="189" t="s">
        <v>716</v>
      </c>
      <c r="D34" s="189"/>
      <c r="E34" s="197">
        <v>150</v>
      </c>
      <c r="F34" s="195">
        <f t="shared" si="6"/>
        <v>150</v>
      </c>
      <c r="G34" s="195">
        <f t="shared" si="6"/>
        <v>150</v>
      </c>
      <c r="H34" s="195">
        <f t="shared" si="6"/>
        <v>150</v>
      </c>
      <c r="I34" s="195">
        <f t="shared" si="6"/>
        <v>150</v>
      </c>
      <c r="J34" s="195">
        <f t="shared" si="6"/>
        <v>150</v>
      </c>
      <c r="K34" s="187"/>
      <c r="L34" s="187"/>
    </row>
    <row r="35" spans="1:12" ht="15.5">
      <c r="A35" s="189"/>
      <c r="B35" s="189"/>
      <c r="C35" s="189" t="s">
        <v>699</v>
      </c>
      <c r="D35" s="189"/>
      <c r="E35" s="198">
        <f>E33*E29+E34*E29</f>
        <v>10000</v>
      </c>
      <c r="F35" s="198">
        <f>F33*F29+F34*F29</f>
        <v>10000</v>
      </c>
      <c r="G35" s="199">
        <v>0</v>
      </c>
      <c r="H35" s="199">
        <v>0</v>
      </c>
      <c r="I35" s="199">
        <v>0</v>
      </c>
      <c r="J35" s="199">
        <v>0</v>
      </c>
      <c r="K35" s="187"/>
      <c r="L35" s="187"/>
    </row>
    <row r="36" spans="1:12" s="270" customFormat="1" ht="15.5">
      <c r="B36" s="270" t="s">
        <v>699</v>
      </c>
      <c r="E36" s="271">
        <f t="shared" ref="E36:J36" si="7">E11+E14+E17+E21+E24+E27+E31+E35</f>
        <v>35350</v>
      </c>
      <c r="F36" s="271">
        <f t="shared" si="7"/>
        <v>35350</v>
      </c>
      <c r="G36" s="271">
        <f t="shared" si="7"/>
        <v>0</v>
      </c>
      <c r="H36" s="271">
        <f t="shared" si="7"/>
        <v>0</v>
      </c>
      <c r="I36" s="271">
        <f t="shared" si="7"/>
        <v>0</v>
      </c>
      <c r="J36" s="271">
        <f t="shared" si="7"/>
        <v>0</v>
      </c>
      <c r="K36" s="272"/>
      <c r="L36" s="272"/>
    </row>
    <row r="37" spans="1:12">
      <c r="A37" s="189"/>
      <c r="B37" s="189"/>
      <c r="C37" s="189"/>
      <c r="D37" s="189"/>
      <c r="E37" s="195"/>
      <c r="F37" s="195"/>
      <c r="G37" s="195"/>
      <c r="H37" s="195"/>
      <c r="I37" s="195"/>
      <c r="J37" s="195"/>
      <c r="K37" s="187"/>
      <c r="L37" s="187"/>
    </row>
    <row r="38" spans="1:12" s="194" customFormat="1" ht="15.5">
      <c r="A38" s="191" t="s">
        <v>717</v>
      </c>
      <c r="B38" s="191"/>
      <c r="C38" s="191"/>
      <c r="D38" s="191"/>
      <c r="E38" s="192"/>
      <c r="F38" s="192"/>
      <c r="G38" s="192"/>
      <c r="H38" s="192"/>
      <c r="I38" s="192"/>
      <c r="J38" s="192"/>
      <c r="K38" s="193"/>
      <c r="L38" s="193"/>
    </row>
    <row r="39" spans="1:12" s="262" customFormat="1">
      <c r="B39" s="262" t="s">
        <v>692</v>
      </c>
      <c r="E39" s="263"/>
      <c r="F39" s="263"/>
      <c r="G39" s="263"/>
      <c r="H39" s="263"/>
      <c r="I39" s="263"/>
      <c r="J39" s="263"/>
      <c r="K39" s="264"/>
      <c r="L39" s="264"/>
    </row>
    <row r="40" spans="1:12" ht="15.5">
      <c r="A40" s="189"/>
      <c r="B40" s="189"/>
      <c r="C40" s="189" t="s">
        <v>718</v>
      </c>
      <c r="D40" s="189"/>
      <c r="E40" s="195">
        <f>SUM(F40:J40)</f>
        <v>32</v>
      </c>
      <c r="F40" s="197">
        <v>0</v>
      </c>
      <c r="G40" s="197">
        <v>8</v>
      </c>
      <c r="H40" s="197">
        <v>8</v>
      </c>
      <c r="I40" s="197">
        <v>8</v>
      </c>
      <c r="J40" s="197">
        <v>8</v>
      </c>
      <c r="K40" s="187"/>
      <c r="L40" s="187"/>
    </row>
    <row r="41" spans="1:12" ht="15.5">
      <c r="A41" s="189"/>
      <c r="B41" s="189"/>
      <c r="C41" s="189" t="s">
        <v>719</v>
      </c>
      <c r="D41" s="189"/>
      <c r="E41" s="197">
        <v>2</v>
      </c>
      <c r="F41" s="196">
        <f>E41</f>
        <v>2</v>
      </c>
      <c r="G41" s="196">
        <f t="shared" ref="G41:J42" si="8">F41</f>
        <v>2</v>
      </c>
      <c r="H41" s="196">
        <f t="shared" si="8"/>
        <v>2</v>
      </c>
      <c r="I41" s="196">
        <f t="shared" si="8"/>
        <v>2</v>
      </c>
      <c r="J41" s="196">
        <f t="shared" si="8"/>
        <v>2</v>
      </c>
      <c r="K41" s="187"/>
      <c r="L41" s="187"/>
    </row>
    <row r="42" spans="1:12" ht="15.5">
      <c r="A42" s="189"/>
      <c r="B42" s="189"/>
      <c r="C42" s="189" t="s">
        <v>720</v>
      </c>
      <c r="D42" s="189"/>
      <c r="E42" s="197">
        <v>1</v>
      </c>
      <c r="F42" s="196">
        <f>E42</f>
        <v>1</v>
      </c>
      <c r="G42" s="196">
        <f t="shared" si="8"/>
        <v>1</v>
      </c>
      <c r="H42" s="196">
        <f t="shared" si="8"/>
        <v>1</v>
      </c>
      <c r="I42" s="196">
        <f t="shared" si="8"/>
        <v>1</v>
      </c>
      <c r="J42" s="196">
        <f t="shared" si="8"/>
        <v>1</v>
      </c>
      <c r="K42" s="187"/>
      <c r="L42" s="187"/>
    </row>
    <row r="43" spans="1:12" ht="15.5">
      <c r="A43" s="189"/>
      <c r="B43" s="189"/>
      <c r="C43" s="189" t="s">
        <v>694</v>
      </c>
      <c r="D43" s="189"/>
      <c r="E43" s="197">
        <v>2</v>
      </c>
      <c r="F43" s="196">
        <f t="shared" ref="F43:J45" si="9">E43</f>
        <v>2</v>
      </c>
      <c r="G43" s="196">
        <f t="shared" si="9"/>
        <v>2</v>
      </c>
      <c r="H43" s="196">
        <f t="shared" si="9"/>
        <v>2</v>
      </c>
      <c r="I43" s="196">
        <f t="shared" si="9"/>
        <v>2</v>
      </c>
      <c r="J43" s="196">
        <f t="shared" si="9"/>
        <v>2</v>
      </c>
      <c r="K43" s="187"/>
      <c r="L43" s="187" t="s">
        <v>721</v>
      </c>
    </row>
    <row r="44" spans="1:12" ht="15.5">
      <c r="A44" s="189"/>
      <c r="B44" s="189"/>
      <c r="C44" s="189" t="s">
        <v>722</v>
      </c>
      <c r="D44" s="189"/>
      <c r="E44" s="197">
        <v>1</v>
      </c>
      <c r="F44" s="196">
        <f t="shared" si="9"/>
        <v>1</v>
      </c>
      <c r="G44" s="196">
        <f t="shared" si="9"/>
        <v>1</v>
      </c>
      <c r="H44" s="196">
        <f t="shared" si="9"/>
        <v>1</v>
      </c>
      <c r="I44" s="196">
        <f t="shared" si="9"/>
        <v>1</v>
      </c>
      <c r="J44" s="196">
        <f t="shared" si="9"/>
        <v>1</v>
      </c>
      <c r="K44" s="187"/>
      <c r="L44" s="187" t="s">
        <v>723</v>
      </c>
    </row>
    <row r="45" spans="1:12" ht="15.5">
      <c r="A45" s="189"/>
      <c r="B45" s="189"/>
      <c r="C45" s="189" t="s">
        <v>696</v>
      </c>
      <c r="D45" s="189"/>
      <c r="E45" s="196">
        <f>E$10</f>
        <v>800</v>
      </c>
      <c r="F45" s="196">
        <f t="shared" si="9"/>
        <v>800</v>
      </c>
      <c r="G45" s="196">
        <f t="shared" si="9"/>
        <v>800</v>
      </c>
      <c r="H45" s="196">
        <f t="shared" si="9"/>
        <v>800</v>
      </c>
      <c r="I45" s="196">
        <f t="shared" si="9"/>
        <v>800</v>
      </c>
      <c r="J45" s="196">
        <f t="shared" si="9"/>
        <v>800</v>
      </c>
      <c r="K45" s="187"/>
      <c r="L45" s="187" t="s">
        <v>724</v>
      </c>
    </row>
    <row r="46" spans="1:12" s="262" customFormat="1">
      <c r="C46" s="262" t="s">
        <v>608</v>
      </c>
      <c r="E46" s="273">
        <f t="shared" ref="E46:J46" si="10">E40*E41*(E42+E43)*E44*E45</f>
        <v>153600</v>
      </c>
      <c r="F46" s="273">
        <f t="shared" si="10"/>
        <v>0</v>
      </c>
      <c r="G46" s="273">
        <f t="shared" si="10"/>
        <v>38400</v>
      </c>
      <c r="H46" s="273">
        <f t="shared" si="10"/>
        <v>38400</v>
      </c>
      <c r="I46" s="273">
        <f t="shared" si="10"/>
        <v>38400</v>
      </c>
      <c r="J46" s="273">
        <f t="shared" si="10"/>
        <v>38400</v>
      </c>
      <c r="K46" s="264"/>
      <c r="L46" s="264"/>
    </row>
    <row r="47" spans="1:12" s="262" customFormat="1">
      <c r="B47" s="262" t="s">
        <v>697</v>
      </c>
      <c r="E47" s="263"/>
      <c r="F47" s="263"/>
      <c r="G47" s="263"/>
      <c r="H47" s="263"/>
      <c r="I47" s="263"/>
      <c r="J47" s="263"/>
      <c r="K47" s="264"/>
      <c r="L47" s="264"/>
    </row>
    <row r="48" spans="1:12" ht="15.5">
      <c r="A48" s="189"/>
      <c r="B48" s="189"/>
      <c r="C48" s="189" t="s">
        <v>698</v>
      </c>
      <c r="D48" s="189"/>
      <c r="E48" s="196">
        <f>E$13</f>
        <v>1500</v>
      </c>
      <c r="F48" s="195">
        <f>E48</f>
        <v>1500</v>
      </c>
      <c r="G48" s="195">
        <f>F48</f>
        <v>1500</v>
      </c>
      <c r="H48" s="195">
        <f>G48</f>
        <v>1500</v>
      </c>
      <c r="I48" s="195">
        <f>H48</f>
        <v>1500</v>
      </c>
      <c r="J48" s="195">
        <f>I48</f>
        <v>1500</v>
      </c>
      <c r="K48" s="187"/>
      <c r="L48" s="187"/>
    </row>
    <row r="49" spans="1:12">
      <c r="A49" s="189"/>
      <c r="B49" s="189"/>
      <c r="C49" s="189" t="s">
        <v>699</v>
      </c>
      <c r="D49" s="189"/>
      <c r="E49" s="198">
        <f t="shared" ref="E49:J49" si="11">E40*E41*E44*E48</f>
        <v>96000</v>
      </c>
      <c r="F49" s="198">
        <f t="shared" si="11"/>
        <v>0</v>
      </c>
      <c r="G49" s="198">
        <f t="shared" si="11"/>
        <v>24000</v>
      </c>
      <c r="H49" s="198">
        <f t="shared" si="11"/>
        <v>24000</v>
      </c>
      <c r="I49" s="198">
        <f t="shared" si="11"/>
        <v>24000</v>
      </c>
      <c r="J49" s="198">
        <f t="shared" si="11"/>
        <v>24000</v>
      </c>
      <c r="K49" s="187"/>
      <c r="L49" s="187"/>
    </row>
    <row r="50" spans="1:12" s="262" customFormat="1">
      <c r="B50" s="262" t="s">
        <v>700</v>
      </c>
      <c r="E50" s="263"/>
      <c r="F50" s="263"/>
      <c r="G50" s="263"/>
      <c r="H50" s="263"/>
      <c r="I50" s="263"/>
      <c r="J50" s="263"/>
      <c r="K50" s="264"/>
      <c r="L50" s="264"/>
    </row>
    <row r="51" spans="1:12" ht="15.5">
      <c r="A51" s="189"/>
      <c r="B51" s="189"/>
      <c r="C51" s="189" t="s">
        <v>701</v>
      </c>
      <c r="D51" s="189"/>
      <c r="E51" s="196">
        <f>E$16</f>
        <v>250</v>
      </c>
      <c r="F51" s="195">
        <f>E51</f>
        <v>250</v>
      </c>
      <c r="G51" s="195">
        <f>F51</f>
        <v>250</v>
      </c>
      <c r="H51" s="195">
        <f>G51</f>
        <v>250</v>
      </c>
      <c r="I51" s="195">
        <f>H51</f>
        <v>250</v>
      </c>
      <c r="J51" s="195">
        <f>I51</f>
        <v>250</v>
      </c>
      <c r="K51" s="187"/>
      <c r="L51" s="187"/>
    </row>
    <row r="52" spans="1:12">
      <c r="A52" s="189"/>
      <c r="B52" s="189"/>
      <c r="C52" s="189" t="s">
        <v>699</v>
      </c>
      <c r="D52" s="189"/>
      <c r="E52" s="198">
        <f t="shared" ref="E52:J52" si="12">E40*E41*E42*E44*E51</f>
        <v>16000</v>
      </c>
      <c r="F52" s="198">
        <f t="shared" si="12"/>
        <v>0</v>
      </c>
      <c r="G52" s="198">
        <f t="shared" si="12"/>
        <v>4000</v>
      </c>
      <c r="H52" s="198">
        <f t="shared" si="12"/>
        <v>4000</v>
      </c>
      <c r="I52" s="198">
        <f t="shared" si="12"/>
        <v>4000</v>
      </c>
      <c r="J52" s="198">
        <f t="shared" si="12"/>
        <v>4000</v>
      </c>
      <c r="K52" s="187"/>
      <c r="L52" s="187"/>
    </row>
    <row r="53" spans="1:12" s="262" customFormat="1">
      <c r="B53" s="262" t="s">
        <v>702</v>
      </c>
      <c r="E53" s="263"/>
      <c r="F53" s="263"/>
      <c r="G53" s="263"/>
      <c r="H53" s="263"/>
      <c r="I53" s="263"/>
      <c r="J53" s="263"/>
      <c r="K53" s="264"/>
      <c r="L53" s="264"/>
    </row>
    <row r="54" spans="1:12" ht="15.5">
      <c r="A54" s="189"/>
      <c r="B54" s="189"/>
      <c r="C54" s="189" t="s">
        <v>703</v>
      </c>
      <c r="D54" s="189"/>
      <c r="E54" s="196">
        <f>E$19</f>
        <v>100</v>
      </c>
      <c r="F54" s="195">
        <f>E54</f>
        <v>100</v>
      </c>
      <c r="G54" s="195">
        <f t="shared" ref="G54:J55" si="13">F54</f>
        <v>100</v>
      </c>
      <c r="H54" s="195">
        <f t="shared" si="13"/>
        <v>100</v>
      </c>
      <c r="I54" s="195">
        <f t="shared" si="13"/>
        <v>100</v>
      </c>
      <c r="J54" s="195">
        <f t="shared" si="13"/>
        <v>100</v>
      </c>
      <c r="K54" s="187"/>
      <c r="L54" s="187"/>
    </row>
    <row r="55" spans="1:12" ht="15.5">
      <c r="A55" s="189"/>
      <c r="B55" s="189"/>
      <c r="C55" s="189" t="s">
        <v>704</v>
      </c>
      <c r="D55" s="189"/>
      <c r="E55" s="196">
        <f>E$20</f>
        <v>50</v>
      </c>
      <c r="F55" s="195">
        <f>E55</f>
        <v>50</v>
      </c>
      <c r="G55" s="195">
        <f t="shared" si="13"/>
        <v>50</v>
      </c>
      <c r="H55" s="195">
        <f t="shared" si="13"/>
        <v>50</v>
      </c>
      <c r="I55" s="195">
        <f t="shared" si="13"/>
        <v>50</v>
      </c>
      <c r="J55" s="195">
        <f t="shared" si="13"/>
        <v>50</v>
      </c>
      <c r="K55" s="187"/>
      <c r="L55" s="187"/>
    </row>
    <row r="56" spans="1:12">
      <c r="A56" s="189"/>
      <c r="B56" s="189"/>
      <c r="C56" s="189" t="s">
        <v>699</v>
      </c>
      <c r="D56" s="189"/>
      <c r="E56" s="198">
        <f t="shared" ref="E56:J56" si="14">E40*E41*E44*(E54+E55)*2</f>
        <v>19200</v>
      </c>
      <c r="F56" s="198">
        <f t="shared" si="14"/>
        <v>0</v>
      </c>
      <c r="G56" s="198">
        <f t="shared" si="14"/>
        <v>4800</v>
      </c>
      <c r="H56" s="198">
        <f t="shared" si="14"/>
        <v>4800</v>
      </c>
      <c r="I56" s="198">
        <f t="shared" si="14"/>
        <v>4800</v>
      </c>
      <c r="J56" s="198">
        <f t="shared" si="14"/>
        <v>4800</v>
      </c>
      <c r="K56" s="187"/>
      <c r="L56" s="187"/>
    </row>
    <row r="57" spans="1:12" s="262" customFormat="1" ht="15.5">
      <c r="B57" s="262" t="s">
        <v>705</v>
      </c>
      <c r="E57" s="269"/>
      <c r="F57" s="263"/>
      <c r="G57" s="263"/>
      <c r="H57" s="263"/>
      <c r="I57" s="263"/>
      <c r="J57" s="263"/>
      <c r="K57" s="264"/>
      <c r="L57" s="264"/>
    </row>
    <row r="58" spans="1:12" ht="15.5">
      <c r="A58" s="189"/>
      <c r="B58" s="189"/>
      <c r="C58" s="189" t="s">
        <v>706</v>
      </c>
      <c r="D58" s="189"/>
      <c r="E58" s="196">
        <f>E$23</f>
        <v>150</v>
      </c>
      <c r="F58" s="195">
        <f>E58</f>
        <v>150</v>
      </c>
      <c r="G58" s="195">
        <f>F58</f>
        <v>150</v>
      </c>
      <c r="H58" s="195">
        <f>G58</f>
        <v>150</v>
      </c>
      <c r="I58" s="195">
        <f>H58</f>
        <v>150</v>
      </c>
      <c r="J58" s="195">
        <f>I58</f>
        <v>150</v>
      </c>
      <c r="K58" s="187"/>
      <c r="L58" s="187"/>
    </row>
    <row r="59" spans="1:12" ht="15.5">
      <c r="A59" s="189"/>
      <c r="B59" s="189"/>
      <c r="C59" s="189" t="s">
        <v>699</v>
      </c>
      <c r="D59" s="189"/>
      <c r="E59" s="200">
        <f t="shared" ref="E59:J59" si="15">E40*E41*E44*E58</f>
        <v>9600</v>
      </c>
      <c r="F59" s="200">
        <f t="shared" si="15"/>
        <v>0</v>
      </c>
      <c r="G59" s="200">
        <f t="shared" si="15"/>
        <v>2400</v>
      </c>
      <c r="H59" s="200">
        <f t="shared" si="15"/>
        <v>2400</v>
      </c>
      <c r="I59" s="200">
        <f t="shared" si="15"/>
        <v>2400</v>
      </c>
      <c r="J59" s="200">
        <f t="shared" si="15"/>
        <v>2400</v>
      </c>
      <c r="K59" s="187"/>
      <c r="L59" s="187"/>
    </row>
    <row r="60" spans="1:12" s="194" customFormat="1" ht="15.5">
      <c r="A60" s="191"/>
      <c r="B60" s="191" t="s">
        <v>699</v>
      </c>
      <c r="C60" s="191"/>
      <c r="D60" s="191"/>
      <c r="E60" s="201">
        <f t="shared" ref="E60:J60" si="16">E46+E49+E52+E56+E59</f>
        <v>294400</v>
      </c>
      <c r="F60" s="201">
        <f t="shared" si="16"/>
        <v>0</v>
      </c>
      <c r="G60" s="201">
        <f t="shared" si="16"/>
        <v>73600</v>
      </c>
      <c r="H60" s="201">
        <f t="shared" si="16"/>
        <v>73600</v>
      </c>
      <c r="I60" s="201">
        <f t="shared" si="16"/>
        <v>73600</v>
      </c>
      <c r="J60" s="201">
        <f t="shared" si="16"/>
        <v>73600</v>
      </c>
      <c r="K60" s="193"/>
      <c r="L60" s="193"/>
    </row>
    <row r="61" spans="1:12" s="204" customFormat="1" ht="15.5">
      <c r="A61" s="188"/>
      <c r="B61" s="188"/>
      <c r="C61" s="188"/>
      <c r="D61" s="188"/>
      <c r="E61" s="202"/>
      <c r="F61" s="202"/>
      <c r="G61" s="202"/>
      <c r="H61" s="202"/>
      <c r="I61" s="202"/>
      <c r="J61" s="202"/>
      <c r="K61" s="203"/>
      <c r="L61" s="203"/>
    </row>
    <row r="62" spans="1:12" s="266" customFormat="1" ht="15.5">
      <c r="A62" s="266" t="s">
        <v>699</v>
      </c>
      <c r="E62" s="274">
        <f t="shared" ref="E62:J62" si="17">E36+E60</f>
        <v>329750</v>
      </c>
      <c r="F62" s="274">
        <f t="shared" si="17"/>
        <v>35350</v>
      </c>
      <c r="G62" s="274">
        <f t="shared" si="17"/>
        <v>73600</v>
      </c>
      <c r="H62" s="274">
        <f t="shared" si="17"/>
        <v>73600</v>
      </c>
      <c r="I62" s="274">
        <f t="shared" si="17"/>
        <v>73600</v>
      </c>
      <c r="J62" s="274">
        <f t="shared" si="17"/>
        <v>73600</v>
      </c>
      <c r="K62" s="275"/>
      <c r="L62" s="275"/>
    </row>
    <row r="63" spans="1:12">
      <c r="E63" s="205"/>
      <c r="F63" s="205"/>
      <c r="G63" s="205"/>
      <c r="H63" s="205"/>
      <c r="I63" s="205"/>
      <c r="J63" s="205"/>
    </row>
    <row r="64" spans="1:12" s="204" customFormat="1" ht="15.5">
      <c r="A64" s="206" t="s">
        <v>725</v>
      </c>
      <c r="B64" s="206"/>
      <c r="C64" s="206"/>
      <c r="D64" s="206"/>
      <c r="E64" s="207"/>
      <c r="F64" s="207"/>
      <c r="G64" s="207"/>
      <c r="H64" s="207"/>
      <c r="I64" s="207"/>
      <c r="J64" s="207"/>
    </row>
    <row r="65" spans="1:13">
      <c r="A65" s="208"/>
      <c r="B65" s="208"/>
      <c r="C65" s="208"/>
      <c r="D65" s="208"/>
      <c r="E65" s="209"/>
      <c r="F65" s="209"/>
      <c r="G65" s="209"/>
      <c r="H65" s="209"/>
      <c r="I65" s="209"/>
      <c r="J65" s="209"/>
    </row>
    <row r="66" spans="1:13" s="270" customFormat="1" ht="15.5">
      <c r="A66" s="270" t="s">
        <v>726</v>
      </c>
      <c r="E66" s="277"/>
      <c r="F66" s="277"/>
      <c r="G66" s="277"/>
      <c r="H66" s="277"/>
      <c r="I66" s="277"/>
      <c r="J66" s="277"/>
    </row>
    <row r="67" spans="1:13" s="194" customFormat="1" ht="15.5">
      <c r="A67" s="210"/>
      <c r="B67" s="210" t="s">
        <v>727</v>
      </c>
      <c r="C67" s="210"/>
      <c r="D67" s="210"/>
      <c r="E67" s="212">
        <v>2</v>
      </c>
      <c r="F67" s="211">
        <v>0</v>
      </c>
      <c r="G67" s="211">
        <v>2</v>
      </c>
      <c r="H67" s="211">
        <v>0</v>
      </c>
      <c r="I67" s="211">
        <v>0</v>
      </c>
      <c r="J67" s="211">
        <v>0</v>
      </c>
    </row>
    <row r="68" spans="1:13" s="194" customFormat="1" ht="15.5">
      <c r="A68" s="210"/>
      <c r="B68" s="210" t="s">
        <v>728</v>
      </c>
      <c r="C68" s="210"/>
      <c r="D68" s="210"/>
      <c r="E68" s="213">
        <f>SUM(F68:J68)</f>
        <v>16</v>
      </c>
      <c r="F68" s="211">
        <v>0</v>
      </c>
      <c r="G68" s="211">
        <f>G67*G40</f>
        <v>16</v>
      </c>
      <c r="H68" s="211">
        <v>0</v>
      </c>
      <c r="I68" s="211">
        <v>0</v>
      </c>
      <c r="J68" s="211">
        <v>0</v>
      </c>
    </row>
    <row r="69" spans="1:13" s="194" customFormat="1" ht="15.5">
      <c r="A69" s="210"/>
      <c r="B69" s="210" t="s">
        <v>729</v>
      </c>
      <c r="C69" s="210"/>
      <c r="D69" s="210"/>
      <c r="E69" s="212">
        <v>5000</v>
      </c>
      <c r="F69" s="211">
        <f>E69</f>
        <v>5000</v>
      </c>
      <c r="G69" s="211">
        <f>F69</f>
        <v>5000</v>
      </c>
      <c r="H69" s="211">
        <f>G69</f>
        <v>5000</v>
      </c>
      <c r="I69" s="211">
        <f>H69</f>
        <v>5000</v>
      </c>
      <c r="J69" s="211">
        <f>I69</f>
        <v>5000</v>
      </c>
    </row>
    <row r="70" spans="1:13" s="194" customFormat="1" ht="15.5">
      <c r="A70" s="210"/>
      <c r="B70" s="210" t="s">
        <v>699</v>
      </c>
      <c r="C70" s="210"/>
      <c r="D70" s="210"/>
      <c r="E70" s="214">
        <f t="shared" ref="E70:J70" si="18">E68*E69</f>
        <v>80000</v>
      </c>
      <c r="F70" s="214">
        <f t="shared" si="18"/>
        <v>0</v>
      </c>
      <c r="G70" s="214">
        <f t="shared" si="18"/>
        <v>80000</v>
      </c>
      <c r="H70" s="214">
        <f t="shared" si="18"/>
        <v>0</v>
      </c>
      <c r="I70" s="214">
        <f t="shared" si="18"/>
        <v>0</v>
      </c>
      <c r="J70" s="214">
        <f t="shared" si="18"/>
        <v>0</v>
      </c>
    </row>
    <row r="71" spans="1:13" s="194" customFormat="1" ht="15.5">
      <c r="A71" s="210"/>
      <c r="B71" s="210"/>
      <c r="C71" s="210"/>
      <c r="D71" s="210"/>
      <c r="E71" s="211"/>
      <c r="F71" s="211"/>
      <c r="G71" s="211"/>
      <c r="H71" s="211"/>
      <c r="I71" s="211"/>
      <c r="J71" s="211"/>
    </row>
    <row r="72" spans="1:13" s="278" customFormat="1" ht="15.5">
      <c r="A72" s="278" t="s">
        <v>730</v>
      </c>
      <c r="E72" s="279"/>
      <c r="F72" s="279"/>
      <c r="G72" s="279"/>
      <c r="H72" s="279"/>
      <c r="I72" s="279"/>
      <c r="J72" s="279"/>
    </row>
    <row r="73" spans="1:13" s="217" customFormat="1" ht="15.5">
      <c r="A73" s="215"/>
      <c r="B73" s="215" t="s">
        <v>731</v>
      </c>
      <c r="C73" s="215"/>
      <c r="D73" s="215"/>
      <c r="E73" s="218">
        <v>0.1</v>
      </c>
      <c r="F73" s="219">
        <f>E73</f>
        <v>0.1</v>
      </c>
      <c r="G73" s="219">
        <f t="shared" ref="G73:J74" si="19">F73</f>
        <v>0.1</v>
      </c>
      <c r="H73" s="219">
        <f t="shared" si="19"/>
        <v>0.1</v>
      </c>
      <c r="I73" s="219">
        <f t="shared" si="19"/>
        <v>0.1</v>
      </c>
      <c r="J73" s="219">
        <f t="shared" si="19"/>
        <v>0.1</v>
      </c>
    </row>
    <row r="74" spans="1:13" s="217" customFormat="1" ht="15.5">
      <c r="A74" s="215"/>
      <c r="B74" s="215" t="s">
        <v>699</v>
      </c>
      <c r="C74" s="215"/>
      <c r="D74" s="215"/>
      <c r="E74" s="220">
        <f>SUM(F74:J74)</f>
        <v>32000</v>
      </c>
      <c r="F74" s="220">
        <f>F73*F70</f>
        <v>0</v>
      </c>
      <c r="G74" s="220">
        <f>G73*G70</f>
        <v>8000</v>
      </c>
      <c r="H74" s="220">
        <f>G74</f>
        <v>8000</v>
      </c>
      <c r="I74" s="220">
        <f t="shared" si="19"/>
        <v>8000</v>
      </c>
      <c r="J74" s="220">
        <f t="shared" si="19"/>
        <v>8000</v>
      </c>
    </row>
    <row r="75" spans="1:13" s="217" customFormat="1" ht="15.5">
      <c r="A75" s="215"/>
      <c r="B75" s="215"/>
      <c r="C75" s="215"/>
      <c r="D75" s="215"/>
      <c r="E75" s="216"/>
      <c r="F75" s="216"/>
      <c r="G75" s="216"/>
      <c r="H75" s="216"/>
      <c r="I75" s="216"/>
      <c r="J75" s="216"/>
    </row>
    <row r="76" spans="1:13" s="278" customFormat="1" ht="15.5">
      <c r="A76" s="278" t="s">
        <v>732</v>
      </c>
      <c r="E76" s="279"/>
      <c r="F76" s="279"/>
      <c r="G76" s="279"/>
      <c r="H76" s="279"/>
      <c r="I76" s="279"/>
      <c r="J76" s="279"/>
    </row>
    <row r="77" spans="1:13" s="217" customFormat="1" ht="15.5">
      <c r="A77" s="215"/>
      <c r="B77" s="215" t="s">
        <v>733</v>
      </c>
      <c r="C77" s="215"/>
      <c r="D77" s="215"/>
      <c r="E77" s="216">
        <f>SUM(F77:J77)</f>
        <v>1200</v>
      </c>
      <c r="F77" s="216">
        <v>0</v>
      </c>
      <c r="G77" s="221">
        <v>300</v>
      </c>
      <c r="H77" s="221">
        <v>300</v>
      </c>
      <c r="I77" s="221">
        <v>300</v>
      </c>
      <c r="J77" s="221">
        <v>300</v>
      </c>
    </row>
    <row r="78" spans="1:13" s="217" customFormat="1" ht="15.5">
      <c r="A78" s="215"/>
      <c r="B78" s="215" t="s">
        <v>734</v>
      </c>
      <c r="C78" s="215"/>
      <c r="D78" s="215"/>
      <c r="E78" s="221">
        <v>50</v>
      </c>
      <c r="F78" s="216">
        <f>E78</f>
        <v>50</v>
      </c>
      <c r="G78" s="216">
        <f t="shared" ref="G78:J80" si="20">F78</f>
        <v>50</v>
      </c>
      <c r="H78" s="216">
        <f t="shared" si="20"/>
        <v>50</v>
      </c>
      <c r="I78" s="216">
        <f t="shared" si="20"/>
        <v>50</v>
      </c>
      <c r="J78" s="216">
        <f t="shared" si="20"/>
        <v>50</v>
      </c>
    </row>
    <row r="79" spans="1:13" s="217" customFormat="1" ht="15.5">
      <c r="A79" s="215"/>
      <c r="B79" s="215" t="s">
        <v>735</v>
      </c>
      <c r="C79" s="215"/>
      <c r="D79" s="215"/>
      <c r="E79" s="221">
        <v>10</v>
      </c>
      <c r="F79" s="216">
        <f>E79</f>
        <v>10</v>
      </c>
      <c r="G79" s="216">
        <f t="shared" si="20"/>
        <v>10</v>
      </c>
      <c r="H79" s="216">
        <f t="shared" si="20"/>
        <v>10</v>
      </c>
      <c r="I79" s="216">
        <f t="shared" si="20"/>
        <v>10</v>
      </c>
      <c r="J79" s="216">
        <f t="shared" si="20"/>
        <v>10</v>
      </c>
      <c r="M79" s="285">
        <f>SUM(E87,E81,E74)</f>
        <v>428000</v>
      </c>
    </row>
    <row r="80" spans="1:13" s="217" customFormat="1" ht="15.5">
      <c r="A80" s="215"/>
      <c r="B80" s="215" t="s">
        <v>736</v>
      </c>
      <c r="C80" s="215"/>
      <c r="D80" s="215"/>
      <c r="E80" s="221">
        <v>2</v>
      </c>
      <c r="F80" s="216">
        <f>E80</f>
        <v>2</v>
      </c>
      <c r="G80" s="216">
        <f t="shared" si="20"/>
        <v>2</v>
      </c>
      <c r="H80" s="216">
        <f t="shared" si="20"/>
        <v>2</v>
      </c>
      <c r="I80" s="216">
        <f t="shared" si="20"/>
        <v>2</v>
      </c>
      <c r="J80" s="216">
        <f t="shared" si="20"/>
        <v>2</v>
      </c>
    </row>
    <row r="81" spans="1:12" s="217" customFormat="1" ht="15.5">
      <c r="A81" s="215"/>
      <c r="B81" s="215" t="s">
        <v>699</v>
      </c>
      <c r="C81" s="215"/>
      <c r="D81" s="215"/>
      <c r="E81" s="220">
        <f t="shared" ref="E81:J81" si="21">E77*E78/E79*E80</f>
        <v>12000</v>
      </c>
      <c r="F81" s="220">
        <f t="shared" si="21"/>
        <v>0</v>
      </c>
      <c r="G81" s="220">
        <f t="shared" si="21"/>
        <v>3000</v>
      </c>
      <c r="H81" s="220">
        <f t="shared" si="21"/>
        <v>3000</v>
      </c>
      <c r="I81" s="220">
        <f t="shared" si="21"/>
        <v>3000</v>
      </c>
      <c r="J81" s="220">
        <f t="shared" si="21"/>
        <v>3000</v>
      </c>
    </row>
    <row r="82" spans="1:12" s="217" customFormat="1" ht="15.5">
      <c r="A82" s="215"/>
      <c r="B82" s="215"/>
      <c r="C82" s="215"/>
      <c r="D82" s="215"/>
      <c r="E82" s="216"/>
      <c r="F82" s="216"/>
      <c r="G82" s="216"/>
      <c r="H82" s="216"/>
      <c r="I82" s="216"/>
      <c r="J82" s="216"/>
    </row>
    <row r="83" spans="1:12" s="278" customFormat="1" ht="15.5">
      <c r="A83" s="278" t="s">
        <v>737</v>
      </c>
      <c r="E83" s="279"/>
      <c r="F83" s="279"/>
      <c r="G83" s="279"/>
      <c r="H83" s="279"/>
      <c r="I83" s="279"/>
      <c r="J83" s="279"/>
    </row>
    <row r="84" spans="1:12" s="217" customFormat="1" ht="15.5">
      <c r="A84" s="215"/>
      <c r="B84" s="215" t="s">
        <v>738</v>
      </c>
      <c r="C84" s="215"/>
      <c r="D84" s="215"/>
      <c r="E84" s="221">
        <v>1</v>
      </c>
      <c r="F84" s="216">
        <f>E84</f>
        <v>1</v>
      </c>
      <c r="G84" s="216">
        <f>F84</f>
        <v>1</v>
      </c>
      <c r="H84" s="216">
        <f>G84</f>
        <v>1</v>
      </c>
      <c r="I84" s="216">
        <f>H84</f>
        <v>1</v>
      </c>
      <c r="J84" s="216">
        <f>I84</f>
        <v>1</v>
      </c>
    </row>
    <row r="85" spans="1:12" s="217" customFormat="1" ht="15.5">
      <c r="A85" s="215"/>
      <c r="B85" s="215" t="s">
        <v>739</v>
      </c>
      <c r="C85" s="215"/>
      <c r="D85" s="215"/>
      <c r="E85" s="216">
        <f>SUM(F85:J85)</f>
        <v>32</v>
      </c>
      <c r="F85" s="216">
        <f>F84*F40</f>
        <v>0</v>
      </c>
      <c r="G85" s="216">
        <f>G84*G40</f>
        <v>8</v>
      </c>
      <c r="H85" s="216">
        <f>H84*H40</f>
        <v>8</v>
      </c>
      <c r="I85" s="216">
        <f>I84*I40</f>
        <v>8</v>
      </c>
      <c r="J85" s="216">
        <f>J84*J40</f>
        <v>8</v>
      </c>
    </row>
    <row r="86" spans="1:12" s="217" customFormat="1" ht="15.5">
      <c r="A86" s="215"/>
      <c r="B86" s="215" t="s">
        <v>740</v>
      </c>
      <c r="C86" s="215"/>
      <c r="D86" s="215"/>
      <c r="E86" s="221">
        <v>12000</v>
      </c>
      <c r="F86" s="216">
        <f>E86</f>
        <v>12000</v>
      </c>
      <c r="G86" s="216">
        <f>F86</f>
        <v>12000</v>
      </c>
      <c r="H86" s="216">
        <f>G86</f>
        <v>12000</v>
      </c>
      <c r="I86" s="216">
        <f>H86</f>
        <v>12000</v>
      </c>
      <c r="J86" s="216">
        <f>I86</f>
        <v>12000</v>
      </c>
    </row>
    <row r="87" spans="1:12" s="217" customFormat="1" ht="15.5">
      <c r="A87" s="215"/>
      <c r="B87" s="215" t="s">
        <v>699</v>
      </c>
      <c r="C87" s="215"/>
      <c r="D87" s="215"/>
      <c r="E87" s="220">
        <f t="shared" ref="E87:J87" si="22">E85*E86</f>
        <v>384000</v>
      </c>
      <c r="F87" s="220">
        <f t="shared" si="22"/>
        <v>0</v>
      </c>
      <c r="G87" s="220">
        <f t="shared" si="22"/>
        <v>96000</v>
      </c>
      <c r="H87" s="220">
        <f t="shared" si="22"/>
        <v>96000</v>
      </c>
      <c r="I87" s="220">
        <f t="shared" si="22"/>
        <v>96000</v>
      </c>
      <c r="J87" s="220">
        <f t="shared" si="22"/>
        <v>96000</v>
      </c>
    </row>
    <row r="88" spans="1:12" s="194" customFormat="1" ht="15.5">
      <c r="A88" s="210"/>
      <c r="B88" s="210"/>
      <c r="C88" s="210"/>
      <c r="D88" s="210"/>
      <c r="E88" s="211"/>
      <c r="F88" s="211"/>
      <c r="G88" s="211"/>
      <c r="H88" s="211"/>
      <c r="I88" s="211"/>
      <c r="J88" s="211"/>
    </row>
    <row r="89" spans="1:12" s="204" customFormat="1" ht="15.5">
      <c r="A89" s="206" t="s">
        <v>699</v>
      </c>
      <c r="B89" s="206"/>
      <c r="C89" s="206"/>
      <c r="D89" s="206"/>
      <c r="E89" s="222">
        <f t="shared" ref="E89:J89" si="23">E70+E74+E81+E87</f>
        <v>508000</v>
      </c>
      <c r="F89" s="222">
        <f t="shared" si="23"/>
        <v>0</v>
      </c>
      <c r="G89" s="222">
        <f t="shared" si="23"/>
        <v>187000</v>
      </c>
      <c r="H89" s="222">
        <f t="shared" si="23"/>
        <v>107000</v>
      </c>
      <c r="I89" s="222">
        <f t="shared" si="23"/>
        <v>107000</v>
      </c>
      <c r="J89" s="222">
        <f t="shared" si="23"/>
        <v>107000</v>
      </c>
    </row>
    <row r="90" spans="1:12">
      <c r="E90" s="205"/>
      <c r="F90" s="205"/>
      <c r="G90" s="205"/>
      <c r="H90" s="205"/>
      <c r="I90" s="205"/>
      <c r="J90" s="205"/>
    </row>
    <row r="91" spans="1:12" s="204" customFormat="1" ht="15.5">
      <c r="A91" s="223" t="s">
        <v>741</v>
      </c>
      <c r="B91" s="223"/>
      <c r="C91" s="223"/>
      <c r="D91" s="223"/>
      <c r="E91" s="224"/>
      <c r="F91" s="224"/>
      <c r="G91" s="224"/>
      <c r="H91" s="224"/>
      <c r="I91" s="224"/>
      <c r="J91" s="224"/>
    </row>
    <row r="92" spans="1:12">
      <c r="A92" s="225"/>
      <c r="B92" s="225"/>
      <c r="C92" s="225"/>
      <c r="D92" s="225"/>
      <c r="E92" s="226"/>
      <c r="F92" s="226"/>
      <c r="G92" s="226"/>
      <c r="H92" s="226"/>
      <c r="I92" s="226"/>
      <c r="J92" s="226"/>
    </row>
    <row r="93" spans="1:12" s="262" customFormat="1">
      <c r="A93" s="262" t="s">
        <v>742</v>
      </c>
      <c r="E93" s="263"/>
      <c r="F93" s="263"/>
      <c r="G93" s="263"/>
      <c r="H93" s="263"/>
      <c r="I93" s="263"/>
      <c r="J93" s="263"/>
      <c r="K93" s="264"/>
      <c r="L93" s="264"/>
    </row>
    <row r="94" spans="1:12" ht="15.5">
      <c r="A94" s="225"/>
      <c r="B94" s="225" t="s">
        <v>743</v>
      </c>
      <c r="C94" s="225"/>
      <c r="D94" s="225"/>
      <c r="E94" s="226">
        <f>SUM(F94:J94)</f>
        <v>12</v>
      </c>
      <c r="F94" s="227">
        <v>0</v>
      </c>
      <c r="G94" s="227">
        <v>3</v>
      </c>
      <c r="H94" s="227">
        <v>3</v>
      </c>
      <c r="I94" s="227">
        <v>3</v>
      </c>
      <c r="J94" s="227">
        <v>3</v>
      </c>
      <c r="K94" s="187"/>
      <c r="L94" s="187"/>
    </row>
    <row r="95" spans="1:12" ht="15.5">
      <c r="A95" s="225"/>
      <c r="B95" s="225" t="s">
        <v>744</v>
      </c>
      <c r="C95" s="225"/>
      <c r="D95" s="225"/>
      <c r="E95" s="227">
        <v>1</v>
      </c>
      <c r="F95" s="228">
        <f>E95</f>
        <v>1</v>
      </c>
      <c r="G95" s="228">
        <f t="shared" ref="G95:J96" si="24">F95</f>
        <v>1</v>
      </c>
      <c r="H95" s="228">
        <f t="shared" si="24"/>
        <v>1</v>
      </c>
      <c r="I95" s="228">
        <f t="shared" si="24"/>
        <v>1</v>
      </c>
      <c r="J95" s="228">
        <f t="shared" si="24"/>
        <v>1</v>
      </c>
      <c r="K95" s="187"/>
      <c r="L95" s="187"/>
    </row>
    <row r="96" spans="1:12" ht="15.5">
      <c r="A96" s="225"/>
      <c r="B96" s="225" t="s">
        <v>745</v>
      </c>
      <c r="C96" s="225"/>
      <c r="D96" s="225"/>
      <c r="E96" s="227">
        <v>1</v>
      </c>
      <c r="F96" s="228">
        <f>E96</f>
        <v>1</v>
      </c>
      <c r="G96" s="228">
        <f t="shared" si="24"/>
        <v>1</v>
      </c>
      <c r="H96" s="228">
        <f t="shared" si="24"/>
        <v>1</v>
      </c>
      <c r="I96" s="228">
        <f t="shared" si="24"/>
        <v>1</v>
      </c>
      <c r="J96" s="228">
        <f t="shared" si="24"/>
        <v>1</v>
      </c>
      <c r="K96" s="187"/>
      <c r="L96" s="187"/>
    </row>
    <row r="97" spans="1:12" ht="15.5">
      <c r="A97" s="225"/>
      <c r="B97" s="225" t="s">
        <v>694</v>
      </c>
      <c r="C97" s="225"/>
      <c r="D97" s="225"/>
      <c r="E97" s="227">
        <v>2</v>
      </c>
      <c r="F97" s="228">
        <f t="shared" ref="F97:J99" si="25">E97</f>
        <v>2</v>
      </c>
      <c r="G97" s="228">
        <f t="shared" si="25"/>
        <v>2</v>
      </c>
      <c r="H97" s="228">
        <f t="shared" si="25"/>
        <v>2</v>
      </c>
      <c r="I97" s="228">
        <f t="shared" si="25"/>
        <v>2</v>
      </c>
      <c r="J97" s="228">
        <f t="shared" si="25"/>
        <v>2</v>
      </c>
      <c r="K97" s="187"/>
      <c r="L97" s="187"/>
    </row>
    <row r="98" spans="1:12" ht="15.5">
      <c r="A98" s="225"/>
      <c r="B98" s="225" t="s">
        <v>746</v>
      </c>
      <c r="C98" s="225"/>
      <c r="D98" s="225"/>
      <c r="E98" s="227">
        <v>1</v>
      </c>
      <c r="F98" s="228">
        <f t="shared" si="25"/>
        <v>1</v>
      </c>
      <c r="G98" s="228">
        <f t="shared" si="25"/>
        <v>1</v>
      </c>
      <c r="H98" s="228">
        <f t="shared" si="25"/>
        <v>1</v>
      </c>
      <c r="I98" s="228">
        <f t="shared" si="25"/>
        <v>1</v>
      </c>
      <c r="J98" s="228">
        <f t="shared" si="25"/>
        <v>1</v>
      </c>
      <c r="K98" s="187"/>
      <c r="L98" s="187"/>
    </row>
    <row r="99" spans="1:12" ht="15.5">
      <c r="A99" s="225"/>
      <c r="B99" s="225" t="s">
        <v>696</v>
      </c>
      <c r="C99" s="225"/>
      <c r="D99" s="225"/>
      <c r="E99" s="228">
        <f>E$10</f>
        <v>800</v>
      </c>
      <c r="F99" s="228">
        <f t="shared" si="25"/>
        <v>800</v>
      </c>
      <c r="G99" s="228">
        <f t="shared" si="25"/>
        <v>800</v>
      </c>
      <c r="H99" s="228">
        <f t="shared" si="25"/>
        <v>800</v>
      </c>
      <c r="I99" s="228">
        <f t="shared" si="25"/>
        <v>800</v>
      </c>
      <c r="J99" s="228">
        <f t="shared" si="25"/>
        <v>800</v>
      </c>
      <c r="K99" s="187"/>
      <c r="L99" s="187"/>
    </row>
    <row r="100" spans="1:12">
      <c r="A100" s="225"/>
      <c r="B100" s="225" t="s">
        <v>608</v>
      </c>
      <c r="C100" s="225"/>
      <c r="D100" s="225"/>
      <c r="E100" s="229">
        <f t="shared" ref="E100:J100" si="26">E94*E95*(E96+E97)*E98*E99</f>
        <v>28800</v>
      </c>
      <c r="F100" s="229">
        <f t="shared" si="26"/>
        <v>0</v>
      </c>
      <c r="G100" s="229">
        <f t="shared" si="26"/>
        <v>7200</v>
      </c>
      <c r="H100" s="229">
        <f t="shared" si="26"/>
        <v>7200</v>
      </c>
      <c r="I100" s="229">
        <f t="shared" si="26"/>
        <v>7200</v>
      </c>
      <c r="J100" s="229">
        <f t="shared" si="26"/>
        <v>7200</v>
      </c>
      <c r="K100" s="187"/>
      <c r="L100" s="187"/>
    </row>
    <row r="101" spans="1:12">
      <c r="A101" s="225"/>
      <c r="B101" s="225"/>
      <c r="C101" s="225"/>
      <c r="D101" s="225"/>
      <c r="E101" s="226"/>
      <c r="F101" s="226"/>
      <c r="G101" s="226"/>
      <c r="H101" s="226"/>
      <c r="I101" s="226"/>
      <c r="J101" s="226"/>
      <c r="K101" s="187"/>
      <c r="L101" s="187"/>
    </row>
    <row r="102" spans="1:12" s="262" customFormat="1">
      <c r="A102" s="262" t="s">
        <v>697</v>
      </c>
      <c r="E102" s="263"/>
      <c r="F102" s="263"/>
      <c r="G102" s="263"/>
      <c r="H102" s="263"/>
      <c r="I102" s="263"/>
      <c r="J102" s="263"/>
      <c r="K102" s="264">
        <f>SUM(E104,E108,E113,E117)</f>
        <v>26400</v>
      </c>
      <c r="L102" s="264"/>
    </row>
    <row r="103" spans="1:12" ht="15.5">
      <c r="A103" s="225"/>
      <c r="B103" s="225" t="s">
        <v>698</v>
      </c>
      <c r="C103" s="225"/>
      <c r="D103" s="225"/>
      <c r="E103" s="228">
        <f>E$13</f>
        <v>1500</v>
      </c>
      <c r="F103" s="226">
        <f>E103</f>
        <v>1500</v>
      </c>
      <c r="G103" s="226">
        <f>F103</f>
        <v>1500</v>
      </c>
      <c r="H103" s="226">
        <f>G103</f>
        <v>1500</v>
      </c>
      <c r="I103" s="226">
        <f>H103</f>
        <v>1500</v>
      </c>
      <c r="J103" s="226">
        <f>I103</f>
        <v>1500</v>
      </c>
      <c r="K103" s="187"/>
      <c r="L103" s="187"/>
    </row>
    <row r="104" spans="1:12">
      <c r="A104" s="225"/>
      <c r="B104" s="225" t="s">
        <v>699</v>
      </c>
      <c r="C104" s="225"/>
      <c r="D104" s="225"/>
      <c r="E104" s="229">
        <f t="shared" ref="E104:J104" si="27">E94*E95*E98*E103</f>
        <v>18000</v>
      </c>
      <c r="F104" s="229">
        <f t="shared" si="27"/>
        <v>0</v>
      </c>
      <c r="G104" s="229">
        <f t="shared" si="27"/>
        <v>4500</v>
      </c>
      <c r="H104" s="229">
        <f t="shared" si="27"/>
        <v>4500</v>
      </c>
      <c r="I104" s="229">
        <f t="shared" si="27"/>
        <v>4500</v>
      </c>
      <c r="J104" s="229">
        <f t="shared" si="27"/>
        <v>4500</v>
      </c>
      <c r="K104" s="187"/>
      <c r="L104" s="187"/>
    </row>
    <row r="105" spans="1:12">
      <c r="A105" s="225"/>
      <c r="B105" s="225"/>
      <c r="C105" s="225"/>
      <c r="D105" s="225"/>
      <c r="E105" s="226"/>
      <c r="F105" s="226"/>
      <c r="G105" s="226"/>
      <c r="H105" s="226"/>
      <c r="I105" s="226"/>
      <c r="J105" s="226"/>
      <c r="K105" s="187"/>
      <c r="L105" s="187"/>
    </row>
    <row r="106" spans="1:12" s="262" customFormat="1">
      <c r="A106" s="262" t="s">
        <v>700</v>
      </c>
      <c r="E106" s="263"/>
      <c r="F106" s="263"/>
      <c r="G106" s="263"/>
      <c r="H106" s="263"/>
      <c r="I106" s="263"/>
      <c r="J106" s="263"/>
      <c r="K106" s="264"/>
      <c r="L106" s="264"/>
    </row>
    <row r="107" spans="1:12" ht="15.5">
      <c r="A107" s="225"/>
      <c r="B107" s="225" t="s">
        <v>701</v>
      </c>
      <c r="C107" s="225"/>
      <c r="D107" s="225"/>
      <c r="E107" s="228">
        <f>E$16</f>
        <v>250</v>
      </c>
      <c r="F107" s="226">
        <f>E107</f>
        <v>250</v>
      </c>
      <c r="G107" s="226">
        <f>F107</f>
        <v>250</v>
      </c>
      <c r="H107" s="226">
        <f>G107</f>
        <v>250</v>
      </c>
      <c r="I107" s="226">
        <f>H107</f>
        <v>250</v>
      </c>
      <c r="J107" s="226">
        <f>I107</f>
        <v>250</v>
      </c>
      <c r="K107" s="187"/>
      <c r="L107" s="187"/>
    </row>
    <row r="108" spans="1:12">
      <c r="A108" s="225"/>
      <c r="B108" s="225" t="s">
        <v>699</v>
      </c>
      <c r="C108" s="225"/>
      <c r="D108" s="225"/>
      <c r="E108" s="229">
        <f t="shared" ref="E108:J108" si="28">E94*E95*E96*E98*E107</f>
        <v>3000</v>
      </c>
      <c r="F108" s="229">
        <f t="shared" si="28"/>
        <v>0</v>
      </c>
      <c r="G108" s="229">
        <f t="shared" si="28"/>
        <v>750</v>
      </c>
      <c r="H108" s="229">
        <f t="shared" si="28"/>
        <v>750</v>
      </c>
      <c r="I108" s="229">
        <f t="shared" si="28"/>
        <v>750</v>
      </c>
      <c r="J108" s="229">
        <f t="shared" si="28"/>
        <v>750</v>
      </c>
      <c r="K108" s="187"/>
      <c r="L108" s="187"/>
    </row>
    <row r="109" spans="1:12">
      <c r="A109" s="225"/>
      <c r="B109" s="225"/>
      <c r="C109" s="225"/>
      <c r="D109" s="225"/>
      <c r="E109" s="226"/>
      <c r="F109" s="226"/>
      <c r="G109" s="226"/>
      <c r="H109" s="226"/>
      <c r="I109" s="226"/>
      <c r="J109" s="226"/>
      <c r="K109" s="187"/>
      <c r="L109" s="187"/>
    </row>
    <row r="110" spans="1:12" s="262" customFormat="1">
      <c r="A110" s="262" t="s">
        <v>702</v>
      </c>
      <c r="E110" s="263"/>
      <c r="F110" s="263"/>
      <c r="G110" s="263"/>
      <c r="H110" s="263"/>
      <c r="I110" s="263"/>
      <c r="J110" s="263"/>
      <c r="K110" s="264"/>
      <c r="L110" s="264"/>
    </row>
    <row r="111" spans="1:12" ht="15.5">
      <c r="A111" s="225"/>
      <c r="B111" s="225" t="s">
        <v>703</v>
      </c>
      <c r="C111" s="225"/>
      <c r="D111" s="225"/>
      <c r="E111" s="228">
        <f>E$19</f>
        <v>100</v>
      </c>
      <c r="F111" s="226">
        <f>E111</f>
        <v>100</v>
      </c>
      <c r="G111" s="226">
        <f t="shared" ref="G111:J112" si="29">F111</f>
        <v>100</v>
      </c>
      <c r="H111" s="226">
        <f t="shared" si="29"/>
        <v>100</v>
      </c>
      <c r="I111" s="226">
        <f t="shared" si="29"/>
        <v>100</v>
      </c>
      <c r="J111" s="226">
        <f t="shared" si="29"/>
        <v>100</v>
      </c>
      <c r="K111" s="187"/>
      <c r="L111" s="187"/>
    </row>
    <row r="112" spans="1:12" ht="15.5">
      <c r="A112" s="225"/>
      <c r="B112" s="225" t="s">
        <v>704</v>
      </c>
      <c r="C112" s="225"/>
      <c r="D112" s="225"/>
      <c r="E112" s="228">
        <f>E$20</f>
        <v>50</v>
      </c>
      <c r="F112" s="226">
        <f>E112</f>
        <v>50</v>
      </c>
      <c r="G112" s="226">
        <f t="shared" si="29"/>
        <v>50</v>
      </c>
      <c r="H112" s="226">
        <f t="shared" si="29"/>
        <v>50</v>
      </c>
      <c r="I112" s="226">
        <f t="shared" si="29"/>
        <v>50</v>
      </c>
      <c r="J112" s="226">
        <f t="shared" si="29"/>
        <v>50</v>
      </c>
      <c r="K112" s="187"/>
      <c r="L112" s="187"/>
    </row>
    <row r="113" spans="1:12">
      <c r="A113" s="225"/>
      <c r="B113" s="225" t="s">
        <v>699</v>
      </c>
      <c r="C113" s="225"/>
      <c r="D113" s="225"/>
      <c r="E113" s="229">
        <f t="shared" ref="E113:J113" si="30">E94*E95*E98*(E111+E112)*2</f>
        <v>3600</v>
      </c>
      <c r="F113" s="229">
        <f t="shared" si="30"/>
        <v>0</v>
      </c>
      <c r="G113" s="229">
        <f t="shared" si="30"/>
        <v>900</v>
      </c>
      <c r="H113" s="229">
        <f t="shared" si="30"/>
        <v>900</v>
      </c>
      <c r="I113" s="229">
        <f t="shared" si="30"/>
        <v>900</v>
      </c>
      <c r="J113" s="229">
        <f t="shared" si="30"/>
        <v>900</v>
      </c>
      <c r="K113" s="187"/>
      <c r="L113" s="187"/>
    </row>
    <row r="114" spans="1:12">
      <c r="A114" s="225"/>
      <c r="B114" s="225"/>
      <c r="C114" s="225"/>
      <c r="D114" s="225"/>
      <c r="E114" s="226"/>
      <c r="F114" s="226"/>
      <c r="G114" s="226"/>
      <c r="H114" s="226"/>
      <c r="I114" s="226"/>
      <c r="J114" s="226"/>
      <c r="K114" s="187"/>
      <c r="L114" s="187"/>
    </row>
    <row r="115" spans="1:12" s="262" customFormat="1" ht="15.5">
      <c r="A115" s="262" t="s">
        <v>705</v>
      </c>
      <c r="E115" s="269"/>
      <c r="F115" s="263"/>
      <c r="G115" s="263"/>
      <c r="H115" s="263"/>
      <c r="I115" s="263"/>
      <c r="J115" s="263"/>
      <c r="K115" s="264"/>
      <c r="L115" s="264"/>
    </row>
    <row r="116" spans="1:12" ht="15.5">
      <c r="A116" s="225"/>
      <c r="B116" s="225" t="s">
        <v>706</v>
      </c>
      <c r="C116" s="225"/>
      <c r="D116" s="225"/>
      <c r="E116" s="228">
        <f>E$23</f>
        <v>150</v>
      </c>
      <c r="F116" s="226">
        <f>E116</f>
        <v>150</v>
      </c>
      <c r="G116" s="226">
        <f>F116</f>
        <v>150</v>
      </c>
      <c r="H116" s="226">
        <f>G116</f>
        <v>150</v>
      </c>
      <c r="I116" s="226">
        <f>H116</f>
        <v>150</v>
      </c>
      <c r="J116" s="226">
        <f>I116</f>
        <v>150</v>
      </c>
      <c r="K116" s="187"/>
      <c r="L116" s="187"/>
    </row>
    <row r="117" spans="1:12" ht="15.5">
      <c r="A117" s="225"/>
      <c r="B117" s="225" t="s">
        <v>699</v>
      </c>
      <c r="C117" s="225"/>
      <c r="D117" s="225"/>
      <c r="E117" s="230">
        <f t="shared" ref="E117:J117" si="31">E94*E95*E98*E116</f>
        <v>1800</v>
      </c>
      <c r="F117" s="230">
        <f t="shared" si="31"/>
        <v>0</v>
      </c>
      <c r="G117" s="230">
        <f t="shared" si="31"/>
        <v>450</v>
      </c>
      <c r="H117" s="230">
        <f t="shared" si="31"/>
        <v>450</v>
      </c>
      <c r="I117" s="230">
        <f t="shared" si="31"/>
        <v>450</v>
      </c>
      <c r="J117" s="230">
        <f t="shared" si="31"/>
        <v>450</v>
      </c>
      <c r="K117" s="187"/>
      <c r="L117" s="187"/>
    </row>
    <row r="118" spans="1:12" ht="15.5">
      <c r="A118" s="225"/>
      <c r="B118" s="225"/>
      <c r="C118" s="225"/>
      <c r="D118" s="225"/>
      <c r="E118" s="228"/>
      <c r="F118" s="228"/>
      <c r="G118" s="228"/>
      <c r="H118" s="228"/>
      <c r="I118" s="228"/>
      <c r="J118" s="228"/>
      <c r="K118" s="187"/>
      <c r="L118" s="187"/>
    </row>
    <row r="119" spans="1:12" s="262" customFormat="1">
      <c r="A119" s="262" t="s">
        <v>707</v>
      </c>
      <c r="E119" s="263"/>
      <c r="F119" s="263"/>
      <c r="G119" s="263"/>
      <c r="H119" s="263"/>
      <c r="I119" s="263"/>
      <c r="J119" s="263"/>
      <c r="K119" s="264"/>
      <c r="L119" s="264"/>
    </row>
    <row r="120" spans="1:12" ht="15.5">
      <c r="A120" s="225"/>
      <c r="B120" s="225" t="s">
        <v>708</v>
      </c>
      <c r="C120" s="225"/>
      <c r="D120" s="225"/>
      <c r="E120" s="228">
        <f>E$26</f>
        <v>3000</v>
      </c>
      <c r="F120" s="226">
        <f>E120</f>
        <v>3000</v>
      </c>
      <c r="G120" s="226">
        <f>F120</f>
        <v>3000</v>
      </c>
      <c r="H120" s="226">
        <f>G120</f>
        <v>3000</v>
      </c>
      <c r="I120" s="226">
        <f>H120</f>
        <v>3000</v>
      </c>
      <c r="J120" s="226">
        <f>I120</f>
        <v>3000</v>
      </c>
      <c r="K120" s="187"/>
      <c r="L120" s="187"/>
    </row>
    <row r="121" spans="1:12">
      <c r="A121" s="225"/>
      <c r="B121" s="225" t="s">
        <v>699</v>
      </c>
      <c r="C121" s="225"/>
      <c r="D121" s="225"/>
      <c r="E121" s="229">
        <f t="shared" ref="E121:J121" si="32">E94*E95*E96*E120</f>
        <v>36000</v>
      </c>
      <c r="F121" s="229">
        <f t="shared" si="32"/>
        <v>0</v>
      </c>
      <c r="G121" s="229">
        <f t="shared" si="32"/>
        <v>9000</v>
      </c>
      <c r="H121" s="229">
        <f t="shared" si="32"/>
        <v>9000</v>
      </c>
      <c r="I121" s="229">
        <f t="shared" si="32"/>
        <v>9000</v>
      </c>
      <c r="J121" s="229">
        <f t="shared" si="32"/>
        <v>9000</v>
      </c>
      <c r="K121" s="187"/>
      <c r="L121" s="187"/>
    </row>
    <row r="122" spans="1:12">
      <c r="A122" s="225"/>
      <c r="B122" s="225"/>
      <c r="C122" s="225"/>
      <c r="D122" s="225"/>
      <c r="E122" s="226"/>
      <c r="F122" s="226"/>
      <c r="G122" s="226"/>
      <c r="H122" s="226"/>
      <c r="I122" s="226"/>
      <c r="J122" s="226"/>
      <c r="K122" s="187"/>
      <c r="L122" s="187"/>
    </row>
    <row r="123" spans="1:12" s="262" customFormat="1">
      <c r="A123" s="262" t="s">
        <v>710</v>
      </c>
      <c r="E123" s="263"/>
      <c r="F123" s="263"/>
      <c r="G123" s="263"/>
      <c r="H123" s="263"/>
      <c r="I123" s="263"/>
      <c r="J123" s="263"/>
      <c r="K123" s="264"/>
      <c r="L123" s="264"/>
    </row>
    <row r="124" spans="1:12" ht="15.5">
      <c r="A124" s="225"/>
      <c r="B124" s="225" t="s">
        <v>711</v>
      </c>
      <c r="C124" s="225"/>
      <c r="D124" s="225"/>
      <c r="E124" s="227">
        <v>100</v>
      </c>
      <c r="F124" s="226">
        <f t="shared" ref="F124:J125" si="33">E124</f>
        <v>100</v>
      </c>
      <c r="G124" s="226">
        <f t="shared" si="33"/>
        <v>100</v>
      </c>
      <c r="H124" s="226">
        <f t="shared" si="33"/>
        <v>100</v>
      </c>
      <c r="I124" s="226">
        <f t="shared" si="33"/>
        <v>100</v>
      </c>
      <c r="J124" s="226">
        <f t="shared" si="33"/>
        <v>100</v>
      </c>
      <c r="K124" s="187"/>
      <c r="L124" s="187"/>
    </row>
    <row r="125" spans="1:12" ht="15.5">
      <c r="A125" s="225"/>
      <c r="B125" s="225" t="s">
        <v>712</v>
      </c>
      <c r="C125" s="225"/>
      <c r="D125" s="225"/>
      <c r="E125" s="228">
        <f>E$30</f>
        <v>30</v>
      </c>
      <c r="F125" s="226">
        <f t="shared" si="33"/>
        <v>30</v>
      </c>
      <c r="G125" s="226">
        <f t="shared" si="33"/>
        <v>30</v>
      </c>
      <c r="H125" s="226">
        <f t="shared" si="33"/>
        <v>30</v>
      </c>
      <c r="I125" s="226">
        <f t="shared" si="33"/>
        <v>30</v>
      </c>
      <c r="J125" s="226">
        <f t="shared" si="33"/>
        <v>30</v>
      </c>
      <c r="K125" s="187"/>
      <c r="L125" s="187"/>
    </row>
    <row r="126" spans="1:12">
      <c r="A126" s="225"/>
      <c r="B126" s="225" t="s">
        <v>699</v>
      </c>
      <c r="C126" s="225"/>
      <c r="D126" s="225"/>
      <c r="E126" s="229">
        <f t="shared" ref="E126:J126" si="34">E94*E95*E96*E124*E125</f>
        <v>36000</v>
      </c>
      <c r="F126" s="229">
        <f t="shared" si="34"/>
        <v>0</v>
      </c>
      <c r="G126" s="229">
        <f t="shared" si="34"/>
        <v>9000</v>
      </c>
      <c r="H126" s="229">
        <f t="shared" si="34"/>
        <v>9000</v>
      </c>
      <c r="I126" s="229">
        <f t="shared" si="34"/>
        <v>9000</v>
      </c>
      <c r="J126" s="229">
        <f t="shared" si="34"/>
        <v>9000</v>
      </c>
      <c r="K126" s="187"/>
      <c r="L126" s="187"/>
    </row>
    <row r="127" spans="1:12">
      <c r="A127" s="225"/>
      <c r="B127" s="225"/>
      <c r="C127" s="225"/>
      <c r="D127" s="225"/>
      <c r="E127" s="226"/>
      <c r="F127" s="226"/>
      <c r="G127" s="226"/>
      <c r="H127" s="226"/>
      <c r="I127" s="226"/>
      <c r="J127" s="226"/>
      <c r="K127" s="187"/>
      <c r="L127" s="187"/>
    </row>
    <row r="128" spans="1:12" s="262" customFormat="1">
      <c r="A128" s="262" t="s">
        <v>747</v>
      </c>
      <c r="E128" s="263"/>
      <c r="F128" s="263"/>
      <c r="G128" s="263"/>
      <c r="H128" s="263"/>
      <c r="I128" s="263"/>
      <c r="J128" s="263"/>
      <c r="K128" s="264"/>
      <c r="L128" s="264"/>
    </row>
    <row r="129" spans="1:12" ht="15.5">
      <c r="A129" s="225"/>
      <c r="B129" s="225" t="s">
        <v>748</v>
      </c>
      <c r="C129" s="225"/>
      <c r="D129" s="225"/>
      <c r="E129" s="226">
        <f>SUM(F129:J129)</f>
        <v>10000</v>
      </c>
      <c r="F129" s="227">
        <v>0</v>
      </c>
      <c r="G129" s="227">
        <v>10000</v>
      </c>
      <c r="H129" s="227">
        <v>0</v>
      </c>
      <c r="I129" s="227">
        <v>0</v>
      </c>
      <c r="J129" s="227">
        <v>0</v>
      </c>
      <c r="K129" s="187"/>
      <c r="L129" s="187"/>
    </row>
    <row r="130" spans="1:12" ht="15.5">
      <c r="A130" s="225"/>
      <c r="B130" s="225" t="s">
        <v>749</v>
      </c>
      <c r="C130" s="225"/>
      <c r="D130" s="225"/>
      <c r="E130" s="226">
        <f>SUM(F130:J130)</f>
        <v>20000</v>
      </c>
      <c r="F130" s="227">
        <v>0</v>
      </c>
      <c r="G130" s="227">
        <v>5000</v>
      </c>
      <c r="H130" s="227">
        <v>5000</v>
      </c>
      <c r="I130" s="227">
        <v>5000</v>
      </c>
      <c r="J130" s="227">
        <v>5000</v>
      </c>
      <c r="K130" s="187"/>
      <c r="L130" s="187"/>
    </row>
    <row r="131" spans="1:12">
      <c r="A131" s="225"/>
      <c r="B131" s="225" t="s">
        <v>699</v>
      </c>
      <c r="C131" s="225"/>
      <c r="D131" s="225"/>
      <c r="E131" s="229">
        <f t="shared" ref="E131:J131" si="35">E129+E130</f>
        <v>30000</v>
      </c>
      <c r="F131" s="229">
        <f t="shared" si="35"/>
        <v>0</v>
      </c>
      <c r="G131" s="229">
        <f t="shared" si="35"/>
        <v>15000</v>
      </c>
      <c r="H131" s="229">
        <f t="shared" si="35"/>
        <v>5000</v>
      </c>
      <c r="I131" s="229">
        <f t="shared" si="35"/>
        <v>5000</v>
      </c>
      <c r="J131" s="229">
        <f t="shared" si="35"/>
        <v>5000</v>
      </c>
      <c r="K131" s="187"/>
      <c r="L131" s="187"/>
    </row>
    <row r="132" spans="1:12">
      <c r="A132" s="225"/>
      <c r="B132" s="225"/>
      <c r="C132" s="225"/>
      <c r="D132" s="225"/>
      <c r="E132" s="226"/>
      <c r="F132" s="226"/>
      <c r="G132" s="226"/>
      <c r="H132" s="226"/>
      <c r="I132" s="226"/>
      <c r="J132" s="226"/>
      <c r="K132" s="187"/>
      <c r="L132" s="187"/>
    </row>
    <row r="133" spans="1:12" s="266" customFormat="1" ht="15.5">
      <c r="A133" s="266" t="s">
        <v>699</v>
      </c>
      <c r="E133" s="274">
        <f t="shared" ref="E133:J133" si="36">E100+E104+E108+E113+E117+E121+E126+E131</f>
        <v>157200</v>
      </c>
      <c r="F133" s="274">
        <f t="shared" si="36"/>
        <v>0</v>
      </c>
      <c r="G133" s="274">
        <f t="shared" si="36"/>
        <v>46800</v>
      </c>
      <c r="H133" s="274">
        <f t="shared" si="36"/>
        <v>36800</v>
      </c>
      <c r="I133" s="274">
        <f t="shared" si="36"/>
        <v>36800</v>
      </c>
      <c r="J133" s="274">
        <f t="shared" si="36"/>
        <v>36800</v>
      </c>
      <c r="K133" s="275"/>
      <c r="L133" s="275"/>
    </row>
    <row r="134" spans="1:12">
      <c r="E134" s="205"/>
      <c r="F134" s="205"/>
      <c r="G134" s="205"/>
      <c r="H134" s="205"/>
      <c r="I134" s="205"/>
      <c r="J134" s="205"/>
    </row>
    <row r="135" spans="1:12" s="266" customFormat="1" ht="15.5">
      <c r="A135" s="266" t="s">
        <v>750</v>
      </c>
      <c r="E135" s="267"/>
      <c r="F135" s="267"/>
      <c r="G135" s="267"/>
      <c r="H135" s="267"/>
      <c r="I135" s="267"/>
      <c r="J135" s="267"/>
    </row>
    <row r="136" spans="1:12">
      <c r="A136" s="232"/>
      <c r="B136" s="232"/>
      <c r="C136" s="232"/>
      <c r="D136" s="232"/>
      <c r="E136" s="233"/>
      <c r="F136" s="233"/>
      <c r="G136" s="233"/>
      <c r="H136" s="233"/>
      <c r="I136" s="233"/>
      <c r="J136" s="233"/>
    </row>
    <row r="137" spans="1:12" ht="15.5">
      <c r="A137" s="234" t="s">
        <v>751</v>
      </c>
      <c r="B137" s="232"/>
      <c r="C137" s="232"/>
      <c r="D137" s="232"/>
      <c r="E137" s="233"/>
      <c r="F137" s="233"/>
      <c r="G137" s="233"/>
      <c r="H137" s="233"/>
      <c r="I137" s="233"/>
      <c r="J137" s="233"/>
      <c r="K137" s="10"/>
      <c r="L137" s="205"/>
    </row>
    <row r="138" spans="1:12">
      <c r="A138" s="232"/>
      <c r="B138" s="232" t="s">
        <v>752</v>
      </c>
      <c r="C138" s="232"/>
      <c r="D138" s="232"/>
      <c r="E138" s="233"/>
      <c r="F138" s="233"/>
      <c r="G138" s="233"/>
      <c r="H138" s="233"/>
      <c r="I138" s="233"/>
      <c r="J138" s="233"/>
      <c r="K138" s="187"/>
      <c r="L138" s="187"/>
    </row>
    <row r="139" spans="1:12" ht="15.5">
      <c r="A139" s="232"/>
      <c r="B139" s="232"/>
      <c r="C139" s="232" t="s">
        <v>753</v>
      </c>
      <c r="D139" s="232"/>
      <c r="E139" s="233"/>
      <c r="F139" s="235">
        <v>0</v>
      </c>
      <c r="G139" s="235">
        <v>3</v>
      </c>
      <c r="H139" s="235">
        <v>0</v>
      </c>
      <c r="I139" s="235">
        <v>0</v>
      </c>
      <c r="J139" s="235">
        <v>0</v>
      </c>
      <c r="K139" s="187"/>
      <c r="L139" s="187"/>
    </row>
    <row r="140" spans="1:12" ht="15.5">
      <c r="A140" s="232"/>
      <c r="B140" s="232"/>
      <c r="C140" s="232" t="s">
        <v>754</v>
      </c>
      <c r="D140" s="232"/>
      <c r="E140" s="233"/>
      <c r="F140" s="235">
        <v>0</v>
      </c>
      <c r="G140" s="235">
        <v>1</v>
      </c>
      <c r="H140" s="235">
        <v>0</v>
      </c>
      <c r="I140" s="235">
        <v>0</v>
      </c>
      <c r="J140" s="235">
        <v>0</v>
      </c>
      <c r="K140" s="187"/>
      <c r="L140" s="187"/>
    </row>
    <row r="141" spans="1:12">
      <c r="A141" s="232"/>
      <c r="B141" s="232" t="s">
        <v>755</v>
      </c>
      <c r="C141" s="232"/>
      <c r="D141" s="232"/>
      <c r="E141" s="233"/>
      <c r="F141" s="233"/>
      <c r="G141" s="233"/>
      <c r="H141" s="233"/>
      <c r="I141" s="233"/>
      <c r="J141" s="233"/>
      <c r="K141" s="187"/>
      <c r="L141" s="187"/>
    </row>
    <row r="142" spans="1:12" ht="15.5">
      <c r="A142" s="232"/>
      <c r="B142" s="232"/>
      <c r="C142" s="232" t="s">
        <v>753</v>
      </c>
      <c r="D142" s="232"/>
      <c r="E142" s="233"/>
      <c r="F142" s="235">
        <v>0</v>
      </c>
      <c r="G142" s="235">
        <v>4</v>
      </c>
      <c r="H142" s="235">
        <v>0</v>
      </c>
      <c r="I142" s="235">
        <v>0</v>
      </c>
      <c r="J142" s="235">
        <v>0</v>
      </c>
      <c r="K142" s="187"/>
      <c r="L142" s="187"/>
    </row>
    <row r="143" spans="1:12" ht="15.5">
      <c r="A143" s="232"/>
      <c r="B143" s="232"/>
      <c r="C143" s="232" t="s">
        <v>754</v>
      </c>
      <c r="D143" s="232"/>
      <c r="E143" s="233"/>
      <c r="F143" s="235">
        <v>0</v>
      </c>
      <c r="G143" s="235">
        <v>2</v>
      </c>
      <c r="H143" s="235">
        <v>0</v>
      </c>
      <c r="I143" s="235">
        <v>0</v>
      </c>
      <c r="J143" s="235">
        <v>0</v>
      </c>
      <c r="K143" s="187"/>
      <c r="L143" s="187"/>
    </row>
    <row r="144" spans="1:12">
      <c r="A144" s="232"/>
      <c r="B144" s="232" t="s">
        <v>756</v>
      </c>
      <c r="C144" s="232"/>
      <c r="D144" s="232"/>
      <c r="E144" s="233"/>
      <c r="F144" s="233"/>
      <c r="G144" s="233"/>
      <c r="H144" s="233"/>
      <c r="I144" s="233"/>
      <c r="J144" s="233"/>
      <c r="K144" s="187"/>
      <c r="L144" s="187"/>
    </row>
    <row r="145" spans="1:12" ht="15.5">
      <c r="A145" s="232"/>
      <c r="B145" s="232"/>
      <c r="C145" s="232" t="s">
        <v>753</v>
      </c>
      <c r="D145" s="232"/>
      <c r="E145" s="233"/>
      <c r="F145" s="235">
        <v>0</v>
      </c>
      <c r="G145" s="235">
        <v>5</v>
      </c>
      <c r="H145" s="235">
        <v>0</v>
      </c>
      <c r="I145" s="235">
        <v>0</v>
      </c>
      <c r="J145" s="235">
        <v>0</v>
      </c>
      <c r="K145" s="187"/>
      <c r="L145" s="187"/>
    </row>
    <row r="146" spans="1:12" ht="15.5">
      <c r="A146" s="232"/>
      <c r="B146" s="232"/>
      <c r="C146" s="232" t="s">
        <v>754</v>
      </c>
      <c r="D146" s="232"/>
      <c r="E146" s="233"/>
      <c r="F146" s="235">
        <v>0</v>
      </c>
      <c r="G146" s="236">
        <v>0.5</v>
      </c>
      <c r="H146" s="235">
        <v>0</v>
      </c>
      <c r="I146" s="235">
        <v>0</v>
      </c>
      <c r="J146" s="235">
        <v>0</v>
      </c>
      <c r="K146" s="187"/>
      <c r="L146" s="187"/>
    </row>
    <row r="147" spans="1:12" ht="15.5">
      <c r="A147" s="232"/>
      <c r="B147" s="232" t="s">
        <v>757</v>
      </c>
      <c r="C147" s="232"/>
      <c r="D147" s="232"/>
      <c r="E147" s="233"/>
      <c r="F147" s="235">
        <v>0</v>
      </c>
      <c r="G147" s="235">
        <v>500</v>
      </c>
      <c r="H147" s="235">
        <v>0</v>
      </c>
      <c r="I147" s="235">
        <v>0</v>
      </c>
      <c r="J147" s="235">
        <v>0</v>
      </c>
      <c r="K147" s="187"/>
      <c r="L147" s="187"/>
    </row>
    <row r="148" spans="1:12">
      <c r="A148" s="232"/>
      <c r="B148" s="232" t="s">
        <v>608</v>
      </c>
      <c r="C148" s="232"/>
      <c r="D148" s="232"/>
      <c r="E148" s="233"/>
      <c r="F148" s="233"/>
      <c r="G148" s="233"/>
      <c r="H148" s="233"/>
      <c r="I148" s="233"/>
      <c r="J148" s="233"/>
      <c r="K148" s="187"/>
      <c r="L148" s="187"/>
    </row>
    <row r="149" spans="1:12" s="262" customFormat="1">
      <c r="C149" s="262" t="s">
        <v>753</v>
      </c>
      <c r="E149" s="263">
        <f>SUM(F149:J149)</f>
        <v>30000</v>
      </c>
      <c r="F149" s="263">
        <f t="shared" ref="F149:J150" si="37">F139*F142*F145*F$147</f>
        <v>0</v>
      </c>
      <c r="G149" s="263">
        <f t="shared" si="37"/>
        <v>30000</v>
      </c>
      <c r="H149" s="263">
        <f t="shared" si="37"/>
        <v>0</v>
      </c>
      <c r="I149" s="263">
        <f t="shared" si="37"/>
        <v>0</v>
      </c>
      <c r="J149" s="263">
        <f t="shared" si="37"/>
        <v>0</v>
      </c>
      <c r="K149" s="264"/>
      <c r="L149" s="264"/>
    </row>
    <row r="150" spans="1:12" s="262" customFormat="1">
      <c r="C150" s="262" t="s">
        <v>754</v>
      </c>
      <c r="E150" s="263">
        <f>SUM(F150:J150)</f>
        <v>500</v>
      </c>
      <c r="F150" s="263">
        <f t="shared" si="37"/>
        <v>0</v>
      </c>
      <c r="G150" s="263">
        <f t="shared" si="37"/>
        <v>500</v>
      </c>
      <c r="H150" s="263">
        <f t="shared" si="37"/>
        <v>0</v>
      </c>
      <c r="I150" s="263">
        <f t="shared" si="37"/>
        <v>0</v>
      </c>
      <c r="J150" s="263">
        <f t="shared" si="37"/>
        <v>0</v>
      </c>
      <c r="K150" s="264"/>
      <c r="L150" s="264"/>
    </row>
    <row r="151" spans="1:12">
      <c r="A151" s="232"/>
      <c r="B151" s="232"/>
      <c r="C151" s="232" t="s">
        <v>699</v>
      </c>
      <c r="D151" s="232"/>
      <c r="E151" s="237">
        <f t="shared" ref="E151:J151" si="38">SUM(E149:E150)</f>
        <v>30500</v>
      </c>
      <c r="F151" s="237">
        <f t="shared" si="38"/>
        <v>0</v>
      </c>
      <c r="G151" s="237">
        <f t="shared" si="38"/>
        <v>30500</v>
      </c>
      <c r="H151" s="237">
        <f t="shared" si="38"/>
        <v>0</v>
      </c>
      <c r="I151" s="237">
        <f t="shared" si="38"/>
        <v>0</v>
      </c>
      <c r="J151" s="237">
        <f t="shared" si="38"/>
        <v>0</v>
      </c>
      <c r="K151" s="187"/>
      <c r="L151" s="187"/>
    </row>
    <row r="152" spans="1:12">
      <c r="A152" s="232"/>
      <c r="B152" s="232"/>
      <c r="C152" s="232"/>
      <c r="D152" s="232"/>
      <c r="E152" s="233"/>
      <c r="F152" s="233"/>
      <c r="G152" s="233"/>
      <c r="H152" s="233"/>
      <c r="I152" s="233"/>
      <c r="J152" s="233"/>
      <c r="K152" s="187"/>
      <c r="L152" s="187"/>
    </row>
    <row r="153" spans="1:12" s="262" customFormat="1">
      <c r="A153" s="262" t="s">
        <v>758</v>
      </c>
      <c r="E153" s="263"/>
      <c r="F153" s="263"/>
      <c r="G153" s="263"/>
      <c r="H153" s="263"/>
      <c r="I153" s="263"/>
      <c r="J153" s="263"/>
      <c r="K153" s="264"/>
      <c r="L153" s="264"/>
    </row>
    <row r="154" spans="1:12" ht="15.5">
      <c r="A154" s="232"/>
      <c r="B154" s="232" t="s">
        <v>708</v>
      </c>
      <c r="C154" s="232"/>
      <c r="D154" s="232"/>
      <c r="E154" s="238"/>
      <c r="F154" s="235">
        <v>0</v>
      </c>
      <c r="G154" s="235">
        <v>500</v>
      </c>
      <c r="H154" s="235">
        <v>0</v>
      </c>
      <c r="I154" s="235">
        <v>0</v>
      </c>
      <c r="J154" s="235">
        <v>0</v>
      </c>
      <c r="K154" s="187">
        <f>G154*G145</f>
        <v>2500</v>
      </c>
      <c r="L154" s="187"/>
    </row>
    <row r="155" spans="1:12">
      <c r="A155" s="232"/>
      <c r="B155" s="232" t="s">
        <v>699</v>
      </c>
      <c r="C155" s="232"/>
      <c r="D155" s="232"/>
      <c r="E155" s="237">
        <f>SUM(F155:J155)</f>
        <v>7500</v>
      </c>
      <c r="F155" s="237">
        <f>F133*F134*F135*F154</f>
        <v>0</v>
      </c>
      <c r="G155" s="237">
        <f>G154*G139*G145</f>
        <v>7500</v>
      </c>
      <c r="H155" s="237">
        <f>H133*H134*H135*H154</f>
        <v>0</v>
      </c>
      <c r="I155" s="237">
        <f>I133*I134*I135*I154</f>
        <v>0</v>
      </c>
      <c r="J155" s="237">
        <f>J133*J134*J135*J154</f>
        <v>0</v>
      </c>
      <c r="K155" s="187"/>
      <c r="L155" s="187"/>
    </row>
    <row r="156" spans="1:12">
      <c r="A156" s="232"/>
      <c r="B156" s="232"/>
      <c r="C156" s="232"/>
      <c r="D156" s="232"/>
      <c r="E156" s="233"/>
      <c r="F156" s="233"/>
      <c r="G156" s="233"/>
      <c r="H156" s="233"/>
      <c r="I156" s="233"/>
      <c r="J156" s="233"/>
      <c r="K156" s="187"/>
      <c r="L156" s="187"/>
    </row>
    <row r="157" spans="1:12" s="262" customFormat="1">
      <c r="A157" s="262" t="s">
        <v>759</v>
      </c>
      <c r="E157" s="263"/>
      <c r="F157" s="263"/>
      <c r="G157" s="263"/>
      <c r="H157" s="263"/>
      <c r="I157" s="263"/>
      <c r="J157" s="263"/>
      <c r="K157" s="264"/>
      <c r="L157" s="264"/>
    </row>
    <row r="158" spans="1:12" ht="15.5">
      <c r="A158" s="232"/>
      <c r="B158" s="232" t="s">
        <v>760</v>
      </c>
      <c r="C158" s="232"/>
      <c r="D158" s="232"/>
      <c r="E158" s="235"/>
      <c r="F158" s="235">
        <v>0</v>
      </c>
      <c r="G158" s="235">
        <v>60</v>
      </c>
      <c r="H158" s="235">
        <v>0</v>
      </c>
      <c r="I158" s="235">
        <v>0</v>
      </c>
      <c r="J158" s="235">
        <v>0</v>
      </c>
      <c r="K158" s="187"/>
      <c r="L158" s="187"/>
    </row>
    <row r="159" spans="1:12" ht="15.5">
      <c r="A159" s="232"/>
      <c r="B159" s="232" t="s">
        <v>761</v>
      </c>
      <c r="C159" s="232"/>
      <c r="D159" s="232"/>
      <c r="E159" s="238"/>
      <c r="F159" s="235">
        <v>0</v>
      </c>
      <c r="G159" s="235">
        <v>20</v>
      </c>
      <c r="H159" s="235">
        <v>0</v>
      </c>
      <c r="I159" s="235">
        <v>0</v>
      </c>
      <c r="J159" s="235">
        <v>0</v>
      </c>
      <c r="K159" s="187">
        <f>SUM(G158*G159*G145)</f>
        <v>6000</v>
      </c>
      <c r="L159" s="187"/>
    </row>
    <row r="160" spans="1:12">
      <c r="A160" s="232"/>
      <c r="B160" s="232" t="s">
        <v>699</v>
      </c>
      <c r="C160" s="232"/>
      <c r="D160" s="232"/>
      <c r="E160" s="237">
        <f>SUM(F160:J160)</f>
        <v>18000</v>
      </c>
      <c r="F160" s="237">
        <f>F158*F159*F145*F139</f>
        <v>0</v>
      </c>
      <c r="G160" s="237">
        <f>G158*G159*G145*G139</f>
        <v>18000</v>
      </c>
      <c r="H160" s="237">
        <f>H158*H159*H145*H139</f>
        <v>0</v>
      </c>
      <c r="I160" s="237">
        <f>I158*I159*I145*I139</f>
        <v>0</v>
      </c>
      <c r="J160" s="237">
        <f>J158*J159*J145*J139</f>
        <v>0</v>
      </c>
      <c r="K160" s="187"/>
      <c r="L160" s="187"/>
    </row>
    <row r="161" spans="1:12">
      <c r="A161" s="232"/>
      <c r="B161" s="232"/>
      <c r="C161" s="232"/>
      <c r="D161" s="232"/>
      <c r="E161" s="233"/>
      <c r="F161" s="233"/>
      <c r="G161" s="233"/>
      <c r="H161" s="233"/>
      <c r="I161" s="233"/>
      <c r="J161" s="233"/>
      <c r="K161" s="187"/>
      <c r="L161" s="187"/>
    </row>
    <row r="162" spans="1:12" s="204" customFormat="1" ht="15.5">
      <c r="A162" s="231" t="s">
        <v>699</v>
      </c>
      <c r="B162" s="231"/>
      <c r="C162" s="231"/>
      <c r="D162" s="231"/>
      <c r="E162" s="239">
        <f t="shared" ref="E162:J162" si="39">E151+E155+E160</f>
        <v>56000</v>
      </c>
      <c r="F162" s="239">
        <f t="shared" si="39"/>
        <v>0</v>
      </c>
      <c r="G162" s="239">
        <f t="shared" si="39"/>
        <v>56000</v>
      </c>
      <c r="H162" s="239">
        <f t="shared" si="39"/>
        <v>0</v>
      </c>
      <c r="I162" s="239">
        <f t="shared" si="39"/>
        <v>0</v>
      </c>
      <c r="J162" s="239">
        <f t="shared" si="39"/>
        <v>0</v>
      </c>
      <c r="K162" s="203"/>
      <c r="L162" s="203"/>
    </row>
    <row r="163" spans="1:12">
      <c r="E163" s="205"/>
      <c r="F163" s="205"/>
      <c r="G163" s="205"/>
      <c r="H163" s="205"/>
      <c r="I163" s="205"/>
      <c r="J163" s="205"/>
    </row>
    <row r="164" spans="1:12" s="204" customFormat="1" ht="15.5">
      <c r="A164" s="240" t="s">
        <v>762</v>
      </c>
      <c r="B164" s="240"/>
      <c r="C164" s="240"/>
      <c r="D164" s="240"/>
      <c r="E164" s="241"/>
      <c r="F164" s="241"/>
      <c r="G164" s="241"/>
      <c r="H164" s="241"/>
      <c r="I164" s="241"/>
      <c r="J164" s="241"/>
    </row>
    <row r="165" spans="1:12">
      <c r="A165" s="242"/>
      <c r="B165" s="242"/>
      <c r="C165" s="242"/>
      <c r="D165" s="242"/>
      <c r="E165" s="243"/>
      <c r="F165" s="243"/>
      <c r="G165" s="243"/>
      <c r="H165" s="243"/>
      <c r="I165" s="243"/>
      <c r="J165" s="243"/>
    </row>
    <row r="166" spans="1:12" s="194" customFormat="1" ht="15.5">
      <c r="A166" s="244" t="s">
        <v>763</v>
      </c>
      <c r="B166" s="244"/>
      <c r="C166" s="244"/>
      <c r="D166" s="244"/>
      <c r="E166" s="245"/>
      <c r="F166" s="245"/>
      <c r="G166" s="245"/>
      <c r="H166" s="245"/>
      <c r="I166" s="245"/>
      <c r="J166" s="245"/>
    </row>
    <row r="167" spans="1:12">
      <c r="A167" s="242"/>
      <c r="B167" s="242" t="s">
        <v>764</v>
      </c>
      <c r="C167" s="242"/>
      <c r="D167" s="242"/>
      <c r="E167" s="243"/>
      <c r="F167" s="243"/>
      <c r="G167" s="243"/>
      <c r="H167" s="243"/>
      <c r="I167" s="243"/>
      <c r="J167" s="243"/>
      <c r="K167" s="187"/>
      <c r="L167" s="187"/>
    </row>
    <row r="168" spans="1:12">
      <c r="E168" s="205"/>
      <c r="F168" s="205"/>
      <c r="G168" s="205"/>
      <c r="H168" s="205"/>
      <c r="I168" s="205"/>
      <c r="J168" s="205"/>
    </row>
    <row r="169" spans="1:12" s="204" customFormat="1" ht="15.5">
      <c r="A169" s="246" t="s">
        <v>765</v>
      </c>
      <c r="B169" s="246"/>
      <c r="C169" s="246"/>
      <c r="D169" s="246"/>
      <c r="E169" s="247"/>
      <c r="F169" s="247"/>
      <c r="G169" s="247"/>
      <c r="H169" s="247"/>
      <c r="I169" s="247"/>
      <c r="J169" s="247"/>
    </row>
    <row r="170" spans="1:12">
      <c r="A170" s="248"/>
      <c r="B170" s="248"/>
      <c r="C170" s="248"/>
      <c r="D170" s="248"/>
      <c r="E170" s="249"/>
      <c r="F170" s="249"/>
      <c r="G170" s="249"/>
      <c r="H170" s="249"/>
      <c r="I170" s="249"/>
      <c r="J170" s="249"/>
    </row>
    <row r="171" spans="1:12" s="270" customFormat="1" ht="15.5">
      <c r="A171" s="270" t="s">
        <v>766</v>
      </c>
      <c r="E171" s="277"/>
      <c r="F171" s="269"/>
      <c r="G171" s="269"/>
      <c r="H171" s="269"/>
      <c r="I171" s="269"/>
      <c r="J171" s="269"/>
    </row>
    <row r="172" spans="1:12" s="194" customFormat="1" ht="15.5">
      <c r="A172" s="250"/>
      <c r="B172" s="250" t="s">
        <v>767</v>
      </c>
      <c r="C172" s="250"/>
      <c r="D172" s="250"/>
      <c r="E172" s="251"/>
      <c r="F172" s="252">
        <v>0</v>
      </c>
      <c r="G172" s="252">
        <v>0</v>
      </c>
      <c r="H172" s="252">
        <v>0</v>
      </c>
      <c r="I172" s="252">
        <v>0</v>
      </c>
      <c r="J172" s="252">
        <v>80</v>
      </c>
    </row>
    <row r="173" spans="1:12" s="194" customFormat="1" ht="15.5">
      <c r="A173" s="250"/>
      <c r="B173" s="250" t="s">
        <v>768</v>
      </c>
      <c r="C173" s="250"/>
      <c r="D173" s="250"/>
      <c r="E173" s="251"/>
      <c r="F173" s="252">
        <v>0</v>
      </c>
      <c r="G173" s="252">
        <v>0</v>
      </c>
      <c r="H173" s="252">
        <v>0</v>
      </c>
      <c r="I173" s="252">
        <v>0</v>
      </c>
      <c r="J173" s="252">
        <v>800</v>
      </c>
    </row>
    <row r="174" spans="1:12" s="194" customFormat="1" ht="15.5">
      <c r="A174" s="250"/>
      <c r="B174" s="250" t="s">
        <v>699</v>
      </c>
      <c r="C174" s="250"/>
      <c r="D174" s="250"/>
      <c r="E174" s="253">
        <f>SUM(F174:J174)</f>
        <v>64000</v>
      </c>
      <c r="F174" s="254">
        <f>F172*F173</f>
        <v>0</v>
      </c>
      <c r="G174" s="254">
        <f>G172*G173</f>
        <v>0</v>
      </c>
      <c r="H174" s="254">
        <f>H172*H173</f>
        <v>0</v>
      </c>
      <c r="I174" s="254">
        <f>I172*I173</f>
        <v>0</v>
      </c>
      <c r="J174" s="254">
        <f>J172*J173</f>
        <v>64000</v>
      </c>
    </row>
    <row r="175" spans="1:12" s="194" customFormat="1" ht="15.5">
      <c r="A175" s="250"/>
      <c r="B175" s="250"/>
      <c r="C175" s="250"/>
      <c r="D175" s="250"/>
      <c r="E175" s="251"/>
      <c r="F175" s="251"/>
      <c r="G175" s="251"/>
      <c r="H175" s="251"/>
      <c r="I175" s="251"/>
      <c r="J175" s="251"/>
    </row>
    <row r="176" spans="1:12">
      <c r="A176" s="248" t="s">
        <v>769</v>
      </c>
      <c r="B176" s="248"/>
      <c r="C176" s="248"/>
      <c r="D176" s="248"/>
      <c r="E176" s="249"/>
      <c r="F176" s="249"/>
      <c r="G176" s="249"/>
      <c r="H176" s="249"/>
      <c r="I176" s="249"/>
      <c r="J176" s="249"/>
      <c r="K176" s="187"/>
      <c r="L176" s="187"/>
    </row>
    <row r="177" spans="1:12" ht="15.5">
      <c r="A177" s="248"/>
      <c r="B177" s="248" t="s">
        <v>770</v>
      </c>
      <c r="C177" s="248"/>
      <c r="D177" s="248"/>
      <c r="E177" s="249"/>
      <c r="F177" s="252">
        <v>0</v>
      </c>
      <c r="G177" s="252">
        <v>0</v>
      </c>
      <c r="H177" s="252">
        <v>0</v>
      </c>
      <c r="I177" s="252">
        <v>0</v>
      </c>
      <c r="J177" s="252">
        <v>1</v>
      </c>
      <c r="K177" s="187"/>
      <c r="L177" s="187"/>
    </row>
    <row r="178" spans="1:12" ht="15.5">
      <c r="A178" s="248"/>
      <c r="B178" s="248" t="s">
        <v>708</v>
      </c>
      <c r="C178" s="248"/>
      <c r="D178" s="248"/>
      <c r="E178" s="255"/>
      <c r="F178" s="252">
        <v>0</v>
      </c>
      <c r="G178" s="252">
        <v>0</v>
      </c>
      <c r="H178" s="252">
        <v>0</v>
      </c>
      <c r="I178" s="252">
        <v>0</v>
      </c>
      <c r="J178" s="252">
        <v>500</v>
      </c>
      <c r="K178" s="187"/>
      <c r="L178" s="187"/>
    </row>
    <row r="179" spans="1:12" ht="15.5">
      <c r="A179" s="248"/>
      <c r="B179" s="248" t="s">
        <v>699</v>
      </c>
      <c r="C179" s="248"/>
      <c r="D179" s="248"/>
      <c r="E179" s="253">
        <f>SUM(F179:J179)</f>
        <v>500</v>
      </c>
      <c r="F179" s="254">
        <f>F177*F178</f>
        <v>0</v>
      </c>
      <c r="G179" s="254">
        <f>G177*G178</f>
        <v>0</v>
      </c>
      <c r="H179" s="254">
        <f>H177*H178</f>
        <v>0</v>
      </c>
      <c r="I179" s="254">
        <f>I177*I178</f>
        <v>0</v>
      </c>
      <c r="J179" s="254">
        <f>J177*J178</f>
        <v>500</v>
      </c>
      <c r="K179" s="187"/>
      <c r="L179" s="187"/>
    </row>
    <row r="180" spans="1:12">
      <c r="A180" s="248"/>
      <c r="B180" s="248"/>
      <c r="C180" s="248"/>
      <c r="D180" s="248"/>
      <c r="E180" s="249"/>
      <c r="F180" s="249"/>
      <c r="G180" s="249"/>
      <c r="H180" s="249"/>
      <c r="I180" s="249"/>
      <c r="J180" s="249"/>
      <c r="K180" s="187"/>
      <c r="L180" s="187"/>
    </row>
    <row r="181" spans="1:12">
      <c r="A181" s="248" t="s">
        <v>771</v>
      </c>
      <c r="B181" s="248"/>
      <c r="C181" s="248"/>
      <c r="D181" s="248"/>
      <c r="E181" s="249"/>
      <c r="F181" s="249"/>
      <c r="G181" s="249"/>
      <c r="H181" s="249"/>
      <c r="I181" s="249"/>
      <c r="J181" s="249"/>
      <c r="K181" s="187"/>
      <c r="L181" s="187"/>
    </row>
    <row r="182" spans="1:12" ht="15.5">
      <c r="A182" s="248"/>
      <c r="B182" s="248" t="s">
        <v>772</v>
      </c>
      <c r="C182" s="248"/>
      <c r="D182" s="248"/>
      <c r="E182" s="252"/>
      <c r="F182" s="252">
        <v>0</v>
      </c>
      <c r="G182" s="252"/>
      <c r="H182" s="252">
        <v>0</v>
      </c>
      <c r="I182" s="252">
        <v>0</v>
      </c>
      <c r="J182" s="252">
        <v>30</v>
      </c>
      <c r="K182" s="187"/>
      <c r="L182" s="187"/>
    </row>
    <row r="183" spans="1:12" ht="15.5">
      <c r="A183" s="248"/>
      <c r="B183" s="248" t="s">
        <v>761</v>
      </c>
      <c r="C183" s="248"/>
      <c r="D183" s="248"/>
      <c r="E183" s="255"/>
      <c r="F183" s="252">
        <v>0</v>
      </c>
      <c r="G183" s="252"/>
      <c r="H183" s="252">
        <v>0</v>
      </c>
      <c r="I183" s="252">
        <v>0</v>
      </c>
      <c r="J183" s="252">
        <v>30</v>
      </c>
      <c r="K183" s="187"/>
      <c r="L183" s="187"/>
    </row>
    <row r="184" spans="1:12" ht="15.5">
      <c r="A184" s="248"/>
      <c r="B184" s="248" t="s">
        <v>699</v>
      </c>
      <c r="C184" s="248"/>
      <c r="D184" s="248"/>
      <c r="E184" s="253">
        <f>SUM(F184:J184)</f>
        <v>900</v>
      </c>
      <c r="F184" s="254">
        <f>F182*F183</f>
        <v>0</v>
      </c>
      <c r="G184" s="254">
        <f>G182*G183</f>
        <v>0</v>
      </c>
      <c r="H184" s="254">
        <f>H182*H183</f>
        <v>0</v>
      </c>
      <c r="I184" s="254">
        <f>I182*I183</f>
        <v>0</v>
      </c>
      <c r="J184" s="254">
        <f>J182*J183</f>
        <v>900</v>
      </c>
      <c r="K184" s="187"/>
      <c r="L184" s="187"/>
    </row>
    <row r="185" spans="1:12">
      <c r="A185" s="248"/>
      <c r="B185" s="248"/>
      <c r="C185" s="248"/>
      <c r="D185" s="248"/>
      <c r="E185" s="249"/>
      <c r="F185" s="249"/>
      <c r="G185" s="249"/>
      <c r="H185" s="249"/>
      <c r="I185" s="249"/>
      <c r="J185" s="249"/>
      <c r="K185" s="187"/>
      <c r="L185" s="187"/>
    </row>
    <row r="186" spans="1:12" s="204" customFormat="1" ht="15.5">
      <c r="A186" s="246" t="s">
        <v>699</v>
      </c>
      <c r="B186" s="246"/>
      <c r="C186" s="246"/>
      <c r="D186" s="246"/>
      <c r="E186" s="256">
        <f t="shared" ref="E186:J186" si="40">E174+E179+E184</f>
        <v>65400</v>
      </c>
      <c r="F186" s="256">
        <f t="shared" si="40"/>
        <v>0</v>
      </c>
      <c r="G186" s="256">
        <f t="shared" si="40"/>
        <v>0</v>
      </c>
      <c r="H186" s="256">
        <f t="shared" si="40"/>
        <v>0</v>
      </c>
      <c r="I186" s="256">
        <f t="shared" si="40"/>
        <v>0</v>
      </c>
      <c r="J186" s="256">
        <f t="shared" si="40"/>
        <v>65400</v>
      </c>
      <c r="K186" s="203"/>
      <c r="L186" s="203"/>
    </row>
    <row r="187" spans="1:12">
      <c r="E187" s="205"/>
      <c r="F187" s="205"/>
      <c r="G187" s="205"/>
      <c r="H187" s="205"/>
      <c r="I187" s="205"/>
      <c r="J187" s="205"/>
    </row>
    <row r="188" spans="1:12" s="204" customFormat="1" ht="15.5">
      <c r="A188" s="257" t="s">
        <v>773</v>
      </c>
      <c r="B188" s="257"/>
      <c r="C188" s="257"/>
      <c r="D188" s="257"/>
      <c r="E188" s="258"/>
      <c r="F188" s="258"/>
      <c r="G188" s="258"/>
      <c r="H188" s="258"/>
      <c r="I188" s="258"/>
      <c r="J188" s="258"/>
    </row>
    <row r="189" spans="1:12">
      <c r="A189" s="259"/>
      <c r="B189" s="259"/>
      <c r="C189" s="259"/>
      <c r="D189" s="259"/>
      <c r="E189" s="260"/>
      <c r="F189" s="260"/>
      <c r="G189" s="260"/>
      <c r="H189" s="260"/>
      <c r="I189" s="260"/>
      <c r="J189" s="260"/>
    </row>
    <row r="190" spans="1:12" s="204" customFormat="1" ht="15.5">
      <c r="A190" s="257" t="s">
        <v>774</v>
      </c>
      <c r="B190" s="257"/>
      <c r="C190" s="257"/>
      <c r="D190" s="257"/>
      <c r="E190" s="258">
        <f>SUM(F190:J190)</f>
        <v>688350</v>
      </c>
      <c r="F190" s="258">
        <f>F62+F70+F133+F162+F167+F186</f>
        <v>35350</v>
      </c>
      <c r="G190" s="258">
        <f>G62+G70+G133+G162+G167+G186</f>
        <v>256400</v>
      </c>
      <c r="H190" s="258">
        <f>H62+H70+H133+H162+H167+H186</f>
        <v>110400</v>
      </c>
      <c r="I190" s="258">
        <f>I62+I70+I133+I162+I167+I186</f>
        <v>110400</v>
      </c>
      <c r="J190" s="258">
        <f>J62+J70+J133+J162+J167+J186</f>
        <v>175800</v>
      </c>
    </row>
    <row r="191" spans="1:12" s="204" customFormat="1" ht="15.5">
      <c r="A191" s="257" t="s">
        <v>775</v>
      </c>
      <c r="B191" s="257"/>
      <c r="C191" s="257"/>
      <c r="D191" s="257"/>
      <c r="E191" s="258">
        <f>SUM(F191:J191)</f>
        <v>428000</v>
      </c>
      <c r="F191" s="258">
        <f>F74+F81+F87</f>
        <v>0</v>
      </c>
      <c r="G191" s="258">
        <f>G74+G81+G87</f>
        <v>107000</v>
      </c>
      <c r="H191" s="258">
        <f>H74+H81+H87</f>
        <v>107000</v>
      </c>
      <c r="I191" s="258">
        <f>I74+I81+I87</f>
        <v>107000</v>
      </c>
      <c r="J191" s="258">
        <f>J74+J81+J87</f>
        <v>107000</v>
      </c>
    </row>
    <row r="192" spans="1:12" s="204" customFormat="1" ht="15.5">
      <c r="A192" s="257" t="s">
        <v>699</v>
      </c>
      <c r="B192" s="257"/>
      <c r="C192" s="257"/>
      <c r="D192" s="257"/>
      <c r="E192" s="261">
        <f t="shared" ref="E192:J192" si="41">E190+E191</f>
        <v>1116350</v>
      </c>
      <c r="F192" s="261">
        <f t="shared" si="41"/>
        <v>35350</v>
      </c>
      <c r="G192" s="261">
        <f t="shared" si="41"/>
        <v>363400</v>
      </c>
      <c r="H192" s="261">
        <f t="shared" si="41"/>
        <v>217400</v>
      </c>
      <c r="I192" s="261">
        <f t="shared" si="41"/>
        <v>217400</v>
      </c>
      <c r="J192" s="261">
        <f t="shared" si="41"/>
        <v>282800</v>
      </c>
    </row>
    <row r="193" spans="5:10">
      <c r="E193" s="205"/>
      <c r="F193" s="205"/>
      <c r="G193" s="205"/>
      <c r="H193" s="205"/>
      <c r="I193" s="205"/>
      <c r="J193" s="205"/>
    </row>
    <row r="194" spans="5:10">
      <c r="E194" s="205"/>
      <c r="F194" s="205"/>
      <c r="G194" s="205"/>
      <c r="H194" s="205"/>
      <c r="I194" s="205"/>
      <c r="J194" s="205"/>
    </row>
    <row r="195" spans="5:10">
      <c r="E195" s="205"/>
      <c r="F195" s="205"/>
      <c r="G195" s="205"/>
      <c r="H195" s="205"/>
      <c r="I195" s="205"/>
      <c r="J195" s="205"/>
    </row>
    <row r="196" spans="5:10">
      <c r="E196" s="205"/>
      <c r="F196" s="205"/>
      <c r="G196" s="205"/>
      <c r="H196" s="205"/>
      <c r="I196" s="205"/>
      <c r="J196" s="205"/>
    </row>
    <row r="197" spans="5:10">
      <c r="E197" s="205"/>
      <c r="F197" s="205"/>
      <c r="G197" s="205"/>
      <c r="H197" s="205"/>
      <c r="I197" s="205"/>
      <c r="J197" s="205"/>
    </row>
    <row r="198" spans="5:10">
      <c r="E198" s="205"/>
      <c r="F198" s="205"/>
      <c r="G198" s="205"/>
      <c r="H198" s="205"/>
      <c r="I198" s="205"/>
      <c r="J198" s="205"/>
    </row>
    <row r="199" spans="5:10">
      <c r="E199" s="205"/>
      <c r="F199" s="205"/>
      <c r="G199" s="205"/>
      <c r="H199" s="205"/>
      <c r="I199" s="205"/>
      <c r="J199" s="205"/>
    </row>
    <row r="200" spans="5:10">
      <c r="E200" s="205"/>
      <c r="F200" s="205"/>
      <c r="G200" s="205"/>
      <c r="H200" s="205"/>
      <c r="I200" s="205"/>
      <c r="J200" s="205"/>
    </row>
    <row r="201" spans="5:10">
      <c r="E201" s="205"/>
      <c r="F201" s="205"/>
      <c r="G201" s="205"/>
      <c r="H201" s="205"/>
      <c r="I201" s="205"/>
      <c r="J201" s="205"/>
    </row>
    <row r="202" spans="5:10">
      <c r="E202" s="205"/>
      <c r="F202" s="205"/>
      <c r="G202" s="205"/>
      <c r="H202" s="205"/>
      <c r="I202" s="205"/>
      <c r="J202" s="205"/>
    </row>
    <row r="203" spans="5:10">
      <c r="E203" s="205"/>
      <c r="F203" s="205"/>
      <c r="G203" s="205"/>
      <c r="H203" s="205"/>
      <c r="I203" s="205"/>
      <c r="J203" s="205"/>
    </row>
    <row r="204" spans="5:10">
      <c r="E204" s="205"/>
      <c r="F204" s="205"/>
      <c r="G204" s="205"/>
      <c r="H204" s="205"/>
      <c r="I204" s="205"/>
      <c r="J204" s="205"/>
    </row>
    <row r="205" spans="5:10">
      <c r="E205" s="205"/>
      <c r="F205" s="205"/>
      <c r="G205" s="205"/>
      <c r="H205" s="205"/>
      <c r="I205" s="205"/>
      <c r="J205" s="205"/>
    </row>
    <row r="206" spans="5:10">
      <c r="E206" s="205"/>
      <c r="F206" s="205"/>
      <c r="G206" s="205"/>
      <c r="H206" s="205"/>
      <c r="I206" s="205"/>
      <c r="J206" s="205"/>
    </row>
    <row r="207" spans="5:10">
      <c r="E207" s="205"/>
      <c r="F207" s="205"/>
      <c r="G207" s="205"/>
      <c r="H207" s="205"/>
      <c r="I207" s="205"/>
      <c r="J207" s="205"/>
    </row>
    <row r="208" spans="5:10">
      <c r="E208" s="205"/>
      <c r="F208" s="205"/>
      <c r="G208" s="205"/>
      <c r="H208" s="205"/>
      <c r="I208" s="205"/>
      <c r="J208" s="205"/>
    </row>
    <row r="209" spans="5:10">
      <c r="E209" s="205"/>
      <c r="F209" s="205"/>
      <c r="G209" s="205"/>
      <c r="H209" s="205"/>
      <c r="I209" s="205"/>
      <c r="J209" s="205"/>
    </row>
    <row r="210" spans="5:10">
      <c r="E210" s="205"/>
      <c r="F210" s="205"/>
      <c r="G210" s="205"/>
      <c r="H210" s="205"/>
      <c r="I210" s="205"/>
      <c r="J210" s="205"/>
    </row>
    <row r="211" spans="5:10">
      <c r="E211" s="205"/>
      <c r="F211" s="205"/>
      <c r="G211" s="205"/>
      <c r="H211" s="205"/>
      <c r="I211" s="205"/>
      <c r="J211" s="205"/>
    </row>
    <row r="212" spans="5:10">
      <c r="E212" s="205"/>
      <c r="F212" s="205"/>
      <c r="G212" s="205"/>
      <c r="H212" s="205"/>
      <c r="I212" s="205"/>
      <c r="J212" s="205"/>
    </row>
    <row r="213" spans="5:10">
      <c r="E213" s="205"/>
      <c r="F213" s="205"/>
      <c r="G213" s="205"/>
      <c r="H213" s="205"/>
      <c r="I213" s="205"/>
      <c r="J213" s="205"/>
    </row>
    <row r="214" spans="5:10">
      <c r="E214" s="205"/>
      <c r="F214" s="205"/>
      <c r="G214" s="205"/>
      <c r="H214" s="205"/>
      <c r="I214" s="205"/>
      <c r="J214" s="205"/>
    </row>
    <row r="215" spans="5:10">
      <c r="E215" s="205"/>
      <c r="F215" s="205"/>
      <c r="G215" s="205"/>
      <c r="H215" s="205"/>
      <c r="I215" s="205"/>
      <c r="J215" s="205"/>
    </row>
    <row r="216" spans="5:10">
      <c r="E216" s="205"/>
      <c r="F216" s="205"/>
      <c r="G216" s="205"/>
      <c r="H216" s="205"/>
      <c r="I216" s="205"/>
      <c r="J216" s="205"/>
    </row>
    <row r="217" spans="5:10">
      <c r="E217" s="205"/>
      <c r="F217" s="205"/>
      <c r="G217" s="205"/>
      <c r="H217" s="205"/>
      <c r="I217" s="205"/>
      <c r="J217" s="205"/>
    </row>
    <row r="218" spans="5:10">
      <c r="E218" s="205"/>
      <c r="F218" s="205"/>
      <c r="G218" s="205"/>
      <c r="H218" s="205"/>
      <c r="I218" s="205"/>
      <c r="J218" s="205"/>
    </row>
    <row r="219" spans="5:10">
      <c r="E219" s="205"/>
      <c r="F219" s="205"/>
      <c r="G219" s="205"/>
      <c r="H219" s="205"/>
      <c r="I219" s="205"/>
      <c r="J219" s="205"/>
    </row>
    <row r="220" spans="5:10">
      <c r="E220" s="205"/>
      <c r="F220" s="205"/>
      <c r="G220" s="205"/>
      <c r="H220" s="205"/>
      <c r="I220" s="205"/>
      <c r="J220" s="205"/>
    </row>
    <row r="221" spans="5:10">
      <c r="E221" s="205"/>
      <c r="F221" s="205"/>
      <c r="G221" s="205"/>
      <c r="H221" s="205"/>
      <c r="I221" s="205"/>
      <c r="J221" s="205"/>
    </row>
    <row r="222" spans="5:10">
      <c r="E222" s="205"/>
      <c r="F222" s="205"/>
      <c r="G222" s="205"/>
      <c r="H222" s="205"/>
      <c r="I222" s="205"/>
      <c r="J222" s="205"/>
    </row>
    <row r="223" spans="5:10">
      <c r="E223" s="205"/>
      <c r="F223" s="205"/>
      <c r="G223" s="205"/>
      <c r="H223" s="205"/>
      <c r="I223" s="205"/>
      <c r="J223" s="205"/>
    </row>
    <row r="224" spans="5:10">
      <c r="E224" s="205"/>
      <c r="F224" s="205"/>
      <c r="G224" s="205"/>
      <c r="H224" s="205"/>
      <c r="I224" s="205"/>
      <c r="J224" s="205"/>
    </row>
    <row r="225" spans="5:10">
      <c r="E225" s="205"/>
      <c r="F225" s="205"/>
      <c r="G225" s="205"/>
      <c r="H225" s="205"/>
      <c r="I225" s="205"/>
      <c r="J225" s="205"/>
    </row>
    <row r="226" spans="5:10">
      <c r="E226" s="205"/>
      <c r="F226" s="205"/>
      <c r="G226" s="205"/>
      <c r="H226" s="205"/>
      <c r="I226" s="205"/>
      <c r="J226" s="205"/>
    </row>
    <row r="227" spans="5:10">
      <c r="E227" s="205"/>
      <c r="F227" s="205"/>
      <c r="G227" s="205"/>
      <c r="H227" s="205"/>
      <c r="I227" s="205"/>
      <c r="J227" s="205"/>
    </row>
    <row r="228" spans="5:10">
      <c r="E228" s="205"/>
      <c r="F228" s="205"/>
      <c r="G228" s="205"/>
      <c r="H228" s="205"/>
      <c r="I228" s="205"/>
      <c r="J228" s="205"/>
    </row>
    <row r="229" spans="5:10">
      <c r="E229" s="205"/>
      <c r="F229" s="205"/>
      <c r="G229" s="205"/>
      <c r="H229" s="205"/>
      <c r="I229" s="205"/>
      <c r="J229" s="205"/>
    </row>
    <row r="230" spans="5:10">
      <c r="E230" s="205"/>
      <c r="F230" s="205"/>
      <c r="G230" s="205"/>
      <c r="H230" s="205"/>
      <c r="I230" s="205"/>
      <c r="J230" s="205"/>
    </row>
    <row r="231" spans="5:10">
      <c r="E231" s="205"/>
      <c r="F231" s="205"/>
      <c r="G231" s="205"/>
      <c r="H231" s="205"/>
      <c r="I231" s="205"/>
      <c r="J231" s="205"/>
    </row>
    <row r="232" spans="5:10">
      <c r="E232" s="205"/>
      <c r="F232" s="205"/>
      <c r="G232" s="205"/>
      <c r="H232" s="205"/>
      <c r="I232" s="205"/>
      <c r="J232" s="205"/>
    </row>
    <row r="233" spans="5:10">
      <c r="E233" s="205"/>
      <c r="F233" s="205"/>
      <c r="G233" s="205"/>
      <c r="H233" s="205"/>
      <c r="I233" s="205"/>
      <c r="J233" s="205"/>
    </row>
    <row r="234" spans="5:10">
      <c r="E234" s="205"/>
      <c r="F234" s="205"/>
      <c r="G234" s="205"/>
      <c r="H234" s="205"/>
      <c r="I234" s="205"/>
      <c r="J234" s="205"/>
    </row>
    <row r="235" spans="5:10">
      <c r="E235" s="205"/>
      <c r="F235" s="205"/>
      <c r="G235" s="205"/>
      <c r="H235" s="205"/>
      <c r="I235" s="205"/>
      <c r="J235" s="205"/>
    </row>
    <row r="236" spans="5:10">
      <c r="E236" s="205"/>
      <c r="F236" s="205"/>
      <c r="G236" s="205"/>
      <c r="H236" s="205"/>
      <c r="I236" s="205"/>
      <c r="J236" s="205"/>
    </row>
    <row r="237" spans="5:10">
      <c r="E237" s="205"/>
      <c r="F237" s="205"/>
      <c r="G237" s="205"/>
      <c r="H237" s="205"/>
      <c r="I237" s="205"/>
      <c r="J237" s="205"/>
    </row>
    <row r="238" spans="5:10">
      <c r="E238" s="205"/>
      <c r="F238" s="205"/>
      <c r="G238" s="205"/>
      <c r="H238" s="205"/>
      <c r="I238" s="205"/>
      <c r="J238" s="205"/>
    </row>
    <row r="239" spans="5:10">
      <c r="E239" s="205"/>
      <c r="F239" s="205"/>
      <c r="G239" s="205"/>
      <c r="H239" s="205"/>
      <c r="I239" s="205"/>
      <c r="J239" s="205"/>
    </row>
    <row r="240" spans="5:10">
      <c r="E240" s="205"/>
      <c r="F240" s="205"/>
      <c r="G240" s="205"/>
      <c r="H240" s="205"/>
      <c r="I240" s="205"/>
      <c r="J240" s="205"/>
    </row>
    <row r="241" spans="5:10">
      <c r="E241" s="205"/>
      <c r="F241" s="205"/>
      <c r="G241" s="205"/>
      <c r="H241" s="205"/>
      <c r="I241" s="205"/>
      <c r="J241" s="205"/>
    </row>
    <row r="242" spans="5:10">
      <c r="E242" s="205"/>
      <c r="F242" s="205"/>
      <c r="G242" s="205"/>
      <c r="H242" s="205"/>
      <c r="I242" s="205"/>
      <c r="J242" s="205"/>
    </row>
    <row r="243" spans="5:10">
      <c r="E243" s="205"/>
      <c r="F243" s="205"/>
      <c r="G243" s="205"/>
      <c r="H243" s="205"/>
      <c r="I243" s="205"/>
      <c r="J243" s="205"/>
    </row>
    <row r="244" spans="5:10">
      <c r="E244" s="205"/>
      <c r="F244" s="205"/>
      <c r="G244" s="205"/>
      <c r="H244" s="205"/>
      <c r="I244" s="205"/>
      <c r="J244" s="205"/>
    </row>
    <row r="245" spans="5:10">
      <c r="E245" s="205"/>
      <c r="F245" s="205"/>
      <c r="G245" s="205"/>
      <c r="H245" s="205"/>
      <c r="I245" s="205"/>
      <c r="J245" s="205"/>
    </row>
    <row r="246" spans="5:10">
      <c r="E246" s="205"/>
      <c r="F246" s="205"/>
      <c r="G246" s="205"/>
      <c r="H246" s="205"/>
      <c r="I246" s="205"/>
      <c r="J246" s="205"/>
    </row>
    <row r="247" spans="5:10">
      <c r="E247" s="205"/>
      <c r="F247" s="205"/>
      <c r="G247" s="205"/>
      <c r="H247" s="205"/>
      <c r="I247" s="205"/>
      <c r="J247" s="205"/>
    </row>
    <row r="248" spans="5:10">
      <c r="E248" s="205"/>
      <c r="F248" s="205"/>
      <c r="G248" s="205"/>
      <c r="H248" s="205"/>
      <c r="I248" s="205"/>
      <c r="J248" s="205"/>
    </row>
    <row r="249" spans="5:10">
      <c r="E249" s="205"/>
      <c r="F249" s="205"/>
      <c r="G249" s="205"/>
      <c r="H249" s="205"/>
      <c r="I249" s="205"/>
      <c r="J249" s="205"/>
    </row>
    <row r="250" spans="5:10">
      <c r="E250" s="205"/>
      <c r="F250" s="205"/>
      <c r="G250" s="205"/>
      <c r="H250" s="205"/>
      <c r="I250" s="205"/>
      <c r="J250" s="205"/>
    </row>
    <row r="251" spans="5:10">
      <c r="E251" s="205"/>
      <c r="F251" s="205"/>
      <c r="G251" s="205"/>
      <c r="H251" s="205"/>
      <c r="I251" s="205"/>
      <c r="J251" s="205"/>
    </row>
    <row r="252" spans="5:10">
      <c r="E252" s="205"/>
      <c r="F252" s="205"/>
      <c r="G252" s="205"/>
      <c r="H252" s="205"/>
      <c r="I252" s="205"/>
      <c r="J252" s="205"/>
    </row>
    <row r="253" spans="5:10">
      <c r="E253" s="205"/>
      <c r="F253" s="205"/>
      <c r="G253" s="205"/>
      <c r="H253" s="205"/>
      <c r="I253" s="205"/>
      <c r="J253" s="205"/>
    </row>
    <row r="254" spans="5:10">
      <c r="E254" s="205"/>
      <c r="F254" s="205"/>
      <c r="G254" s="205"/>
      <c r="H254" s="205"/>
      <c r="I254" s="205"/>
      <c r="J254" s="205"/>
    </row>
    <row r="255" spans="5:10">
      <c r="E255" s="205"/>
      <c r="F255" s="205"/>
      <c r="G255" s="205"/>
      <c r="H255" s="205"/>
      <c r="I255" s="205"/>
      <c r="J255" s="205"/>
    </row>
    <row r="256" spans="5:10">
      <c r="E256" s="205"/>
      <c r="F256" s="205"/>
      <c r="G256" s="205"/>
      <c r="H256" s="205"/>
      <c r="I256" s="205"/>
      <c r="J256" s="205"/>
    </row>
    <row r="257" spans="5:10">
      <c r="E257" s="205"/>
      <c r="F257" s="205"/>
      <c r="G257" s="205"/>
      <c r="H257" s="205"/>
      <c r="I257" s="205"/>
      <c r="J257" s="205"/>
    </row>
    <row r="258" spans="5:10">
      <c r="E258" s="205"/>
      <c r="F258" s="205"/>
      <c r="G258" s="205"/>
      <c r="H258" s="205"/>
      <c r="I258" s="205"/>
      <c r="J258" s="205"/>
    </row>
    <row r="259" spans="5:10">
      <c r="E259" s="205"/>
      <c r="F259" s="205"/>
      <c r="G259" s="205"/>
      <c r="H259" s="205"/>
      <c r="I259" s="205"/>
      <c r="J259" s="205"/>
    </row>
    <row r="260" spans="5:10">
      <c r="E260" s="205"/>
      <c r="F260" s="205"/>
      <c r="G260" s="205"/>
      <c r="H260" s="205"/>
      <c r="I260" s="205"/>
      <c r="J260" s="205"/>
    </row>
    <row r="261" spans="5:10">
      <c r="E261" s="205"/>
      <c r="F261" s="205"/>
      <c r="G261" s="205"/>
      <c r="H261" s="205"/>
      <c r="I261" s="205"/>
      <c r="J261" s="205"/>
    </row>
    <row r="262" spans="5:10">
      <c r="E262" s="205"/>
      <c r="F262" s="205"/>
      <c r="G262" s="205"/>
      <c r="H262" s="205"/>
      <c r="I262" s="205"/>
      <c r="J262" s="205"/>
    </row>
    <row r="263" spans="5:10">
      <c r="E263" s="205"/>
      <c r="F263" s="205"/>
      <c r="G263" s="205"/>
      <c r="H263" s="205"/>
      <c r="I263" s="205"/>
      <c r="J263" s="205"/>
    </row>
    <row r="264" spans="5:10">
      <c r="E264" s="205"/>
      <c r="F264" s="205"/>
      <c r="G264" s="205"/>
      <c r="H264" s="205"/>
      <c r="I264" s="205"/>
      <c r="J264" s="205"/>
    </row>
    <row r="265" spans="5:10">
      <c r="E265" s="205"/>
      <c r="F265" s="205"/>
      <c r="G265" s="205"/>
      <c r="H265" s="205"/>
      <c r="I265" s="205"/>
      <c r="J265" s="205"/>
    </row>
    <row r="266" spans="5:10">
      <c r="E266" s="205"/>
      <c r="F266" s="205"/>
      <c r="G266" s="205"/>
      <c r="H266" s="205"/>
      <c r="I266" s="205"/>
      <c r="J266" s="205"/>
    </row>
    <row r="267" spans="5:10">
      <c r="E267" s="205"/>
      <c r="F267" s="205"/>
      <c r="G267" s="205"/>
      <c r="H267" s="205"/>
      <c r="I267" s="205"/>
      <c r="J267" s="205"/>
    </row>
    <row r="268" spans="5:10">
      <c r="E268" s="205"/>
      <c r="F268" s="205"/>
      <c r="G268" s="205"/>
      <c r="H268" s="205"/>
      <c r="I268" s="205"/>
      <c r="J268" s="205"/>
    </row>
    <row r="269" spans="5:10">
      <c r="E269" s="205"/>
      <c r="F269" s="205"/>
      <c r="G269" s="205"/>
      <c r="H269" s="205"/>
      <c r="I269" s="205"/>
      <c r="J269" s="205"/>
    </row>
    <row r="270" spans="5:10">
      <c r="E270" s="205"/>
      <c r="F270" s="205"/>
      <c r="G270" s="205"/>
      <c r="H270" s="205"/>
      <c r="I270" s="205"/>
      <c r="J270" s="205"/>
    </row>
    <row r="271" spans="5:10">
      <c r="E271" s="205"/>
      <c r="F271" s="205"/>
      <c r="G271" s="205"/>
      <c r="H271" s="205"/>
      <c r="I271" s="205"/>
      <c r="J271" s="205"/>
    </row>
    <row r="272" spans="5:10">
      <c r="E272" s="205"/>
      <c r="F272" s="205"/>
      <c r="G272" s="205"/>
      <c r="H272" s="205"/>
      <c r="I272" s="205"/>
      <c r="J272" s="205"/>
    </row>
    <row r="273" spans="5:10">
      <c r="E273" s="205"/>
      <c r="F273" s="205"/>
      <c r="G273" s="205"/>
      <c r="H273" s="205"/>
      <c r="I273" s="205"/>
      <c r="J273" s="205"/>
    </row>
    <row r="274" spans="5:10">
      <c r="E274" s="205"/>
      <c r="F274" s="205"/>
      <c r="G274" s="205"/>
      <c r="H274" s="205"/>
      <c r="I274" s="205"/>
      <c r="J274" s="205"/>
    </row>
    <row r="275" spans="5:10">
      <c r="E275" s="205"/>
      <c r="F275" s="205"/>
      <c r="G275" s="205"/>
      <c r="H275" s="205"/>
      <c r="I275" s="205"/>
      <c r="J275" s="205"/>
    </row>
    <row r="276" spans="5:10">
      <c r="E276" s="205"/>
      <c r="F276" s="205"/>
      <c r="G276" s="205"/>
      <c r="H276" s="205"/>
      <c r="I276" s="205"/>
      <c r="J276" s="205"/>
    </row>
    <row r="277" spans="5:10">
      <c r="E277" s="205"/>
      <c r="F277" s="205"/>
      <c r="G277" s="205"/>
      <c r="H277" s="205"/>
      <c r="I277" s="205"/>
      <c r="J277" s="205"/>
    </row>
    <row r="278" spans="5:10">
      <c r="E278" s="205"/>
      <c r="F278" s="205"/>
      <c r="G278" s="205"/>
      <c r="H278" s="205"/>
      <c r="I278" s="205"/>
      <c r="J278" s="205"/>
    </row>
    <row r="279" spans="5:10">
      <c r="E279" s="205"/>
      <c r="F279" s="205"/>
      <c r="G279" s="205"/>
      <c r="H279" s="205"/>
      <c r="I279" s="205"/>
      <c r="J279" s="205"/>
    </row>
    <row r="280" spans="5:10">
      <c r="E280" s="205"/>
      <c r="F280" s="205"/>
      <c r="G280" s="205"/>
      <c r="H280" s="205"/>
      <c r="I280" s="205"/>
      <c r="J280" s="205"/>
    </row>
    <row r="281" spans="5:10">
      <c r="E281" s="205"/>
      <c r="F281" s="205"/>
      <c r="G281" s="205"/>
      <c r="H281" s="205"/>
      <c r="I281" s="205"/>
      <c r="J281" s="205"/>
    </row>
    <row r="282" spans="5:10">
      <c r="E282" s="205"/>
      <c r="F282" s="205"/>
      <c r="G282" s="205"/>
      <c r="H282" s="205"/>
      <c r="I282" s="205"/>
      <c r="J282" s="205"/>
    </row>
    <row r="283" spans="5:10">
      <c r="E283" s="205"/>
      <c r="F283" s="205"/>
      <c r="G283" s="205"/>
      <c r="H283" s="205"/>
      <c r="I283" s="205"/>
      <c r="J283" s="205"/>
    </row>
    <row r="284" spans="5:10">
      <c r="E284" s="205"/>
      <c r="F284" s="205"/>
      <c r="G284" s="205"/>
      <c r="H284" s="205"/>
      <c r="I284" s="205"/>
      <c r="J284" s="205"/>
    </row>
    <row r="285" spans="5:10">
      <c r="E285" s="205"/>
      <c r="F285" s="205"/>
      <c r="G285" s="205"/>
      <c r="H285" s="205"/>
      <c r="I285" s="205"/>
      <c r="J285" s="205"/>
    </row>
    <row r="286" spans="5:10">
      <c r="E286" s="205"/>
      <c r="F286" s="205"/>
      <c r="G286" s="205"/>
      <c r="H286" s="205"/>
      <c r="I286" s="205"/>
      <c r="J286" s="205"/>
    </row>
    <row r="287" spans="5:10">
      <c r="E287" s="205"/>
      <c r="F287" s="205"/>
      <c r="G287" s="205"/>
      <c r="H287" s="205"/>
      <c r="I287" s="205"/>
      <c r="J287" s="205"/>
    </row>
    <row r="288" spans="5:10">
      <c r="E288" s="205"/>
      <c r="F288" s="205"/>
      <c r="G288" s="205"/>
      <c r="H288" s="205"/>
      <c r="I288" s="205"/>
      <c r="J288" s="205"/>
    </row>
    <row r="289" spans="5:10">
      <c r="E289" s="205"/>
      <c r="F289" s="205"/>
      <c r="G289" s="205"/>
      <c r="H289" s="205"/>
      <c r="I289" s="205"/>
      <c r="J289" s="205"/>
    </row>
    <row r="290" spans="5:10">
      <c r="E290" s="205"/>
      <c r="F290" s="205"/>
      <c r="G290" s="205"/>
      <c r="H290" s="205"/>
      <c r="I290" s="205"/>
      <c r="J290" s="205"/>
    </row>
    <row r="291" spans="5:10">
      <c r="E291" s="205"/>
      <c r="F291" s="205"/>
      <c r="G291" s="205"/>
      <c r="H291" s="205"/>
      <c r="I291" s="205"/>
      <c r="J291" s="205"/>
    </row>
    <row r="292" spans="5:10">
      <c r="E292" s="205"/>
      <c r="F292" s="205"/>
      <c r="G292" s="205"/>
      <c r="H292" s="205"/>
      <c r="I292" s="205"/>
      <c r="J292" s="205"/>
    </row>
    <row r="293" spans="5:10">
      <c r="E293" s="205"/>
      <c r="F293" s="205"/>
      <c r="G293" s="205"/>
      <c r="H293" s="205"/>
      <c r="I293" s="205"/>
      <c r="J293" s="205"/>
    </row>
    <row r="294" spans="5:10">
      <c r="E294" s="205"/>
      <c r="F294" s="205"/>
      <c r="G294" s="205"/>
      <c r="H294" s="205"/>
      <c r="I294" s="205"/>
      <c r="J294" s="205"/>
    </row>
    <row r="295" spans="5:10">
      <c r="E295" s="205"/>
      <c r="F295" s="205"/>
      <c r="G295" s="205"/>
      <c r="H295" s="205"/>
      <c r="I295" s="205"/>
      <c r="J295" s="205"/>
    </row>
    <row r="296" spans="5:10">
      <c r="E296" s="205"/>
      <c r="F296" s="205"/>
      <c r="G296" s="205"/>
      <c r="H296" s="205"/>
      <c r="I296" s="205"/>
      <c r="J296" s="205"/>
    </row>
    <row r="297" spans="5:10">
      <c r="E297" s="205"/>
      <c r="F297" s="205"/>
      <c r="G297" s="205"/>
      <c r="H297" s="205"/>
      <c r="I297" s="205"/>
      <c r="J297" s="205"/>
    </row>
    <row r="298" spans="5:10">
      <c r="E298" s="205"/>
      <c r="F298" s="205"/>
      <c r="G298" s="205"/>
      <c r="H298" s="205"/>
      <c r="I298" s="205"/>
      <c r="J298" s="205"/>
    </row>
    <row r="299" spans="5:10">
      <c r="E299" s="205"/>
      <c r="F299" s="205"/>
      <c r="G299" s="205"/>
      <c r="H299" s="205"/>
      <c r="I299" s="205"/>
      <c r="J299" s="205"/>
    </row>
    <row r="300" spans="5:10">
      <c r="E300" s="205"/>
      <c r="F300" s="205"/>
      <c r="G300" s="205"/>
      <c r="H300" s="205"/>
      <c r="I300" s="205"/>
      <c r="J300" s="205"/>
    </row>
    <row r="301" spans="5:10">
      <c r="E301" s="205"/>
      <c r="F301" s="205"/>
      <c r="G301" s="205"/>
      <c r="H301" s="205"/>
      <c r="I301" s="205"/>
      <c r="J301" s="205"/>
    </row>
    <row r="302" spans="5:10">
      <c r="E302" s="205"/>
      <c r="F302" s="205"/>
      <c r="G302" s="205"/>
      <c r="H302" s="205"/>
      <c r="I302" s="205"/>
      <c r="J302" s="205"/>
    </row>
    <row r="303" spans="5:10">
      <c r="E303" s="205"/>
      <c r="F303" s="205"/>
      <c r="G303" s="205"/>
      <c r="H303" s="205"/>
      <c r="I303" s="205"/>
      <c r="J303" s="205"/>
    </row>
    <row r="304" spans="5:10">
      <c r="E304" s="205"/>
      <c r="F304" s="205"/>
      <c r="G304" s="205"/>
      <c r="H304" s="205"/>
      <c r="I304" s="205"/>
      <c r="J304" s="205"/>
    </row>
    <row r="305" spans="5:10">
      <c r="E305" s="205"/>
      <c r="F305" s="205"/>
      <c r="G305" s="205"/>
      <c r="H305" s="205"/>
      <c r="I305" s="205"/>
      <c r="J305" s="205"/>
    </row>
    <row r="306" spans="5:10">
      <c r="E306" s="205"/>
      <c r="F306" s="205"/>
      <c r="G306" s="205"/>
      <c r="H306" s="205"/>
      <c r="I306" s="205"/>
      <c r="J306" s="205"/>
    </row>
    <row r="307" spans="5:10">
      <c r="E307" s="205"/>
      <c r="F307" s="205"/>
      <c r="G307" s="205"/>
      <c r="H307" s="205"/>
      <c r="I307" s="205"/>
      <c r="J307" s="205"/>
    </row>
    <row r="308" spans="5:10">
      <c r="E308" s="205"/>
      <c r="F308" s="205"/>
      <c r="G308" s="205"/>
      <c r="H308" s="205"/>
      <c r="I308" s="205"/>
      <c r="J308" s="205"/>
    </row>
    <row r="309" spans="5:10">
      <c r="E309" s="205"/>
      <c r="F309" s="205"/>
      <c r="G309" s="205"/>
      <c r="H309" s="205"/>
      <c r="I309" s="205"/>
      <c r="J309" s="205"/>
    </row>
    <row r="310" spans="5:10">
      <c r="E310" s="205"/>
      <c r="F310" s="205"/>
      <c r="G310" s="205"/>
      <c r="H310" s="205"/>
      <c r="I310" s="205"/>
      <c r="J310" s="205"/>
    </row>
    <row r="311" spans="5:10">
      <c r="E311" s="205"/>
      <c r="F311" s="205"/>
      <c r="G311" s="205"/>
      <c r="H311" s="205"/>
      <c r="I311" s="205"/>
      <c r="J311" s="205"/>
    </row>
    <row r="312" spans="5:10">
      <c r="E312" s="205"/>
      <c r="F312" s="205"/>
      <c r="G312" s="205"/>
      <c r="H312" s="205"/>
      <c r="I312" s="205"/>
      <c r="J312" s="205"/>
    </row>
    <row r="313" spans="5:10">
      <c r="E313" s="205"/>
      <c r="F313" s="205"/>
      <c r="G313" s="205"/>
      <c r="H313" s="205"/>
      <c r="I313" s="205"/>
      <c r="J313" s="205"/>
    </row>
    <row r="314" spans="5:10">
      <c r="E314" s="205"/>
      <c r="F314" s="205"/>
      <c r="G314" s="205"/>
      <c r="H314" s="205"/>
      <c r="I314" s="205"/>
      <c r="J314" s="205"/>
    </row>
    <row r="315" spans="5:10">
      <c r="E315" s="205"/>
      <c r="F315" s="205"/>
      <c r="G315" s="205"/>
      <c r="H315" s="205"/>
      <c r="I315" s="205"/>
      <c r="J315" s="205"/>
    </row>
    <row r="316" spans="5:10">
      <c r="E316" s="205"/>
      <c r="F316" s="205"/>
      <c r="G316" s="205"/>
      <c r="H316" s="205"/>
      <c r="I316" s="205"/>
      <c r="J316" s="205"/>
    </row>
    <row r="317" spans="5:10">
      <c r="E317" s="205"/>
      <c r="F317" s="205"/>
      <c r="G317" s="205"/>
      <c r="H317" s="205"/>
      <c r="I317" s="205"/>
      <c r="J317" s="205"/>
    </row>
    <row r="318" spans="5:10">
      <c r="E318" s="205"/>
      <c r="F318" s="205"/>
      <c r="G318" s="205"/>
      <c r="H318" s="205"/>
      <c r="I318" s="205"/>
      <c r="J318" s="205"/>
    </row>
    <row r="319" spans="5:10">
      <c r="E319" s="205"/>
      <c r="F319" s="205"/>
      <c r="G319" s="205"/>
      <c r="H319" s="205"/>
      <c r="I319" s="205"/>
      <c r="J319" s="205"/>
    </row>
    <row r="320" spans="5:10">
      <c r="E320" s="205"/>
      <c r="F320" s="205"/>
      <c r="G320" s="205"/>
      <c r="H320" s="205"/>
      <c r="I320" s="205"/>
      <c r="J320" s="205"/>
    </row>
    <row r="321" spans="5:10">
      <c r="E321" s="205"/>
      <c r="F321" s="205"/>
      <c r="G321" s="205"/>
      <c r="H321" s="205"/>
      <c r="I321" s="205"/>
      <c r="J321" s="205"/>
    </row>
    <row r="322" spans="5:10">
      <c r="E322" s="205"/>
      <c r="F322" s="205"/>
      <c r="G322" s="205"/>
      <c r="H322" s="205"/>
      <c r="I322" s="205"/>
      <c r="J322" s="205"/>
    </row>
    <row r="323" spans="5:10">
      <c r="E323" s="205"/>
      <c r="F323" s="205"/>
      <c r="G323" s="205"/>
      <c r="H323" s="205"/>
      <c r="I323" s="205"/>
      <c r="J323" s="205"/>
    </row>
    <row r="324" spans="5:10">
      <c r="E324" s="205"/>
      <c r="F324" s="205"/>
      <c r="G324" s="205"/>
      <c r="H324" s="205"/>
      <c r="I324" s="205"/>
      <c r="J324" s="205"/>
    </row>
    <row r="325" spans="5:10">
      <c r="E325" s="205"/>
      <c r="F325" s="205"/>
      <c r="G325" s="205"/>
      <c r="H325" s="205"/>
      <c r="I325" s="205"/>
      <c r="J325" s="205"/>
    </row>
    <row r="326" spans="5:10">
      <c r="E326" s="205"/>
      <c r="F326" s="205"/>
      <c r="G326" s="205"/>
      <c r="H326" s="205"/>
      <c r="I326" s="205"/>
      <c r="J326" s="205"/>
    </row>
    <row r="327" spans="5:10">
      <c r="E327" s="205"/>
      <c r="F327" s="205"/>
      <c r="G327" s="205"/>
      <c r="H327" s="205"/>
      <c r="I327" s="205"/>
      <c r="J327" s="205"/>
    </row>
    <row r="328" spans="5:10">
      <c r="E328" s="205"/>
      <c r="F328" s="205"/>
      <c r="G328" s="205"/>
      <c r="H328" s="205"/>
      <c r="I328" s="205"/>
      <c r="J328" s="205"/>
    </row>
    <row r="329" spans="5:10">
      <c r="E329" s="205"/>
      <c r="F329" s="205"/>
      <c r="G329" s="205"/>
      <c r="H329" s="205"/>
      <c r="I329" s="205"/>
      <c r="J329" s="205"/>
    </row>
    <row r="330" spans="5:10">
      <c r="E330" s="205"/>
      <c r="F330" s="205"/>
      <c r="G330" s="205"/>
      <c r="H330" s="205"/>
      <c r="I330" s="205"/>
      <c r="J330" s="205"/>
    </row>
    <row r="331" spans="5:10">
      <c r="E331" s="205"/>
      <c r="F331" s="205"/>
      <c r="G331" s="205"/>
      <c r="H331" s="205"/>
      <c r="I331" s="205"/>
      <c r="J331" s="205"/>
    </row>
    <row r="332" spans="5:10">
      <c r="E332" s="205"/>
      <c r="F332" s="205"/>
      <c r="G332" s="205"/>
      <c r="H332" s="205"/>
      <c r="I332" s="205"/>
      <c r="J332" s="205"/>
    </row>
    <row r="333" spans="5:10">
      <c r="E333" s="205"/>
      <c r="F333" s="205"/>
      <c r="G333" s="205"/>
      <c r="H333" s="205"/>
      <c r="I333" s="205"/>
      <c r="J333" s="205"/>
    </row>
    <row r="334" spans="5:10">
      <c r="E334" s="205"/>
      <c r="F334" s="205"/>
      <c r="G334" s="205"/>
      <c r="H334" s="205"/>
      <c r="I334" s="205"/>
      <c r="J334" s="205"/>
    </row>
    <row r="335" spans="5:10">
      <c r="E335" s="205"/>
      <c r="F335" s="205"/>
      <c r="G335" s="205"/>
      <c r="H335" s="205"/>
      <c r="I335" s="205"/>
      <c r="J335" s="205"/>
    </row>
    <row r="336" spans="5:10">
      <c r="E336" s="205"/>
      <c r="F336" s="205"/>
      <c r="G336" s="205"/>
      <c r="H336" s="205"/>
      <c r="I336" s="205"/>
      <c r="J336" s="205"/>
    </row>
    <row r="337" spans="5:10">
      <c r="E337" s="205"/>
      <c r="F337" s="205"/>
      <c r="G337" s="205"/>
      <c r="H337" s="205"/>
      <c r="I337" s="205"/>
      <c r="J337" s="205"/>
    </row>
    <row r="338" spans="5:10">
      <c r="E338" s="205"/>
      <c r="F338" s="205"/>
      <c r="G338" s="205"/>
      <c r="H338" s="205"/>
      <c r="I338" s="205"/>
      <c r="J338" s="205"/>
    </row>
    <row r="339" spans="5:10">
      <c r="E339" s="205"/>
      <c r="F339" s="205"/>
      <c r="G339" s="205"/>
      <c r="H339" s="205"/>
      <c r="I339" s="205"/>
      <c r="J339" s="205"/>
    </row>
    <row r="340" spans="5:10">
      <c r="E340" s="205"/>
      <c r="F340" s="205"/>
      <c r="G340" s="205"/>
      <c r="H340" s="205"/>
      <c r="I340" s="205"/>
      <c r="J340" s="205"/>
    </row>
    <row r="341" spans="5:10">
      <c r="E341" s="205"/>
      <c r="F341" s="205"/>
      <c r="G341" s="205"/>
      <c r="H341" s="205"/>
      <c r="I341" s="205"/>
      <c r="J341" s="205"/>
    </row>
    <row r="342" spans="5:10">
      <c r="E342" s="205"/>
      <c r="F342" s="205"/>
      <c r="G342" s="205"/>
      <c r="H342" s="205"/>
      <c r="I342" s="205"/>
      <c r="J342" s="205"/>
    </row>
    <row r="343" spans="5:10">
      <c r="E343" s="205"/>
      <c r="F343" s="205"/>
      <c r="G343" s="205"/>
      <c r="H343" s="205"/>
      <c r="I343" s="205"/>
      <c r="J343" s="205"/>
    </row>
    <row r="344" spans="5:10">
      <c r="E344" s="205"/>
      <c r="F344" s="205"/>
      <c r="G344" s="205"/>
      <c r="H344" s="205"/>
      <c r="I344" s="205"/>
      <c r="J344" s="205"/>
    </row>
    <row r="345" spans="5:10">
      <c r="E345" s="205"/>
      <c r="F345" s="205"/>
      <c r="G345" s="205"/>
      <c r="H345" s="205"/>
      <c r="I345" s="205"/>
      <c r="J345" s="205"/>
    </row>
    <row r="346" spans="5:10">
      <c r="E346" s="205"/>
      <c r="F346" s="205"/>
      <c r="G346" s="205"/>
      <c r="H346" s="205"/>
      <c r="I346" s="205"/>
      <c r="J346" s="205"/>
    </row>
    <row r="347" spans="5:10">
      <c r="E347" s="205"/>
      <c r="F347" s="205"/>
      <c r="G347" s="205"/>
      <c r="H347" s="205"/>
      <c r="I347" s="205"/>
      <c r="J347" s="205"/>
    </row>
    <row r="348" spans="5:10">
      <c r="E348" s="205"/>
      <c r="F348" s="205"/>
      <c r="G348" s="205"/>
      <c r="H348" s="205"/>
      <c r="I348" s="205"/>
      <c r="J348" s="205"/>
    </row>
    <row r="349" spans="5:10">
      <c r="E349" s="205"/>
      <c r="F349" s="205"/>
      <c r="G349" s="205"/>
      <c r="H349" s="205"/>
      <c r="I349" s="205"/>
      <c r="J349" s="205"/>
    </row>
    <row r="350" spans="5:10">
      <c r="E350" s="205"/>
      <c r="F350" s="205"/>
      <c r="G350" s="205"/>
      <c r="H350" s="205"/>
      <c r="I350" s="205"/>
      <c r="J350" s="205"/>
    </row>
    <row r="351" spans="5:10">
      <c r="E351" s="205"/>
      <c r="F351" s="205"/>
      <c r="G351" s="205"/>
      <c r="H351" s="205"/>
      <c r="I351" s="205"/>
      <c r="J351" s="205"/>
    </row>
    <row r="352" spans="5:10">
      <c r="E352" s="205"/>
      <c r="F352" s="205"/>
      <c r="G352" s="205"/>
      <c r="H352" s="205"/>
      <c r="I352" s="205"/>
      <c r="J352" s="205"/>
    </row>
    <row r="353" spans="5:10">
      <c r="E353" s="205"/>
      <c r="F353" s="205"/>
      <c r="G353" s="205"/>
      <c r="H353" s="205"/>
      <c r="I353" s="205"/>
      <c r="J353" s="205"/>
    </row>
    <row r="354" spans="5:10">
      <c r="E354" s="205"/>
      <c r="F354" s="205"/>
      <c r="G354" s="205"/>
      <c r="H354" s="205"/>
      <c r="I354" s="205"/>
      <c r="J354" s="205"/>
    </row>
    <row r="355" spans="5:10">
      <c r="E355" s="205"/>
      <c r="F355" s="205"/>
      <c r="G355" s="205"/>
      <c r="H355" s="205"/>
      <c r="I355" s="205"/>
      <c r="J355" s="205"/>
    </row>
    <row r="356" spans="5:10">
      <c r="E356" s="205"/>
      <c r="F356" s="205"/>
      <c r="G356" s="205"/>
      <c r="H356" s="205"/>
      <c r="I356" s="205"/>
      <c r="J356" s="205"/>
    </row>
    <row r="357" spans="5:10">
      <c r="E357" s="205"/>
      <c r="F357" s="205"/>
      <c r="G357" s="205"/>
      <c r="H357" s="205"/>
      <c r="I357" s="205"/>
      <c r="J357" s="205"/>
    </row>
    <row r="358" spans="5:10">
      <c r="E358" s="205"/>
      <c r="F358" s="205"/>
      <c r="G358" s="205"/>
      <c r="H358" s="205"/>
      <c r="I358" s="205"/>
      <c r="J358" s="205"/>
    </row>
    <row r="359" spans="5:10">
      <c r="E359" s="205"/>
      <c r="F359" s="205"/>
      <c r="G359" s="205"/>
      <c r="H359" s="205"/>
      <c r="I359" s="205"/>
      <c r="J359" s="205"/>
    </row>
    <row r="360" spans="5:10">
      <c r="E360" s="205"/>
      <c r="F360" s="205"/>
      <c r="G360" s="205"/>
      <c r="H360" s="205"/>
      <c r="I360" s="205"/>
      <c r="J360" s="205"/>
    </row>
    <row r="361" spans="5:10">
      <c r="E361" s="205"/>
      <c r="F361" s="205"/>
      <c r="G361" s="205"/>
      <c r="H361" s="205"/>
      <c r="I361" s="205"/>
      <c r="J361" s="205"/>
    </row>
    <row r="362" spans="5:10">
      <c r="E362" s="205"/>
      <c r="F362" s="205"/>
      <c r="G362" s="205"/>
      <c r="H362" s="205"/>
      <c r="I362" s="205"/>
      <c r="J362" s="205"/>
    </row>
    <row r="363" spans="5:10">
      <c r="E363" s="205"/>
      <c r="F363" s="205"/>
      <c r="G363" s="205"/>
      <c r="H363" s="205"/>
      <c r="I363" s="205"/>
      <c r="J363" s="205"/>
    </row>
    <row r="364" spans="5:10">
      <c r="E364" s="205"/>
      <c r="F364" s="205"/>
      <c r="G364" s="205"/>
      <c r="H364" s="205"/>
      <c r="I364" s="205"/>
      <c r="J364" s="205"/>
    </row>
    <row r="365" spans="5:10">
      <c r="E365" s="205"/>
      <c r="F365" s="205"/>
      <c r="G365" s="205"/>
      <c r="H365" s="205"/>
      <c r="I365" s="205"/>
      <c r="J365" s="205"/>
    </row>
    <row r="366" spans="5:10">
      <c r="E366" s="205"/>
      <c r="F366" s="205"/>
      <c r="G366" s="205"/>
      <c r="H366" s="205"/>
      <c r="I366" s="205"/>
      <c r="J366" s="205"/>
    </row>
    <row r="367" spans="5:10">
      <c r="E367" s="205"/>
      <c r="F367" s="205"/>
      <c r="G367" s="205"/>
      <c r="H367" s="205"/>
      <c r="I367" s="205"/>
      <c r="J367" s="205"/>
    </row>
    <row r="368" spans="5:10">
      <c r="E368" s="205"/>
      <c r="F368" s="205"/>
      <c r="G368" s="205"/>
      <c r="H368" s="205"/>
      <c r="I368" s="205"/>
      <c r="J368" s="205"/>
    </row>
    <row r="369" spans="5:10">
      <c r="E369" s="205"/>
      <c r="F369" s="205"/>
      <c r="G369" s="205"/>
      <c r="H369" s="205"/>
      <c r="I369" s="205"/>
      <c r="J369" s="205"/>
    </row>
    <row r="370" spans="5:10">
      <c r="E370" s="205"/>
      <c r="F370" s="205"/>
      <c r="G370" s="205"/>
      <c r="H370" s="205"/>
      <c r="I370" s="205"/>
      <c r="J370" s="205"/>
    </row>
    <row r="371" spans="5:10">
      <c r="E371" s="205"/>
      <c r="F371" s="205"/>
      <c r="G371" s="205"/>
      <c r="H371" s="205"/>
      <c r="I371" s="205"/>
      <c r="J371" s="205"/>
    </row>
    <row r="372" spans="5:10">
      <c r="E372" s="205"/>
      <c r="F372" s="205"/>
      <c r="G372" s="205"/>
      <c r="H372" s="205"/>
      <c r="I372" s="205"/>
      <c r="J372" s="205"/>
    </row>
    <row r="373" spans="5:10">
      <c r="E373" s="205"/>
      <c r="F373" s="205"/>
      <c r="G373" s="205"/>
      <c r="H373" s="205"/>
      <c r="I373" s="205"/>
      <c r="J373" s="205"/>
    </row>
    <row r="374" spans="5:10">
      <c r="E374" s="205"/>
      <c r="F374" s="205"/>
      <c r="G374" s="205"/>
      <c r="H374" s="205"/>
      <c r="I374" s="205"/>
      <c r="J374" s="205"/>
    </row>
    <row r="375" spans="5:10">
      <c r="E375" s="205"/>
      <c r="F375" s="205"/>
      <c r="G375" s="205"/>
      <c r="H375" s="205"/>
      <c r="I375" s="205"/>
      <c r="J375" s="205"/>
    </row>
    <row r="376" spans="5:10">
      <c r="E376" s="205"/>
      <c r="F376" s="205"/>
      <c r="G376" s="205"/>
      <c r="H376" s="205"/>
      <c r="I376" s="205"/>
      <c r="J376" s="205"/>
    </row>
    <row r="377" spans="5:10">
      <c r="E377" s="205"/>
      <c r="F377" s="205"/>
      <c r="G377" s="205"/>
      <c r="H377" s="205"/>
      <c r="I377" s="205"/>
      <c r="J377" s="205"/>
    </row>
    <row r="378" spans="5:10">
      <c r="E378" s="205"/>
      <c r="F378" s="205"/>
      <c r="G378" s="205"/>
      <c r="H378" s="205"/>
      <c r="I378" s="205"/>
      <c r="J378" s="205"/>
    </row>
    <row r="379" spans="5:10">
      <c r="E379" s="205"/>
      <c r="F379" s="205"/>
      <c r="G379" s="205"/>
      <c r="H379" s="205"/>
      <c r="I379" s="205"/>
      <c r="J379" s="205"/>
    </row>
    <row r="380" spans="5:10">
      <c r="E380" s="205"/>
      <c r="F380" s="205"/>
      <c r="G380" s="205"/>
      <c r="H380" s="205"/>
      <c r="I380" s="205"/>
      <c r="J380" s="205"/>
    </row>
    <row r="381" spans="5:10">
      <c r="E381" s="205"/>
      <c r="F381" s="205"/>
      <c r="G381" s="205"/>
      <c r="H381" s="205"/>
      <c r="I381" s="205"/>
      <c r="J381" s="205"/>
    </row>
    <row r="382" spans="5:10">
      <c r="E382" s="205"/>
      <c r="F382" s="205"/>
      <c r="G382" s="205"/>
      <c r="H382" s="205"/>
      <c r="I382" s="205"/>
      <c r="J382" s="205"/>
    </row>
    <row r="383" spans="5:10">
      <c r="E383" s="205"/>
      <c r="F383" s="205"/>
      <c r="G383" s="205"/>
      <c r="H383" s="205"/>
      <c r="I383" s="205"/>
      <c r="J383" s="205"/>
    </row>
    <row r="384" spans="5:10">
      <c r="E384" s="205"/>
      <c r="F384" s="205"/>
      <c r="G384" s="205"/>
      <c r="H384" s="205"/>
      <c r="I384" s="205"/>
      <c r="J384" s="205"/>
    </row>
    <row r="385" spans="5:10">
      <c r="E385" s="205"/>
      <c r="F385" s="205"/>
      <c r="G385" s="205"/>
      <c r="H385" s="205"/>
      <c r="I385" s="205"/>
      <c r="J385" s="205"/>
    </row>
    <row r="386" spans="5:10">
      <c r="E386" s="205"/>
      <c r="F386" s="205"/>
      <c r="G386" s="205"/>
      <c r="H386" s="205"/>
      <c r="I386" s="205"/>
      <c r="J386" s="205"/>
    </row>
    <row r="387" spans="5:10">
      <c r="E387" s="205"/>
      <c r="F387" s="205"/>
      <c r="G387" s="205"/>
      <c r="H387" s="205"/>
      <c r="I387" s="205"/>
      <c r="J387" s="205"/>
    </row>
    <row r="388" spans="5:10">
      <c r="E388" s="205"/>
      <c r="F388" s="205"/>
      <c r="G388" s="205"/>
      <c r="H388" s="205"/>
      <c r="I388" s="205"/>
      <c r="J388" s="205"/>
    </row>
    <row r="389" spans="5:10">
      <c r="E389" s="205"/>
      <c r="F389" s="205"/>
      <c r="G389" s="205"/>
      <c r="H389" s="205"/>
      <c r="I389" s="205"/>
      <c r="J389" s="205"/>
    </row>
    <row r="390" spans="5:10">
      <c r="E390" s="205"/>
      <c r="F390" s="205"/>
      <c r="G390" s="205"/>
      <c r="H390" s="205"/>
      <c r="I390" s="205"/>
      <c r="J390" s="205"/>
    </row>
    <row r="391" spans="5:10">
      <c r="E391" s="205"/>
      <c r="F391" s="205"/>
      <c r="G391" s="205"/>
      <c r="H391" s="205"/>
      <c r="I391" s="205"/>
      <c r="J391" s="205"/>
    </row>
    <row r="392" spans="5:10">
      <c r="E392" s="205"/>
      <c r="F392" s="205"/>
      <c r="G392" s="205"/>
      <c r="H392" s="205"/>
      <c r="I392" s="205"/>
      <c r="J392" s="205"/>
    </row>
    <row r="393" spans="5:10">
      <c r="E393" s="205"/>
      <c r="F393" s="205"/>
      <c r="G393" s="205"/>
      <c r="H393" s="205"/>
      <c r="I393" s="205"/>
      <c r="J393" s="205"/>
    </row>
    <row r="394" spans="5:10">
      <c r="E394" s="205"/>
      <c r="F394" s="205"/>
      <c r="G394" s="205"/>
      <c r="H394" s="205"/>
      <c r="I394" s="205"/>
      <c r="J394" s="205"/>
    </row>
    <row r="395" spans="5:10">
      <c r="E395" s="205"/>
      <c r="F395" s="205"/>
      <c r="G395" s="205"/>
      <c r="H395" s="205"/>
      <c r="I395" s="205"/>
      <c r="J395" s="205"/>
    </row>
    <row r="396" spans="5:10">
      <c r="E396" s="205"/>
      <c r="F396" s="205"/>
      <c r="G396" s="205"/>
      <c r="H396" s="205"/>
      <c r="I396" s="205"/>
      <c r="J396" s="205"/>
    </row>
    <row r="397" spans="5:10">
      <c r="E397" s="205"/>
      <c r="F397" s="205"/>
      <c r="G397" s="205"/>
      <c r="H397" s="205"/>
      <c r="I397" s="205"/>
      <c r="J397" s="205"/>
    </row>
    <row r="398" spans="5:10">
      <c r="E398" s="205"/>
      <c r="F398" s="205"/>
      <c r="G398" s="205"/>
      <c r="H398" s="205"/>
      <c r="I398" s="205"/>
      <c r="J398" s="205"/>
    </row>
    <row r="399" spans="5:10">
      <c r="E399" s="205"/>
      <c r="F399" s="205"/>
      <c r="G399" s="205"/>
      <c r="H399" s="205"/>
      <c r="I399" s="205"/>
      <c r="J399" s="205"/>
    </row>
    <row r="400" spans="5:10">
      <c r="E400" s="205"/>
      <c r="F400" s="205"/>
      <c r="G400" s="205"/>
      <c r="H400" s="205"/>
      <c r="I400" s="205"/>
      <c r="J400" s="205"/>
    </row>
    <row r="401" spans="5:10">
      <c r="E401" s="205"/>
      <c r="F401" s="205"/>
      <c r="G401" s="205"/>
      <c r="H401" s="205"/>
      <c r="I401" s="205"/>
      <c r="J401" s="205"/>
    </row>
    <row r="402" spans="5:10">
      <c r="E402" s="205"/>
      <c r="F402" s="205"/>
      <c r="G402" s="205"/>
      <c r="H402" s="205"/>
      <c r="I402" s="205"/>
      <c r="J402" s="205"/>
    </row>
    <row r="403" spans="5:10">
      <c r="E403" s="205"/>
      <c r="F403" s="205"/>
      <c r="G403" s="205"/>
      <c r="H403" s="205"/>
      <c r="I403" s="205"/>
      <c r="J403" s="205"/>
    </row>
    <row r="404" spans="5:10">
      <c r="E404" s="205"/>
      <c r="F404" s="205"/>
      <c r="G404" s="205"/>
      <c r="H404" s="205"/>
      <c r="I404" s="205"/>
      <c r="J404" s="205"/>
    </row>
    <row r="405" spans="5:10">
      <c r="E405" s="205"/>
      <c r="F405" s="205"/>
      <c r="G405" s="205"/>
      <c r="H405" s="205"/>
      <c r="I405" s="205"/>
      <c r="J405" s="205"/>
    </row>
    <row r="406" spans="5:10">
      <c r="E406" s="205"/>
      <c r="F406" s="205"/>
      <c r="G406" s="205"/>
      <c r="H406" s="205"/>
      <c r="I406" s="205"/>
      <c r="J406" s="205"/>
    </row>
    <row r="407" spans="5:10">
      <c r="E407" s="205"/>
      <c r="F407" s="205"/>
      <c r="G407" s="205"/>
      <c r="H407" s="205"/>
      <c r="I407" s="205"/>
      <c r="J407" s="205"/>
    </row>
    <row r="408" spans="5:10">
      <c r="E408" s="205"/>
      <c r="F408" s="205"/>
      <c r="G408" s="205"/>
      <c r="H408" s="205"/>
      <c r="I408" s="205"/>
      <c r="J408" s="205"/>
    </row>
    <row r="409" spans="5:10">
      <c r="E409" s="205"/>
      <c r="F409" s="205"/>
      <c r="G409" s="205"/>
      <c r="H409" s="205"/>
      <c r="I409" s="205"/>
      <c r="J409" s="205"/>
    </row>
    <row r="410" spans="5:10">
      <c r="E410" s="205"/>
      <c r="F410" s="205"/>
      <c r="G410" s="205"/>
      <c r="H410" s="205"/>
      <c r="I410" s="205"/>
      <c r="J410" s="205"/>
    </row>
    <row r="411" spans="5:10">
      <c r="E411" s="205"/>
      <c r="F411" s="205"/>
      <c r="G411" s="205"/>
      <c r="H411" s="205"/>
      <c r="I411" s="205"/>
      <c r="J411" s="205"/>
    </row>
    <row r="412" spans="5:10">
      <c r="E412" s="205"/>
      <c r="F412" s="205"/>
      <c r="G412" s="205"/>
      <c r="H412" s="205"/>
      <c r="I412" s="205"/>
      <c r="J412" s="205"/>
    </row>
    <row r="413" spans="5:10">
      <c r="E413" s="205"/>
      <c r="F413" s="205"/>
      <c r="G413" s="205"/>
      <c r="H413" s="205"/>
      <c r="I413" s="205"/>
      <c r="J413" s="205"/>
    </row>
    <row r="414" spans="5:10">
      <c r="E414" s="205"/>
      <c r="F414" s="205"/>
      <c r="G414" s="205"/>
      <c r="H414" s="205"/>
      <c r="I414" s="205"/>
      <c r="J414" s="205"/>
    </row>
    <row r="415" spans="5:10">
      <c r="E415" s="205"/>
      <c r="F415" s="205"/>
      <c r="G415" s="205"/>
      <c r="H415" s="205"/>
      <c r="I415" s="205"/>
      <c r="J415" s="205"/>
    </row>
    <row r="416" spans="5:10">
      <c r="E416" s="205"/>
      <c r="F416" s="205"/>
      <c r="G416" s="205"/>
      <c r="H416" s="205"/>
      <c r="I416" s="205"/>
      <c r="J416" s="205"/>
    </row>
    <row r="417" spans="5:10">
      <c r="E417" s="205"/>
      <c r="F417" s="205"/>
      <c r="G417" s="205"/>
      <c r="H417" s="205"/>
      <c r="I417" s="205"/>
      <c r="J417" s="205"/>
    </row>
    <row r="418" spans="5:10">
      <c r="E418" s="205"/>
      <c r="F418" s="205"/>
      <c r="G418" s="205"/>
      <c r="H418" s="205"/>
      <c r="I418" s="205"/>
      <c r="J418" s="205"/>
    </row>
    <row r="419" spans="5:10">
      <c r="E419" s="205"/>
      <c r="F419" s="205"/>
      <c r="G419" s="205"/>
      <c r="H419" s="205"/>
      <c r="I419" s="205"/>
      <c r="J419" s="205"/>
    </row>
    <row r="420" spans="5:10">
      <c r="E420" s="205"/>
      <c r="F420" s="205"/>
      <c r="G420" s="205"/>
      <c r="H420" s="205"/>
      <c r="I420" s="205"/>
      <c r="J420" s="205"/>
    </row>
    <row r="421" spans="5:10">
      <c r="E421" s="205"/>
      <c r="F421" s="205"/>
      <c r="G421" s="205"/>
      <c r="H421" s="205"/>
      <c r="I421" s="205"/>
      <c r="J421" s="205"/>
    </row>
    <row r="422" spans="5:10">
      <c r="E422" s="205"/>
      <c r="F422" s="205"/>
      <c r="G422" s="205"/>
      <c r="H422" s="205"/>
      <c r="I422" s="205"/>
      <c r="J422" s="205"/>
    </row>
    <row r="423" spans="5:10">
      <c r="E423" s="205"/>
      <c r="F423" s="205"/>
      <c r="G423" s="205"/>
      <c r="H423" s="205"/>
      <c r="I423" s="205"/>
      <c r="J423" s="205"/>
    </row>
    <row r="424" spans="5:10">
      <c r="E424" s="205"/>
      <c r="F424" s="205"/>
      <c r="G424" s="205"/>
      <c r="H424" s="205"/>
      <c r="I424" s="205"/>
      <c r="J424" s="205"/>
    </row>
    <row r="425" spans="5:10">
      <c r="E425" s="205"/>
      <c r="F425" s="205"/>
      <c r="G425" s="205"/>
      <c r="H425" s="205"/>
      <c r="I425" s="205"/>
      <c r="J425" s="205"/>
    </row>
    <row r="426" spans="5:10">
      <c r="E426" s="205"/>
      <c r="F426" s="205"/>
      <c r="G426" s="205"/>
      <c r="H426" s="205"/>
      <c r="I426" s="205"/>
      <c r="J426" s="205"/>
    </row>
    <row r="427" spans="5:10">
      <c r="E427" s="205"/>
      <c r="F427" s="205"/>
      <c r="G427" s="205"/>
      <c r="H427" s="205"/>
      <c r="I427" s="205"/>
      <c r="J427" s="205"/>
    </row>
    <row r="428" spans="5:10">
      <c r="E428" s="205"/>
      <c r="F428" s="205"/>
      <c r="G428" s="205"/>
      <c r="H428" s="205"/>
      <c r="I428" s="205"/>
      <c r="J428" s="205"/>
    </row>
    <row r="429" spans="5:10">
      <c r="E429" s="205"/>
      <c r="F429" s="205"/>
      <c r="G429" s="205"/>
      <c r="H429" s="205"/>
      <c r="I429" s="205"/>
      <c r="J429" s="205"/>
    </row>
    <row r="430" spans="5:10">
      <c r="E430" s="205"/>
      <c r="F430" s="205"/>
      <c r="G430" s="205"/>
      <c r="H430" s="205"/>
      <c r="I430" s="205"/>
      <c r="J430" s="205"/>
    </row>
    <row r="431" spans="5:10">
      <c r="E431" s="205"/>
      <c r="F431" s="205"/>
      <c r="G431" s="205"/>
      <c r="H431" s="205"/>
      <c r="I431" s="205"/>
      <c r="J431" s="205"/>
    </row>
    <row r="432" spans="5:10">
      <c r="E432" s="205"/>
      <c r="F432" s="205"/>
      <c r="G432" s="205"/>
      <c r="H432" s="205"/>
      <c r="I432" s="205"/>
      <c r="J432" s="205"/>
    </row>
    <row r="433" spans="5:10">
      <c r="E433" s="205"/>
      <c r="F433" s="205"/>
      <c r="G433" s="205"/>
      <c r="H433" s="205"/>
      <c r="I433" s="205"/>
      <c r="J433" s="205"/>
    </row>
    <row r="434" spans="5:10">
      <c r="E434" s="205"/>
      <c r="F434" s="205"/>
      <c r="G434" s="205"/>
      <c r="H434" s="205"/>
      <c r="I434" s="205"/>
      <c r="J434" s="205"/>
    </row>
    <row r="435" spans="5:10">
      <c r="E435" s="205"/>
      <c r="F435" s="205"/>
      <c r="G435" s="205"/>
      <c r="H435" s="205"/>
      <c r="I435" s="205"/>
      <c r="J435" s="205"/>
    </row>
    <row r="436" spans="5:10">
      <c r="E436" s="205"/>
      <c r="F436" s="205"/>
      <c r="G436" s="205"/>
      <c r="H436" s="205"/>
      <c r="I436" s="205"/>
      <c r="J436" s="205"/>
    </row>
    <row r="437" spans="5:10">
      <c r="E437" s="205"/>
      <c r="F437" s="205"/>
      <c r="G437" s="205"/>
      <c r="H437" s="205"/>
      <c r="I437" s="205"/>
      <c r="J437" s="205"/>
    </row>
    <row r="438" spans="5:10">
      <c r="E438" s="205"/>
      <c r="F438" s="205"/>
      <c r="G438" s="205"/>
      <c r="H438" s="205"/>
      <c r="I438" s="205"/>
      <c r="J438" s="205"/>
    </row>
    <row r="439" spans="5:10">
      <c r="E439" s="205"/>
      <c r="F439" s="205"/>
      <c r="G439" s="205"/>
      <c r="H439" s="205"/>
      <c r="I439" s="205"/>
      <c r="J439" s="205"/>
    </row>
    <row r="440" spans="5:10">
      <c r="E440" s="205"/>
      <c r="F440" s="205"/>
      <c r="G440" s="205"/>
      <c r="H440" s="205"/>
      <c r="I440" s="205"/>
      <c r="J440" s="205"/>
    </row>
    <row r="441" spans="5:10">
      <c r="E441" s="205"/>
      <c r="F441" s="205"/>
      <c r="G441" s="205"/>
      <c r="H441" s="205"/>
      <c r="I441" s="205"/>
      <c r="J441" s="205"/>
    </row>
    <row r="442" spans="5:10">
      <c r="E442" s="205"/>
      <c r="F442" s="205"/>
      <c r="G442" s="205"/>
      <c r="H442" s="205"/>
      <c r="I442" s="205"/>
      <c r="J442" s="205"/>
    </row>
    <row r="443" spans="5:10">
      <c r="E443" s="205"/>
      <c r="F443" s="205"/>
      <c r="G443" s="205"/>
      <c r="H443" s="205"/>
      <c r="I443" s="205"/>
      <c r="J443" s="205"/>
    </row>
    <row r="444" spans="5:10">
      <c r="E444" s="205"/>
      <c r="F444" s="205"/>
      <c r="G444" s="205"/>
      <c r="H444" s="205"/>
      <c r="I444" s="205"/>
      <c r="J444" s="205"/>
    </row>
    <row r="445" spans="5:10">
      <c r="E445" s="205"/>
      <c r="F445" s="205"/>
      <c r="G445" s="205"/>
      <c r="H445" s="205"/>
      <c r="I445" s="205"/>
      <c r="J445" s="205"/>
    </row>
    <row r="446" spans="5:10">
      <c r="E446" s="205"/>
      <c r="F446" s="205"/>
      <c r="G446" s="205"/>
      <c r="H446" s="205"/>
      <c r="I446" s="205"/>
      <c r="J446" s="205"/>
    </row>
    <row r="447" spans="5:10">
      <c r="E447" s="205"/>
      <c r="F447" s="205"/>
      <c r="G447" s="205"/>
      <c r="H447" s="205"/>
      <c r="I447" s="205"/>
      <c r="J447" s="205"/>
    </row>
    <row r="448" spans="5:10">
      <c r="E448" s="205"/>
      <c r="F448" s="205"/>
      <c r="G448" s="205"/>
      <c r="H448" s="205"/>
      <c r="I448" s="205"/>
      <c r="J448" s="205"/>
    </row>
    <row r="449" spans="5:10">
      <c r="E449" s="205"/>
      <c r="F449" s="205"/>
      <c r="G449" s="205"/>
      <c r="H449" s="205"/>
      <c r="I449" s="205"/>
      <c r="J449" s="205"/>
    </row>
    <row r="450" spans="5:10">
      <c r="E450" s="205"/>
      <c r="F450" s="205"/>
      <c r="G450" s="205"/>
      <c r="H450" s="205"/>
      <c r="I450" s="205"/>
      <c r="J450" s="205"/>
    </row>
    <row r="451" spans="5:10">
      <c r="E451" s="205"/>
      <c r="F451" s="205"/>
      <c r="G451" s="205"/>
      <c r="H451" s="205"/>
      <c r="I451" s="205"/>
      <c r="J451" s="205"/>
    </row>
    <row r="452" spans="5:10">
      <c r="E452" s="205"/>
      <c r="F452" s="205"/>
      <c r="G452" s="205"/>
      <c r="H452" s="205"/>
      <c r="I452" s="205"/>
      <c r="J452" s="205"/>
    </row>
    <row r="453" spans="5:10">
      <c r="E453" s="205"/>
      <c r="F453" s="205"/>
      <c r="G453" s="205"/>
      <c r="H453" s="205"/>
      <c r="I453" s="205"/>
      <c r="J453" s="205"/>
    </row>
    <row r="454" spans="5:10">
      <c r="E454" s="205"/>
      <c r="F454" s="205"/>
      <c r="G454" s="205"/>
      <c r="H454" s="205"/>
      <c r="I454" s="205"/>
      <c r="J454" s="205"/>
    </row>
    <row r="455" spans="5:10">
      <c r="E455" s="205"/>
      <c r="F455" s="205"/>
      <c r="G455" s="205"/>
      <c r="H455" s="205"/>
      <c r="I455" s="205"/>
      <c r="J455" s="205"/>
    </row>
    <row r="456" spans="5:10">
      <c r="E456" s="205"/>
      <c r="F456" s="205"/>
      <c r="G456" s="205"/>
      <c r="H456" s="205"/>
      <c r="I456" s="205"/>
      <c r="J456" s="205"/>
    </row>
    <row r="457" spans="5:10">
      <c r="E457" s="205"/>
      <c r="F457" s="205"/>
      <c r="G457" s="205"/>
      <c r="H457" s="205"/>
      <c r="I457" s="205"/>
      <c r="J457" s="205"/>
    </row>
    <row r="458" spans="5:10">
      <c r="E458" s="205"/>
      <c r="F458" s="205"/>
      <c r="G458" s="205"/>
      <c r="H458" s="205"/>
      <c r="I458" s="205"/>
      <c r="J458" s="205"/>
    </row>
    <row r="459" spans="5:10">
      <c r="E459" s="205"/>
      <c r="F459" s="205"/>
      <c r="G459" s="205"/>
      <c r="H459" s="205"/>
      <c r="I459" s="205"/>
      <c r="J459" s="205"/>
    </row>
    <row r="460" spans="5:10">
      <c r="E460" s="205"/>
      <c r="F460" s="205"/>
      <c r="G460" s="205"/>
      <c r="H460" s="205"/>
      <c r="I460" s="205"/>
      <c r="J460" s="205"/>
    </row>
    <row r="461" spans="5:10">
      <c r="E461" s="205"/>
      <c r="F461" s="205"/>
      <c r="G461" s="205"/>
      <c r="H461" s="205"/>
      <c r="I461" s="205"/>
      <c r="J461" s="205"/>
    </row>
    <row r="462" spans="5:10">
      <c r="E462" s="205"/>
      <c r="F462" s="205"/>
      <c r="G462" s="205"/>
      <c r="H462" s="205"/>
      <c r="I462" s="205"/>
      <c r="J462" s="205"/>
    </row>
    <row r="463" spans="5:10">
      <c r="E463" s="205"/>
      <c r="F463" s="205"/>
      <c r="G463" s="205"/>
      <c r="H463" s="205"/>
      <c r="I463" s="205"/>
      <c r="J463" s="205"/>
    </row>
    <row r="464" spans="5:10">
      <c r="E464" s="205"/>
      <c r="F464" s="205"/>
      <c r="G464" s="205"/>
      <c r="H464" s="205"/>
      <c r="I464" s="205"/>
      <c r="J464" s="205"/>
    </row>
    <row r="465" spans="5:10">
      <c r="E465" s="205"/>
      <c r="F465" s="205"/>
      <c r="G465" s="205"/>
      <c r="H465" s="205"/>
      <c r="I465" s="205"/>
      <c r="J465" s="205"/>
    </row>
    <row r="466" spans="5:10">
      <c r="E466" s="205"/>
      <c r="F466" s="205"/>
      <c r="G466" s="205"/>
      <c r="H466" s="205"/>
      <c r="I466" s="205"/>
      <c r="J466" s="205"/>
    </row>
    <row r="467" spans="5:10">
      <c r="E467" s="205"/>
      <c r="F467" s="205"/>
      <c r="G467" s="205"/>
      <c r="H467" s="205"/>
      <c r="I467" s="205"/>
      <c r="J467" s="205"/>
    </row>
    <row r="468" spans="5:10">
      <c r="E468" s="205"/>
      <c r="F468" s="205"/>
      <c r="G468" s="205"/>
      <c r="H468" s="205"/>
      <c r="I468" s="205"/>
      <c r="J468" s="205"/>
    </row>
    <row r="469" spans="5:10">
      <c r="E469" s="205"/>
      <c r="F469" s="205"/>
      <c r="G469" s="205"/>
      <c r="H469" s="205"/>
      <c r="I469" s="205"/>
      <c r="J469" s="205"/>
    </row>
    <row r="470" spans="5:10">
      <c r="E470" s="205"/>
      <c r="F470" s="205"/>
      <c r="G470" s="205"/>
      <c r="H470" s="205"/>
      <c r="I470" s="205"/>
      <c r="J470" s="205"/>
    </row>
    <row r="471" spans="5:10">
      <c r="E471" s="205"/>
      <c r="F471" s="205"/>
      <c r="G471" s="205"/>
      <c r="H471" s="205"/>
      <c r="I471" s="205"/>
      <c r="J471" s="205"/>
    </row>
    <row r="472" spans="5:10">
      <c r="E472" s="205"/>
      <c r="F472" s="205"/>
      <c r="G472" s="205"/>
      <c r="H472" s="205"/>
      <c r="I472" s="205"/>
      <c r="J472" s="205"/>
    </row>
    <row r="473" spans="5:10">
      <c r="E473" s="205"/>
      <c r="F473" s="205"/>
      <c r="G473" s="205"/>
      <c r="H473" s="205"/>
      <c r="I473" s="205"/>
      <c r="J473" s="205"/>
    </row>
    <row r="474" spans="5:10">
      <c r="E474" s="205"/>
      <c r="F474" s="205"/>
      <c r="G474" s="205"/>
      <c r="H474" s="205"/>
      <c r="I474" s="205"/>
      <c r="J474" s="205"/>
    </row>
    <row r="475" spans="5:10">
      <c r="E475" s="205"/>
      <c r="F475" s="205"/>
      <c r="G475" s="205"/>
      <c r="H475" s="205"/>
      <c r="I475" s="205"/>
      <c r="J475" s="205"/>
    </row>
    <row r="476" spans="5:10">
      <c r="E476" s="205"/>
      <c r="F476" s="205"/>
      <c r="G476" s="205"/>
      <c r="H476" s="205"/>
      <c r="I476" s="205"/>
      <c r="J476" s="205"/>
    </row>
    <row r="477" spans="5:10">
      <c r="E477" s="205"/>
      <c r="F477" s="205"/>
      <c r="G477" s="205"/>
      <c r="H477" s="205"/>
      <c r="I477" s="205"/>
      <c r="J477" s="205"/>
    </row>
    <row r="478" spans="5:10">
      <c r="E478" s="205"/>
      <c r="F478" s="205"/>
      <c r="G478" s="205"/>
      <c r="H478" s="205"/>
      <c r="I478" s="205"/>
      <c r="J478" s="205"/>
    </row>
    <row r="479" spans="5:10">
      <c r="E479" s="205"/>
      <c r="F479" s="205"/>
      <c r="G479" s="205"/>
      <c r="H479" s="205"/>
      <c r="I479" s="205"/>
      <c r="J479" s="205"/>
    </row>
    <row r="480" spans="5:10">
      <c r="E480" s="205"/>
      <c r="F480" s="205"/>
      <c r="G480" s="205"/>
      <c r="H480" s="205"/>
      <c r="I480" s="205"/>
      <c r="J480" s="205"/>
    </row>
    <row r="481" spans="5:10">
      <c r="E481" s="205"/>
      <c r="F481" s="205"/>
      <c r="G481" s="205"/>
      <c r="H481" s="205"/>
      <c r="I481" s="205"/>
      <c r="J481" s="205"/>
    </row>
    <row r="482" spans="5:10">
      <c r="E482" s="205"/>
      <c r="F482" s="205"/>
      <c r="G482" s="205"/>
      <c r="H482" s="205"/>
      <c r="I482" s="205"/>
      <c r="J482" s="205"/>
    </row>
    <row r="483" spans="5:10">
      <c r="E483" s="205"/>
      <c r="F483" s="205"/>
      <c r="G483" s="205"/>
      <c r="H483" s="205"/>
      <c r="I483" s="205"/>
      <c r="J483" s="205"/>
    </row>
    <row r="484" spans="5:10">
      <c r="E484" s="205"/>
      <c r="F484" s="205"/>
      <c r="G484" s="205"/>
      <c r="H484" s="205"/>
      <c r="I484" s="205"/>
      <c r="J484" s="205"/>
    </row>
    <row r="485" spans="5:10">
      <c r="E485" s="205"/>
      <c r="F485" s="205"/>
      <c r="G485" s="205"/>
      <c r="H485" s="205"/>
      <c r="I485" s="205"/>
      <c r="J485" s="205"/>
    </row>
    <row r="486" spans="5:10">
      <c r="E486" s="205"/>
      <c r="F486" s="205"/>
      <c r="G486" s="205"/>
      <c r="H486" s="205"/>
      <c r="I486" s="205"/>
      <c r="J486" s="205"/>
    </row>
    <row r="487" spans="5:10">
      <c r="E487" s="205"/>
      <c r="F487" s="205"/>
      <c r="G487" s="205"/>
      <c r="H487" s="205"/>
      <c r="I487" s="205"/>
      <c r="J487" s="205"/>
    </row>
    <row r="488" spans="5:10">
      <c r="E488" s="205"/>
      <c r="F488" s="205"/>
      <c r="G488" s="205"/>
      <c r="H488" s="205"/>
      <c r="I488" s="205"/>
      <c r="J488" s="205"/>
    </row>
    <row r="489" spans="5:10">
      <c r="E489" s="205"/>
      <c r="F489" s="205"/>
      <c r="G489" s="205"/>
      <c r="H489" s="205"/>
      <c r="I489" s="205"/>
      <c r="J489" s="205"/>
    </row>
    <row r="490" spans="5:10">
      <c r="E490" s="205"/>
      <c r="F490" s="205"/>
      <c r="G490" s="205"/>
      <c r="H490" s="205"/>
      <c r="I490" s="205"/>
      <c r="J490" s="205"/>
    </row>
    <row r="491" spans="5:10">
      <c r="E491" s="205"/>
      <c r="F491" s="205"/>
      <c r="G491" s="205"/>
      <c r="H491" s="205"/>
      <c r="I491" s="205"/>
      <c r="J491" s="205"/>
    </row>
    <row r="492" spans="5:10">
      <c r="E492" s="205"/>
      <c r="F492" s="205"/>
      <c r="G492" s="205"/>
      <c r="H492" s="205"/>
      <c r="I492" s="205"/>
      <c r="J492" s="205"/>
    </row>
    <row r="493" spans="5:10">
      <c r="E493" s="205"/>
      <c r="F493" s="205"/>
      <c r="G493" s="205"/>
      <c r="H493" s="205"/>
      <c r="I493" s="205"/>
      <c r="J493" s="205"/>
    </row>
    <row r="494" spans="5:10">
      <c r="E494" s="205"/>
      <c r="F494" s="205"/>
      <c r="G494" s="205"/>
      <c r="H494" s="205"/>
      <c r="I494" s="205"/>
      <c r="J494" s="205"/>
    </row>
    <row r="495" spans="5:10">
      <c r="E495" s="205"/>
      <c r="F495" s="205"/>
      <c r="G495" s="205"/>
      <c r="H495" s="205"/>
      <c r="I495" s="205"/>
      <c r="J495" s="205"/>
    </row>
    <row r="496" spans="5:10">
      <c r="E496" s="205"/>
      <c r="F496" s="205"/>
      <c r="G496" s="205"/>
      <c r="H496" s="205"/>
      <c r="I496" s="205"/>
      <c r="J496" s="205"/>
    </row>
    <row r="497" spans="5:10">
      <c r="E497" s="205"/>
      <c r="F497" s="205"/>
      <c r="G497" s="205"/>
      <c r="H497" s="205"/>
      <c r="I497" s="205"/>
      <c r="J497" s="205"/>
    </row>
    <row r="498" spans="5:10">
      <c r="E498" s="205"/>
      <c r="F498" s="205"/>
      <c r="G498" s="205"/>
      <c r="H498" s="205"/>
      <c r="I498" s="205"/>
      <c r="J498" s="205"/>
    </row>
    <row r="499" spans="5:10">
      <c r="E499" s="205"/>
      <c r="F499" s="205"/>
      <c r="G499" s="205"/>
      <c r="H499" s="205"/>
      <c r="I499" s="205"/>
      <c r="J499" s="205"/>
    </row>
    <row r="500" spans="5:10">
      <c r="E500" s="205"/>
      <c r="F500" s="205"/>
      <c r="G500" s="205"/>
      <c r="H500" s="205"/>
      <c r="I500" s="205"/>
      <c r="J500" s="205"/>
    </row>
    <row r="501" spans="5:10">
      <c r="E501" s="205"/>
      <c r="F501" s="205"/>
      <c r="G501" s="205"/>
      <c r="H501" s="205"/>
      <c r="I501" s="205"/>
      <c r="J501" s="205"/>
    </row>
    <row r="502" spans="5:10">
      <c r="E502" s="205"/>
      <c r="F502" s="205"/>
      <c r="G502" s="205"/>
      <c r="H502" s="205"/>
      <c r="I502" s="205"/>
      <c r="J502" s="205"/>
    </row>
    <row r="503" spans="5:10">
      <c r="E503" s="205"/>
      <c r="F503" s="205"/>
      <c r="G503" s="205"/>
      <c r="H503" s="205"/>
      <c r="I503" s="205"/>
      <c r="J503" s="205"/>
    </row>
    <row r="504" spans="5:10">
      <c r="E504" s="205"/>
      <c r="F504" s="205"/>
      <c r="G504" s="205"/>
      <c r="H504" s="205"/>
      <c r="I504" s="205"/>
      <c r="J504" s="205"/>
    </row>
    <row r="505" spans="5:10">
      <c r="E505" s="205"/>
      <c r="F505" s="205"/>
      <c r="G505" s="205"/>
      <c r="H505" s="205"/>
      <c r="I505" s="205"/>
      <c r="J505" s="205"/>
    </row>
    <row r="506" spans="5:10">
      <c r="E506" s="205"/>
      <c r="F506" s="205"/>
      <c r="G506" s="205"/>
      <c r="H506" s="205"/>
      <c r="I506" s="205"/>
      <c r="J506" s="205"/>
    </row>
    <row r="507" spans="5:10">
      <c r="E507" s="205"/>
      <c r="F507" s="205"/>
      <c r="G507" s="205"/>
      <c r="H507" s="205"/>
      <c r="I507" s="205"/>
      <c r="J507" s="205"/>
    </row>
    <row r="508" spans="5:10">
      <c r="E508" s="205"/>
      <c r="F508" s="205"/>
      <c r="G508" s="205"/>
      <c r="H508" s="205"/>
      <c r="I508" s="205"/>
      <c r="J508" s="205"/>
    </row>
    <row r="509" spans="5:10">
      <c r="E509" s="205"/>
      <c r="F509" s="205"/>
      <c r="G509" s="205"/>
      <c r="H509" s="205"/>
      <c r="I509" s="205"/>
      <c r="J509" s="205"/>
    </row>
    <row r="510" spans="5:10">
      <c r="E510" s="205"/>
      <c r="F510" s="205"/>
      <c r="G510" s="205"/>
      <c r="H510" s="205"/>
      <c r="I510" s="205"/>
      <c r="J510" s="205"/>
    </row>
    <row r="511" spans="5:10">
      <c r="E511" s="205"/>
      <c r="F511" s="205"/>
      <c r="G511" s="205"/>
      <c r="H511" s="205"/>
      <c r="I511" s="205"/>
      <c r="J511" s="205"/>
    </row>
    <row r="512" spans="5:10">
      <c r="E512" s="205"/>
      <c r="F512" s="205"/>
      <c r="G512" s="205"/>
      <c r="H512" s="205"/>
      <c r="I512" s="205"/>
      <c r="J512" s="205"/>
    </row>
    <row r="513" spans="5:10">
      <c r="E513" s="205"/>
      <c r="F513" s="205"/>
      <c r="G513" s="205"/>
      <c r="H513" s="205"/>
      <c r="I513" s="205"/>
      <c r="J513" s="205"/>
    </row>
    <row r="514" spans="5:10">
      <c r="E514" s="205"/>
      <c r="F514" s="205"/>
      <c r="G514" s="205"/>
      <c r="H514" s="205"/>
      <c r="I514" s="205"/>
      <c r="J514" s="205"/>
    </row>
    <row r="515" spans="5:10">
      <c r="E515" s="205"/>
      <c r="F515" s="205"/>
      <c r="G515" s="205"/>
      <c r="H515" s="205"/>
      <c r="I515" s="205"/>
      <c r="J515" s="205"/>
    </row>
    <row r="516" spans="5:10">
      <c r="E516" s="205"/>
      <c r="F516" s="205"/>
      <c r="G516" s="205"/>
      <c r="H516" s="205"/>
      <c r="I516" s="205"/>
      <c r="J516" s="205"/>
    </row>
    <row r="517" spans="5:10">
      <c r="E517" s="205"/>
      <c r="F517" s="205"/>
      <c r="G517" s="205"/>
      <c r="H517" s="205"/>
      <c r="I517" s="205"/>
      <c r="J517" s="205"/>
    </row>
    <row r="518" spans="5:10">
      <c r="E518" s="205"/>
      <c r="F518" s="205"/>
      <c r="G518" s="205"/>
      <c r="H518" s="205"/>
      <c r="I518" s="205"/>
      <c r="J518" s="205"/>
    </row>
    <row r="519" spans="5:10">
      <c r="E519" s="205"/>
      <c r="F519" s="205"/>
      <c r="G519" s="205"/>
      <c r="H519" s="205"/>
      <c r="I519" s="205"/>
      <c r="J519" s="205"/>
    </row>
    <row r="520" spans="5:10">
      <c r="E520" s="205"/>
      <c r="F520" s="205"/>
      <c r="G520" s="205"/>
      <c r="H520" s="205"/>
      <c r="I520" s="205"/>
      <c r="J520" s="205"/>
    </row>
    <row r="521" spans="5:10">
      <c r="E521" s="205"/>
      <c r="F521" s="205"/>
      <c r="G521" s="205"/>
      <c r="H521" s="205"/>
      <c r="I521" s="205"/>
      <c r="J521" s="205"/>
    </row>
    <row r="522" spans="5:10">
      <c r="E522" s="205"/>
      <c r="F522" s="205"/>
      <c r="G522" s="205"/>
      <c r="H522" s="205"/>
      <c r="I522" s="205"/>
      <c r="J522" s="205"/>
    </row>
    <row r="523" spans="5:10">
      <c r="E523" s="205"/>
      <c r="F523" s="205"/>
      <c r="G523" s="205"/>
      <c r="H523" s="205"/>
      <c r="I523" s="205"/>
      <c r="J523" s="205"/>
    </row>
    <row r="524" spans="5:10">
      <c r="E524" s="205"/>
      <c r="F524" s="205"/>
      <c r="G524" s="205"/>
      <c r="H524" s="205"/>
      <c r="I524" s="205"/>
      <c r="J524" s="205"/>
    </row>
    <row r="525" spans="5:10">
      <c r="E525" s="205"/>
      <c r="F525" s="205"/>
      <c r="G525" s="205"/>
      <c r="H525" s="205"/>
      <c r="I525" s="205"/>
      <c r="J525" s="205"/>
    </row>
    <row r="526" spans="5:10">
      <c r="E526" s="205"/>
      <c r="F526" s="205"/>
      <c r="G526" s="205"/>
      <c r="H526" s="205"/>
      <c r="I526" s="205"/>
      <c r="J526" s="205"/>
    </row>
    <row r="527" spans="5:10">
      <c r="E527" s="205"/>
      <c r="F527" s="205"/>
      <c r="G527" s="205"/>
      <c r="H527" s="205"/>
      <c r="I527" s="205"/>
      <c r="J527" s="20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7"/>
  <sheetViews>
    <sheetView workbookViewId="0">
      <selection activeCell="M18" sqref="M18"/>
    </sheetView>
  </sheetViews>
  <sheetFormatPr defaultRowHeight="14.5"/>
  <cols>
    <col min="1" max="1" width="20.81640625" customWidth="1"/>
    <col min="2" max="2" width="15.453125" customWidth="1"/>
    <col min="3" max="3" width="23" customWidth="1"/>
    <col min="4" max="4" width="9.54296875" bestFit="1" customWidth="1"/>
    <col min="5" max="5" width="13.1796875" customWidth="1"/>
  </cols>
  <sheetData>
    <row r="1" spans="1:4">
      <c r="A1" s="6" t="s">
        <v>776</v>
      </c>
    </row>
    <row r="2" spans="1:4">
      <c r="A2" t="s">
        <v>777</v>
      </c>
    </row>
    <row r="3" spans="1:4" ht="29">
      <c r="A3" s="15" t="s">
        <v>778</v>
      </c>
      <c r="B3" s="10" t="s">
        <v>779</v>
      </c>
      <c r="C3" t="s">
        <v>780</v>
      </c>
    </row>
    <row r="4" spans="1:4" ht="15.5">
      <c r="A4" s="14" t="s">
        <v>781</v>
      </c>
      <c r="B4" s="16">
        <v>500</v>
      </c>
      <c r="C4" s="14">
        <v>2</v>
      </c>
      <c r="D4" s="13">
        <f>C4*B4</f>
        <v>1000</v>
      </c>
    </row>
    <row r="5" spans="1:4" ht="15.5">
      <c r="A5" s="14" t="s">
        <v>782</v>
      </c>
      <c r="B5" s="16">
        <v>200</v>
      </c>
      <c r="C5" s="14">
        <v>2</v>
      </c>
      <c r="D5" s="13">
        <f>C5*B5</f>
        <v>400</v>
      </c>
    </row>
    <row r="6" spans="1:4" ht="15.5">
      <c r="A6" s="14" t="s">
        <v>783</v>
      </c>
      <c r="B6" s="16">
        <v>300</v>
      </c>
      <c r="C6" s="14">
        <v>2</v>
      </c>
      <c r="D6" s="13">
        <f>C6*B6</f>
        <v>600</v>
      </c>
    </row>
    <row r="7" spans="1:4" ht="15.5">
      <c r="A7" s="14" t="s">
        <v>784</v>
      </c>
      <c r="B7" s="16">
        <v>200</v>
      </c>
      <c r="C7" s="14">
        <v>3</v>
      </c>
      <c r="D7" s="13">
        <f>C7*B7</f>
        <v>600</v>
      </c>
    </row>
    <row r="8" spans="1:4" ht="15.5">
      <c r="A8" s="14" t="s">
        <v>785</v>
      </c>
      <c r="B8" s="16">
        <v>300</v>
      </c>
      <c r="C8" s="14">
        <v>3</v>
      </c>
      <c r="D8" s="13">
        <f>C8*B8</f>
        <v>900</v>
      </c>
    </row>
    <row r="9" spans="1:4">
      <c r="D9" s="12">
        <f>SUM(D4:D8)</f>
        <v>3500</v>
      </c>
    </row>
    <row r="12" spans="1:4" ht="15.5">
      <c r="C12" s="16"/>
    </row>
    <row r="13" spans="1:4" ht="15.5">
      <c r="C13" s="16"/>
    </row>
    <row r="14" spans="1:4" ht="15.5">
      <c r="C14" s="16"/>
    </row>
    <row r="15" spans="1:4" ht="15.5">
      <c r="C15" s="16"/>
    </row>
    <row r="16" spans="1:4" ht="15.5">
      <c r="C16" s="16"/>
    </row>
    <row r="17" spans="3:3" ht="15.5">
      <c r="C17" s="1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5565b3b-de73-408f-92ec-2a950ff896c8" xsi:nil="true"/>
    <lcf76f155ced4ddcb4097134ff3c332f xmlns="505ccb20-7403-45a6-b481-ca1dd862337d">
      <Terms xmlns="http://schemas.microsoft.com/office/infopath/2007/PartnerControls"/>
    </lcf76f155ced4ddcb4097134ff3c332f>
    <Dateandtime xmlns="505ccb20-7403-45a6-b481-ca1dd862337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693FFF-A15B-4195-885D-8616D67D3A8E}"/>
</file>

<file path=customXml/itemProps2.xml><?xml version="1.0" encoding="utf-8"?>
<ds:datastoreItem xmlns:ds="http://schemas.openxmlformats.org/officeDocument/2006/customXml" ds:itemID="{ACEA805A-9130-4DDD-8789-1B6704C10FCB}">
  <ds:schemaRefs>
    <ds:schemaRef ds:uri="http://schemas.microsoft.com/office/2006/metadata/properties"/>
    <ds:schemaRef ds:uri="http://schemas.microsoft.com/office/infopath/2007/PartnerControls"/>
    <ds:schemaRef ds:uri="985ec44e-1bab-4c0b-9df0-6ba128686fc9"/>
    <ds:schemaRef ds:uri="6349fe23-2310-4fa9-8a69-25a2f5b39f7e"/>
  </ds:schemaRefs>
</ds:datastoreItem>
</file>

<file path=customXml/itemProps3.xml><?xml version="1.0" encoding="utf-8"?>
<ds:datastoreItem xmlns:ds="http://schemas.openxmlformats.org/officeDocument/2006/customXml" ds:itemID="{2B957003-0ADA-4BA0-B1A3-184F435FFB97}">
  <ds:schemaRefs>
    <ds:schemaRef ds:uri="http://schemas.microsoft.com/sharepoint/v3/contenttype/forms"/>
  </ds:schemaRefs>
</ds:datastoreItem>
</file>

<file path=docMetadata/LabelInfo.xml><?xml version="1.0" encoding="utf-8"?>
<clbl:labelList xmlns:clbl="http://schemas.microsoft.com/office/2020/mipLabelMetadata">
  <clbl:label id="{0f9e35db-544f-4f60-bdcc-5ea416e6dc70}" enabled="0" method="" siteId="{0f9e35db-544f-4f60-bdcc-5ea416e6dc7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Detailed budget</vt:lpstr>
      <vt:lpstr>Notes and Assumptions</vt:lpstr>
      <vt:lpstr>Co-financing Summary</vt:lpstr>
      <vt:lpstr>Co-financing EPA 4.3</vt:lpstr>
      <vt:lpstr>Co-financing EPA In-kind</vt:lpstr>
      <vt:lpstr>Co-financing MoFA in-kind</vt:lpstr>
      <vt:lpstr>Co-financing EPA cash</vt:lpstr>
      <vt:lpstr>SubAct 4.3</vt:lpstr>
      <vt:lpstr>A3 Regional office equip</vt:lpstr>
      <vt:lpstr>PMC3 National office equip</vt:lpstr>
      <vt:lpstr>A4 District office equip</vt:lpstr>
      <vt:lpstr>B17 CCA interventions</vt:lpstr>
      <vt:lpstr>Sheet1 (2)</vt:lpstr>
      <vt:lpstr>Sheet2 (2)</vt:lpstr>
      <vt:lpstr>B22 VSLAs</vt:lpstr>
      <vt:lpstr>D3 Intervention monitors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Olga</dc:creator>
  <cp:keywords/>
  <dc:description/>
  <cp:lastModifiedBy>Alexander Forbes</cp:lastModifiedBy>
  <cp:revision/>
  <dcterms:created xsi:type="dcterms:W3CDTF">2015-05-19T12:28:43Z</dcterms:created>
  <dcterms:modified xsi:type="dcterms:W3CDTF">2025-06-04T09:01:35Z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Order">
    <vt:r8>44600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y fmtid="{D5CDD505-2E9C-101B-9397-08002B2CF9AE}" pid="11" name="DHIAuthor">
    <vt:lpwstr/>
  </property>
  <property fmtid="{D5CDD505-2E9C-101B-9397-08002B2CF9AE}" pid="12" name="DHIArea">
    <vt:lpwstr/>
  </property>
  <property fmtid="{D5CDD505-2E9C-101B-9397-08002B2CF9AE}" pid="13" name="DHICategory">
    <vt:lpwstr/>
  </property>
  <property fmtid="{D5CDD505-2E9C-101B-9397-08002B2CF9AE}" pid="14" name="DHIKeywords">
    <vt:lpwstr/>
  </property>
</Properties>
</file>