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rmerritt/Desktop/"/>
    </mc:Choice>
  </mc:AlternateContent>
  <xr:revisionPtr revIDLastSave="0" documentId="8_{4EBAEAAF-674E-0543-BF54-9FC14ABA4871}" xr6:coauthVersionLast="47" xr6:coauthVersionMax="47" xr10:uidLastSave="{00000000-0000-0000-0000-000000000000}"/>
  <bookViews>
    <workbookView xWindow="0" yWindow="500" windowWidth="33600" windowHeight="20500" activeTab="8" xr2:uid="{51806767-E894-46BA-B821-54C69FE5434D}"/>
  </bookViews>
  <sheets>
    <sheet name="Assumptions &amp; Methodology" sheetId="10" r:id="rId1"/>
    <sheet name="Summary of EA" sheetId="11" r:id="rId2"/>
    <sheet name="BYCATCH economic analysis" sheetId="6" r:id="rId3"/>
    <sheet name="GFC Costs" sheetId="8" r:id="rId4"/>
    <sheet name="Comp A Cost Summary (old)" sheetId="7" state="hidden" r:id="rId5"/>
    <sheet name="Bycatch +50%" sheetId="5" r:id="rId6"/>
    <sheet name="Fish meals " sheetId="1" r:id="rId7"/>
    <sheet name="By catch needed" sheetId="2" r:id="rId8"/>
    <sheet name="Fish needed 2030" sheetId="3" r:id="rId9"/>
    <sheet name="Fish needed 2050" sheetId="4" r:id="rId10"/>
    <sheet name="PICs " sheetId="13" r:id="rId11"/>
  </sheets>
  <externalReferences>
    <externalReference r:id="rId12"/>
    <externalReference r:id="rId13"/>
    <externalReference r:id="rId14"/>
  </externalReferences>
  <definedNames>
    <definedName name="_Ref118374221" localSheetId="7">'By catch needed'!$C$4</definedName>
    <definedName name="_Ref118374221" localSheetId="5">'Bycatch +50%'!$C$4</definedName>
    <definedName name="_Toc146030745" localSheetId="8">'Fish needed 2030'!$C$4</definedName>
    <definedName name="_Toc146030746" localSheetId="9">'Fish needed 2050'!$C$4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0" i="6" l="1"/>
  <c r="C59" i="6"/>
  <c r="I47" i="6"/>
  <c r="G47" i="6"/>
  <c r="G9" i="11"/>
  <c r="F13" i="11"/>
  <c r="E13" i="11"/>
  <c r="E11" i="11"/>
  <c r="F11" i="11"/>
  <c r="F10" i="11"/>
  <c r="F12" i="11"/>
  <c r="E12" i="11"/>
  <c r="E31" i="6"/>
  <c r="E10" i="11"/>
  <c r="Q52" i="13" l="1"/>
  <c r="K52" i="13"/>
  <c r="Q51" i="13"/>
  <c r="Q50" i="13"/>
  <c r="Q49" i="13"/>
  <c r="Q48" i="13"/>
  <c r="O37" i="13"/>
  <c r="O36" i="13"/>
  <c r="N36" i="13"/>
  <c r="F36" i="13"/>
  <c r="N35" i="13"/>
  <c r="M35" i="13"/>
  <c r="I35" i="13"/>
  <c r="F35" i="13"/>
  <c r="E35" i="13"/>
  <c r="P34" i="13"/>
  <c r="O34" i="13"/>
  <c r="N34" i="13"/>
  <c r="M34" i="13"/>
  <c r="J34" i="13"/>
  <c r="I34" i="13"/>
  <c r="H34" i="13"/>
  <c r="G34" i="13"/>
  <c r="F34" i="13"/>
  <c r="E34" i="13"/>
  <c r="D34" i="13"/>
  <c r="Q33" i="13"/>
  <c r="P33" i="13"/>
  <c r="P35" i="13" s="1"/>
  <c r="O33" i="13"/>
  <c r="O35" i="13" s="1"/>
  <c r="O38" i="13" s="1"/>
  <c r="N33" i="13"/>
  <c r="M33" i="13"/>
  <c r="L33" i="13"/>
  <c r="L35" i="13" s="1"/>
  <c r="K33" i="13"/>
  <c r="J33" i="13"/>
  <c r="J35" i="13" s="1"/>
  <c r="I33" i="13"/>
  <c r="H33" i="13"/>
  <c r="H35" i="13" s="1"/>
  <c r="G33" i="13"/>
  <c r="F33" i="13"/>
  <c r="R33" i="13" s="1"/>
  <c r="E33" i="13"/>
  <c r="D33" i="13"/>
  <c r="D35" i="13" s="1"/>
  <c r="N31" i="13"/>
  <c r="F31" i="13"/>
  <c r="N28" i="13"/>
  <c r="J28" i="13"/>
  <c r="F28" i="13"/>
  <c r="P27" i="13"/>
  <c r="O27" i="13"/>
  <c r="N27" i="13"/>
  <c r="M27" i="13"/>
  <c r="L27" i="13"/>
  <c r="J27" i="13"/>
  <c r="I27" i="13"/>
  <c r="H27" i="13"/>
  <c r="G27" i="13"/>
  <c r="F27" i="13"/>
  <c r="E27" i="13"/>
  <c r="D27" i="13"/>
  <c r="Q26" i="13"/>
  <c r="P26" i="13"/>
  <c r="O26" i="13"/>
  <c r="O28" i="13" s="1"/>
  <c r="N26" i="13"/>
  <c r="M26" i="13"/>
  <c r="M28" i="13" s="1"/>
  <c r="M29" i="13" s="1"/>
  <c r="L26" i="13"/>
  <c r="K26" i="13"/>
  <c r="J26" i="13"/>
  <c r="I26" i="13"/>
  <c r="I28" i="13" s="1"/>
  <c r="I29" i="13" s="1"/>
  <c r="H26" i="13"/>
  <c r="G26" i="13"/>
  <c r="G28" i="13" s="1"/>
  <c r="F26" i="13"/>
  <c r="E26" i="13"/>
  <c r="E28" i="13" s="1"/>
  <c r="E29" i="13" s="1"/>
  <c r="D26" i="13"/>
  <c r="F24" i="13"/>
  <c r="M23" i="13"/>
  <c r="F23" i="13"/>
  <c r="E23" i="13"/>
  <c r="N22" i="13"/>
  <c r="N23" i="13" s="1"/>
  <c r="J22" i="13"/>
  <c r="J23" i="13" s="1"/>
  <c r="H22" i="13"/>
  <c r="F22" i="13"/>
  <c r="R21" i="13"/>
  <c r="Q20" i="13"/>
  <c r="P20" i="13"/>
  <c r="P22" i="13" s="1"/>
  <c r="O20" i="13"/>
  <c r="O22" i="13" s="1"/>
  <c r="N20" i="13"/>
  <c r="M20" i="13"/>
  <c r="M22" i="13" s="1"/>
  <c r="M24" i="13" s="1"/>
  <c r="L20" i="13"/>
  <c r="L22" i="13" s="1"/>
  <c r="K20" i="13"/>
  <c r="K22" i="13" s="1"/>
  <c r="J20" i="13"/>
  <c r="I20" i="13"/>
  <c r="I22" i="13" s="1"/>
  <c r="I24" i="13" s="1"/>
  <c r="H20" i="13"/>
  <c r="G20" i="13"/>
  <c r="G22" i="13" s="1"/>
  <c r="F20" i="13"/>
  <c r="E20" i="13"/>
  <c r="E22" i="13" s="1"/>
  <c r="E24" i="13" s="1"/>
  <c r="D20" i="13"/>
  <c r="R20" i="13" s="1"/>
  <c r="R19" i="13"/>
  <c r="R18" i="13"/>
  <c r="R17" i="13"/>
  <c r="R26" i="13" s="1"/>
  <c r="R16" i="13"/>
  <c r="R12" i="13"/>
  <c r="Q11" i="13"/>
  <c r="Q34" i="13" s="1"/>
  <c r="Q35" i="13" s="1"/>
  <c r="K11" i="13"/>
  <c r="Q10" i="13"/>
  <c r="Q9" i="13"/>
  <c r="Q8" i="13"/>
  <c r="Q7" i="13"/>
  <c r="Q27" i="13" l="1"/>
  <c r="Q28" i="13"/>
  <c r="Q29" i="13" s="1"/>
  <c r="O23" i="13"/>
  <c r="O24" i="13"/>
  <c r="L23" i="13"/>
  <c r="L24" i="13"/>
  <c r="J37" i="13"/>
  <c r="J38" i="13"/>
  <c r="J36" i="13"/>
  <c r="G23" i="13"/>
  <c r="G24" i="13"/>
  <c r="K23" i="13"/>
  <c r="K24" i="13"/>
  <c r="Q36" i="13"/>
  <c r="Q37" i="13"/>
  <c r="Q38" i="13"/>
  <c r="G30" i="13"/>
  <c r="G31" i="13"/>
  <c r="G29" i="13"/>
  <c r="O30" i="13"/>
  <c r="O31" i="13"/>
  <c r="O29" i="13"/>
  <c r="H23" i="13"/>
  <c r="H24" i="13"/>
  <c r="N24" i="13"/>
  <c r="J29" i="13"/>
  <c r="J30" i="13"/>
  <c r="E31" i="13"/>
  <c r="M31" i="13"/>
  <c r="D38" i="13"/>
  <c r="D36" i="13"/>
  <c r="H38" i="13"/>
  <c r="H36" i="13"/>
  <c r="L38" i="13"/>
  <c r="L36" i="13"/>
  <c r="P38" i="13"/>
  <c r="P36" i="13"/>
  <c r="E36" i="13"/>
  <c r="E37" i="13"/>
  <c r="M36" i="13"/>
  <c r="M37" i="13"/>
  <c r="M38" i="13"/>
  <c r="K27" i="13"/>
  <c r="K28" i="13" s="1"/>
  <c r="R11" i="13"/>
  <c r="P23" i="13"/>
  <c r="P24" i="13"/>
  <c r="D22" i="13"/>
  <c r="E30" i="13"/>
  <c r="M30" i="13"/>
  <c r="F37" i="13"/>
  <c r="F38" i="13"/>
  <c r="N37" i="13"/>
  <c r="N38" i="13"/>
  <c r="H37" i="13"/>
  <c r="P37" i="13"/>
  <c r="Q22" i="13"/>
  <c r="I23" i="13"/>
  <c r="J24" i="13"/>
  <c r="F29" i="13"/>
  <c r="F30" i="13"/>
  <c r="N29" i="13"/>
  <c r="N30" i="13"/>
  <c r="I31" i="13"/>
  <c r="Q31" i="13"/>
  <c r="K34" i="13"/>
  <c r="I36" i="13"/>
  <c r="I37" i="13"/>
  <c r="E38" i="13"/>
  <c r="D28" i="13"/>
  <c r="H28" i="13"/>
  <c r="L28" i="13"/>
  <c r="P28" i="13"/>
  <c r="I30" i="13"/>
  <c r="Q30" i="13"/>
  <c r="J31" i="13"/>
  <c r="G35" i="13"/>
  <c r="K35" i="13"/>
  <c r="R34" i="13"/>
  <c r="D37" i="13"/>
  <c r="L37" i="13"/>
  <c r="I38" i="13"/>
  <c r="H15" i="6"/>
  <c r="H31" i="13" l="1"/>
  <c r="H29" i="13"/>
  <c r="H30" i="13"/>
  <c r="D31" i="13"/>
  <c r="D29" i="13"/>
  <c r="D30" i="13"/>
  <c r="R28" i="13"/>
  <c r="P31" i="13"/>
  <c r="P29" i="13"/>
  <c r="P30" i="13"/>
  <c r="K38" i="13"/>
  <c r="K36" i="13"/>
  <c r="K37" i="13"/>
  <c r="G38" i="13"/>
  <c r="R38" i="13" s="1"/>
  <c r="L45" i="6" s="1"/>
  <c r="M45" i="6" s="1"/>
  <c r="N45" i="6" s="1"/>
  <c r="O45" i="6" s="1"/>
  <c r="P45" i="6" s="1"/>
  <c r="Q45" i="6" s="1"/>
  <c r="R45" i="6" s="1"/>
  <c r="S45" i="6" s="1"/>
  <c r="T45" i="6" s="1"/>
  <c r="U45" i="6" s="1"/>
  <c r="V45" i="6" s="1"/>
  <c r="G36" i="13"/>
  <c r="G37" i="13"/>
  <c r="R37" i="13" s="1"/>
  <c r="Q24" i="13"/>
  <c r="Q23" i="13"/>
  <c r="R35" i="13"/>
  <c r="L31" i="13"/>
  <c r="L29" i="13"/>
  <c r="L30" i="13"/>
  <c r="D23" i="13"/>
  <c r="D24" i="13"/>
  <c r="R22" i="13"/>
  <c r="K30" i="13"/>
  <c r="K31" i="13"/>
  <c r="K29" i="13"/>
  <c r="R36" i="13"/>
  <c r="M45" i="5"/>
  <c r="Q45" i="5"/>
  <c r="U45" i="5"/>
  <c r="Y45" i="5"/>
  <c r="AC45" i="5"/>
  <c r="K43" i="5"/>
  <c r="K45" i="5" s="1"/>
  <c r="L43" i="5"/>
  <c r="L45" i="5" s="1"/>
  <c r="M43" i="5"/>
  <c r="N43" i="5"/>
  <c r="N45" i="5" s="1"/>
  <c r="O43" i="5"/>
  <c r="O45" i="5" s="1"/>
  <c r="P43" i="5"/>
  <c r="P45" i="5" s="1"/>
  <c r="Q43" i="5"/>
  <c r="R43" i="5"/>
  <c r="R45" i="5" s="1"/>
  <c r="S43" i="5"/>
  <c r="S45" i="5" s="1"/>
  <c r="T43" i="5"/>
  <c r="T45" i="5" s="1"/>
  <c r="U43" i="5"/>
  <c r="V43" i="5"/>
  <c r="V45" i="5" s="1"/>
  <c r="W43" i="5"/>
  <c r="W45" i="5" s="1"/>
  <c r="X43" i="5"/>
  <c r="X45" i="5" s="1"/>
  <c r="Y43" i="5"/>
  <c r="Z43" i="5"/>
  <c r="Z45" i="5" s="1"/>
  <c r="AA43" i="5"/>
  <c r="AA45" i="5" s="1"/>
  <c r="AB43" i="5"/>
  <c r="AB45" i="5" s="1"/>
  <c r="AC43" i="5"/>
  <c r="AD43" i="5"/>
  <c r="AD45" i="5" s="1"/>
  <c r="H43" i="5"/>
  <c r="H45" i="5" s="1"/>
  <c r="I43" i="5"/>
  <c r="I45" i="5" s="1"/>
  <c r="J43" i="5"/>
  <c r="J45" i="5" s="1"/>
  <c r="G43" i="5"/>
  <c r="G45" i="5" s="1"/>
  <c r="F43" i="5"/>
  <c r="F45" i="5" s="1"/>
  <c r="E43" i="5"/>
  <c r="E45" i="5" s="1"/>
  <c r="K36" i="5"/>
  <c r="L36" i="5" s="1"/>
  <c r="M36" i="5" s="1"/>
  <c r="N36" i="5" s="1"/>
  <c r="O36" i="5" s="1"/>
  <c r="P36" i="5" s="1"/>
  <c r="Q36" i="5" s="1"/>
  <c r="R36" i="5" s="1"/>
  <c r="S36" i="5" s="1"/>
  <c r="T36" i="5" s="1"/>
  <c r="U36" i="5" s="1"/>
  <c r="V36" i="5" s="1"/>
  <c r="W36" i="5" s="1"/>
  <c r="X36" i="5" s="1"/>
  <c r="Y36" i="5" s="1"/>
  <c r="Z36" i="5" s="1"/>
  <c r="AA36" i="5" s="1"/>
  <c r="AB36" i="5" s="1"/>
  <c r="AC36" i="5" s="1"/>
  <c r="AD36" i="5" s="1"/>
  <c r="J36" i="5"/>
  <c r="D37" i="5"/>
  <c r="J37" i="5" s="1"/>
  <c r="K37" i="5" s="1"/>
  <c r="L37" i="5" s="1"/>
  <c r="M37" i="5" s="1"/>
  <c r="N37" i="5" s="1"/>
  <c r="O37" i="5" s="1"/>
  <c r="P37" i="5" s="1"/>
  <c r="Q37" i="5" s="1"/>
  <c r="R37" i="5" s="1"/>
  <c r="S37" i="5" s="1"/>
  <c r="T37" i="5" s="1"/>
  <c r="U37" i="5" s="1"/>
  <c r="V37" i="5" s="1"/>
  <c r="W37" i="5" s="1"/>
  <c r="X37" i="5" s="1"/>
  <c r="Y37" i="5" s="1"/>
  <c r="Z37" i="5" s="1"/>
  <c r="AA37" i="5" s="1"/>
  <c r="AB37" i="5" s="1"/>
  <c r="AC37" i="5" s="1"/>
  <c r="AD37" i="5" s="1"/>
  <c r="D38" i="5"/>
  <c r="J38" i="5" s="1"/>
  <c r="K38" i="5" s="1"/>
  <c r="L38" i="5" s="1"/>
  <c r="M38" i="5" s="1"/>
  <c r="N38" i="5" s="1"/>
  <c r="O38" i="5" s="1"/>
  <c r="P38" i="5" s="1"/>
  <c r="Q38" i="5" s="1"/>
  <c r="R38" i="5" s="1"/>
  <c r="S38" i="5" s="1"/>
  <c r="T38" i="5" s="1"/>
  <c r="U38" i="5" s="1"/>
  <c r="V38" i="5" s="1"/>
  <c r="W38" i="5" s="1"/>
  <c r="X38" i="5" s="1"/>
  <c r="Y38" i="5" s="1"/>
  <c r="Z38" i="5" s="1"/>
  <c r="AA38" i="5" s="1"/>
  <c r="AB38" i="5" s="1"/>
  <c r="AC38" i="5" s="1"/>
  <c r="AD38" i="5" s="1"/>
  <c r="D39" i="5"/>
  <c r="J39" i="5" s="1"/>
  <c r="K39" i="5" s="1"/>
  <c r="L39" i="5" s="1"/>
  <c r="M39" i="5" s="1"/>
  <c r="N39" i="5" s="1"/>
  <c r="O39" i="5" s="1"/>
  <c r="P39" i="5" s="1"/>
  <c r="Q39" i="5" s="1"/>
  <c r="R39" i="5" s="1"/>
  <c r="S39" i="5" s="1"/>
  <c r="T39" i="5" s="1"/>
  <c r="U39" i="5" s="1"/>
  <c r="V39" i="5" s="1"/>
  <c r="W39" i="5" s="1"/>
  <c r="X39" i="5" s="1"/>
  <c r="Y39" i="5" s="1"/>
  <c r="Z39" i="5" s="1"/>
  <c r="AA39" i="5" s="1"/>
  <c r="AB39" i="5" s="1"/>
  <c r="AC39" i="5" s="1"/>
  <c r="AD39" i="5" s="1"/>
  <c r="D40" i="5"/>
  <c r="J40" i="5" s="1"/>
  <c r="K40" i="5" s="1"/>
  <c r="L40" i="5" s="1"/>
  <c r="M40" i="5" s="1"/>
  <c r="N40" i="5" s="1"/>
  <c r="O40" i="5" s="1"/>
  <c r="P40" i="5" s="1"/>
  <c r="Q40" i="5" s="1"/>
  <c r="R40" i="5" s="1"/>
  <c r="S40" i="5" s="1"/>
  <c r="T40" i="5" s="1"/>
  <c r="U40" i="5" s="1"/>
  <c r="V40" i="5" s="1"/>
  <c r="W40" i="5" s="1"/>
  <c r="X40" i="5" s="1"/>
  <c r="Y40" i="5" s="1"/>
  <c r="Z40" i="5" s="1"/>
  <c r="AA40" i="5" s="1"/>
  <c r="AB40" i="5" s="1"/>
  <c r="AC40" i="5" s="1"/>
  <c r="AD40" i="5" s="1"/>
  <c r="D36" i="6"/>
  <c r="J36" i="6" s="1"/>
  <c r="I36" i="6" s="1"/>
  <c r="D37" i="6"/>
  <c r="J37" i="6" s="1"/>
  <c r="K37" i="6" s="1"/>
  <c r="L37" i="6" s="1"/>
  <c r="M37" i="6" s="1"/>
  <c r="N37" i="6" s="1"/>
  <c r="O37" i="6" s="1"/>
  <c r="P37" i="6" s="1"/>
  <c r="Q37" i="6" s="1"/>
  <c r="R37" i="6" s="1"/>
  <c r="S37" i="6" s="1"/>
  <c r="T37" i="6" s="1"/>
  <c r="U37" i="6" s="1"/>
  <c r="V37" i="6" s="1"/>
  <c r="W37" i="6" s="1"/>
  <c r="X37" i="6" s="1"/>
  <c r="Y37" i="6" s="1"/>
  <c r="Z37" i="6" s="1"/>
  <c r="AA37" i="6" s="1"/>
  <c r="AB37" i="6" s="1"/>
  <c r="AC37" i="6" s="1"/>
  <c r="AD37" i="6" s="1"/>
  <c r="D38" i="6"/>
  <c r="J38" i="6" s="1"/>
  <c r="G38" i="6" s="1"/>
  <c r="D39" i="6"/>
  <c r="J39" i="6" s="1"/>
  <c r="I39" i="6" s="1"/>
  <c r="D36" i="5"/>
  <c r="D35" i="6"/>
  <c r="J35" i="6" s="1"/>
  <c r="K35" i="6" s="1"/>
  <c r="L35" i="6" s="1"/>
  <c r="M35" i="6" s="1"/>
  <c r="N35" i="6" s="1"/>
  <c r="O35" i="6" s="1"/>
  <c r="P35" i="6" s="1"/>
  <c r="Q35" i="6" s="1"/>
  <c r="R35" i="6" s="1"/>
  <c r="S35" i="6" s="1"/>
  <c r="T35" i="6" s="1"/>
  <c r="U35" i="6" s="1"/>
  <c r="V35" i="6" s="1"/>
  <c r="W35" i="6" s="1"/>
  <c r="X35" i="6" s="1"/>
  <c r="Y35" i="6" s="1"/>
  <c r="Z35" i="6" s="1"/>
  <c r="AA35" i="6" s="1"/>
  <c r="AB35" i="6" s="1"/>
  <c r="AC35" i="6" s="1"/>
  <c r="AD35" i="6" s="1"/>
  <c r="E40" i="6"/>
  <c r="E42" i="6" s="1"/>
  <c r="G18" i="6"/>
  <c r="K178" i="8"/>
  <c r="J178" i="8"/>
  <c r="I178" i="8"/>
  <c r="H178" i="8"/>
  <c r="G178" i="8"/>
  <c r="F178" i="8"/>
  <c r="E178" i="8"/>
  <c r="D178" i="8"/>
  <c r="K177" i="8"/>
  <c r="J177" i="8"/>
  <c r="I177" i="8"/>
  <c r="H177" i="8"/>
  <c r="G177" i="8"/>
  <c r="F177" i="8"/>
  <c r="E177" i="8"/>
  <c r="D177" i="8"/>
  <c r="K176" i="8"/>
  <c r="J176" i="8"/>
  <c r="I176" i="8"/>
  <c r="H176" i="8"/>
  <c r="G176" i="8"/>
  <c r="F176" i="8"/>
  <c r="E176" i="8"/>
  <c r="D176" i="8"/>
  <c r="K175" i="8"/>
  <c r="J175" i="8"/>
  <c r="I175" i="8"/>
  <c r="H175" i="8"/>
  <c r="G175" i="8"/>
  <c r="F175" i="8"/>
  <c r="E175" i="8"/>
  <c r="D175" i="8"/>
  <c r="L174" i="8"/>
  <c r="L173" i="8"/>
  <c r="L172" i="8"/>
  <c r="K171" i="8"/>
  <c r="J171" i="8"/>
  <c r="I171" i="8"/>
  <c r="H171" i="8"/>
  <c r="G171" i="8"/>
  <c r="F171" i="8"/>
  <c r="E171" i="8"/>
  <c r="D171" i="8"/>
  <c r="K170" i="8"/>
  <c r="J170" i="8"/>
  <c r="I170" i="8"/>
  <c r="H170" i="8"/>
  <c r="G170" i="8"/>
  <c r="F170" i="8"/>
  <c r="E170" i="8"/>
  <c r="D170" i="8"/>
  <c r="K169" i="8"/>
  <c r="J169" i="8"/>
  <c r="I169" i="8"/>
  <c r="H169" i="8"/>
  <c r="G169" i="8"/>
  <c r="F169" i="8"/>
  <c r="E169" i="8"/>
  <c r="D169" i="8"/>
  <c r="K168" i="8"/>
  <c r="J168" i="8"/>
  <c r="I168" i="8"/>
  <c r="H168" i="8"/>
  <c r="G168" i="8"/>
  <c r="F168" i="8"/>
  <c r="E168" i="8"/>
  <c r="D168" i="8"/>
  <c r="K167" i="8"/>
  <c r="J167" i="8"/>
  <c r="I167" i="8"/>
  <c r="H167" i="8"/>
  <c r="G167" i="8"/>
  <c r="F167" i="8"/>
  <c r="E167" i="8"/>
  <c r="D167" i="8"/>
  <c r="K166" i="8"/>
  <c r="J166" i="8"/>
  <c r="I166" i="8"/>
  <c r="H166" i="8"/>
  <c r="G166" i="8"/>
  <c r="F166" i="8"/>
  <c r="E166" i="8"/>
  <c r="D166" i="8"/>
  <c r="K165" i="8"/>
  <c r="J165" i="8"/>
  <c r="I165" i="8"/>
  <c r="H165" i="8"/>
  <c r="G165" i="8"/>
  <c r="F165" i="8"/>
  <c r="E165" i="8"/>
  <c r="D165" i="8"/>
  <c r="L164" i="8"/>
  <c r="L163" i="8"/>
  <c r="D162" i="8"/>
  <c r="L162" i="8" s="1"/>
  <c r="K161" i="8"/>
  <c r="J161" i="8"/>
  <c r="I161" i="8"/>
  <c r="H161" i="8"/>
  <c r="G161" i="8"/>
  <c r="F161" i="8"/>
  <c r="E161" i="8"/>
  <c r="D161" i="8"/>
  <c r="K160" i="8"/>
  <c r="J160" i="8"/>
  <c r="I160" i="8"/>
  <c r="H160" i="8"/>
  <c r="G160" i="8"/>
  <c r="F160" i="8"/>
  <c r="E160" i="8"/>
  <c r="D160" i="8"/>
  <c r="K159" i="8"/>
  <c r="J159" i="8"/>
  <c r="I159" i="8"/>
  <c r="H159" i="8"/>
  <c r="G159" i="8"/>
  <c r="F159" i="8"/>
  <c r="E159" i="8"/>
  <c r="D159" i="8"/>
  <c r="K157" i="8"/>
  <c r="J157" i="8"/>
  <c r="I157" i="8"/>
  <c r="H157" i="8"/>
  <c r="G157" i="8"/>
  <c r="F157" i="8"/>
  <c r="E157" i="8"/>
  <c r="D157" i="8"/>
  <c r="K156" i="8"/>
  <c r="J156" i="8"/>
  <c r="I156" i="8"/>
  <c r="H156" i="8"/>
  <c r="G156" i="8"/>
  <c r="F156" i="8"/>
  <c r="E156" i="8"/>
  <c r="D156" i="8"/>
  <c r="K155" i="8"/>
  <c r="J155" i="8"/>
  <c r="I155" i="8"/>
  <c r="H155" i="8"/>
  <c r="G155" i="8"/>
  <c r="F155" i="8"/>
  <c r="E155" i="8"/>
  <c r="D155" i="8"/>
  <c r="K154" i="8"/>
  <c r="J154" i="8"/>
  <c r="I154" i="8"/>
  <c r="H154" i="8"/>
  <c r="G154" i="8"/>
  <c r="F154" i="8"/>
  <c r="E154" i="8"/>
  <c r="D154" i="8"/>
  <c r="K153" i="8"/>
  <c r="J153" i="8"/>
  <c r="I153" i="8"/>
  <c r="H153" i="8"/>
  <c r="G153" i="8"/>
  <c r="F153" i="8"/>
  <c r="E153" i="8"/>
  <c r="D153" i="8"/>
  <c r="L152" i="8"/>
  <c r="L151" i="8"/>
  <c r="K150" i="8"/>
  <c r="J150" i="8"/>
  <c r="I150" i="8"/>
  <c r="H150" i="8"/>
  <c r="G150" i="8"/>
  <c r="F150" i="8"/>
  <c r="E150" i="8"/>
  <c r="D150" i="8"/>
  <c r="K149" i="8"/>
  <c r="J149" i="8"/>
  <c r="I149" i="8"/>
  <c r="H149" i="8"/>
  <c r="G149" i="8"/>
  <c r="F149" i="8"/>
  <c r="E149" i="8"/>
  <c r="D149" i="8"/>
  <c r="K148" i="8"/>
  <c r="J148" i="8"/>
  <c r="I148" i="8"/>
  <c r="H148" i="8"/>
  <c r="G148" i="8"/>
  <c r="F148" i="8"/>
  <c r="E148" i="8"/>
  <c r="D148" i="8"/>
  <c r="K147" i="8"/>
  <c r="J147" i="8"/>
  <c r="I147" i="8"/>
  <c r="H147" i="8"/>
  <c r="G147" i="8"/>
  <c r="F147" i="8"/>
  <c r="E147" i="8"/>
  <c r="D147" i="8"/>
  <c r="K146" i="8"/>
  <c r="J146" i="8"/>
  <c r="I146" i="8"/>
  <c r="H146" i="8"/>
  <c r="G146" i="8"/>
  <c r="F146" i="8"/>
  <c r="E146" i="8"/>
  <c r="D146" i="8"/>
  <c r="K145" i="8"/>
  <c r="J145" i="8"/>
  <c r="I145" i="8"/>
  <c r="H145" i="8"/>
  <c r="G145" i="8"/>
  <c r="F145" i="8"/>
  <c r="E145" i="8"/>
  <c r="D145" i="8"/>
  <c r="K144" i="8"/>
  <c r="J144" i="8"/>
  <c r="I144" i="8"/>
  <c r="H144" i="8"/>
  <c r="G144" i="8"/>
  <c r="F144" i="8"/>
  <c r="E144" i="8"/>
  <c r="D144" i="8"/>
  <c r="K143" i="8"/>
  <c r="J143" i="8"/>
  <c r="I143" i="8"/>
  <c r="H143" i="8"/>
  <c r="G143" i="8"/>
  <c r="F143" i="8"/>
  <c r="E143" i="8"/>
  <c r="D143" i="8"/>
  <c r="L142" i="8"/>
  <c r="D141" i="8"/>
  <c r="L141" i="8" s="1"/>
  <c r="K140" i="8"/>
  <c r="J140" i="8"/>
  <c r="I140" i="8"/>
  <c r="H140" i="8"/>
  <c r="G140" i="8"/>
  <c r="F140" i="8"/>
  <c r="E140" i="8"/>
  <c r="D140" i="8"/>
  <c r="K139" i="8"/>
  <c r="J139" i="8"/>
  <c r="I139" i="8"/>
  <c r="H139" i="8"/>
  <c r="G139" i="8"/>
  <c r="F139" i="8"/>
  <c r="E139" i="8"/>
  <c r="D139" i="8"/>
  <c r="K138" i="8"/>
  <c r="J138" i="8"/>
  <c r="I138" i="8"/>
  <c r="H138" i="8"/>
  <c r="G138" i="8"/>
  <c r="F138" i="8"/>
  <c r="E138" i="8"/>
  <c r="D138" i="8"/>
  <c r="K136" i="8"/>
  <c r="J136" i="8"/>
  <c r="I136" i="8"/>
  <c r="H136" i="8"/>
  <c r="G136" i="8"/>
  <c r="F136" i="8"/>
  <c r="E136" i="8"/>
  <c r="D136" i="8"/>
  <c r="K135" i="8"/>
  <c r="J135" i="8"/>
  <c r="I135" i="8"/>
  <c r="H135" i="8"/>
  <c r="G135" i="8"/>
  <c r="F135" i="8"/>
  <c r="E135" i="8"/>
  <c r="D135" i="8"/>
  <c r="K134" i="8"/>
  <c r="J134" i="8"/>
  <c r="I134" i="8"/>
  <c r="H134" i="8"/>
  <c r="G134" i="8"/>
  <c r="F134" i="8"/>
  <c r="E134" i="8"/>
  <c r="D134" i="8"/>
  <c r="K133" i="8"/>
  <c r="J133" i="8"/>
  <c r="I133" i="8"/>
  <c r="H133" i="8"/>
  <c r="G133" i="8"/>
  <c r="F133" i="8"/>
  <c r="E133" i="8"/>
  <c r="D133" i="8"/>
  <c r="K132" i="8"/>
  <c r="J132" i="8"/>
  <c r="I132" i="8"/>
  <c r="H132" i="8"/>
  <c r="G132" i="8"/>
  <c r="F132" i="8"/>
  <c r="E132" i="8"/>
  <c r="D132" i="8"/>
  <c r="L131" i="8"/>
  <c r="J130" i="8"/>
  <c r="I130" i="8"/>
  <c r="H130" i="8"/>
  <c r="G130" i="8"/>
  <c r="F130" i="8"/>
  <c r="E130" i="8"/>
  <c r="D130" i="8"/>
  <c r="K129" i="8"/>
  <c r="J129" i="8"/>
  <c r="I129" i="8"/>
  <c r="H129" i="8"/>
  <c r="G129" i="8"/>
  <c r="F129" i="8"/>
  <c r="E129" i="8"/>
  <c r="D129" i="8"/>
  <c r="K128" i="8"/>
  <c r="J128" i="8"/>
  <c r="I128" i="8"/>
  <c r="H128" i="8"/>
  <c r="G128" i="8"/>
  <c r="F128" i="8"/>
  <c r="E128" i="8"/>
  <c r="D128" i="8"/>
  <c r="K127" i="8"/>
  <c r="K210" i="8" s="1"/>
  <c r="J127" i="8"/>
  <c r="I127" i="8"/>
  <c r="H127" i="8"/>
  <c r="H210" i="8" s="1"/>
  <c r="G127" i="8"/>
  <c r="F127" i="8"/>
  <c r="E127" i="8"/>
  <c r="D127" i="8"/>
  <c r="K126" i="8"/>
  <c r="J126" i="8"/>
  <c r="I126" i="8"/>
  <c r="H126" i="8"/>
  <c r="G126" i="8"/>
  <c r="F126" i="8"/>
  <c r="E126" i="8"/>
  <c r="D126" i="8"/>
  <c r="K125" i="8"/>
  <c r="J125" i="8"/>
  <c r="I125" i="8"/>
  <c r="H125" i="8"/>
  <c r="G125" i="8"/>
  <c r="F125" i="8"/>
  <c r="E125" i="8"/>
  <c r="D125" i="8"/>
  <c r="K124" i="8"/>
  <c r="J124" i="8"/>
  <c r="I124" i="8"/>
  <c r="H124" i="8"/>
  <c r="G124" i="8"/>
  <c r="F124" i="8"/>
  <c r="E124" i="8"/>
  <c r="D124" i="8"/>
  <c r="K123" i="8"/>
  <c r="J123" i="8"/>
  <c r="I123" i="8"/>
  <c r="H123" i="8"/>
  <c r="G123" i="8"/>
  <c r="F123" i="8"/>
  <c r="E123" i="8"/>
  <c r="D123" i="8"/>
  <c r="K122" i="8"/>
  <c r="J122" i="8"/>
  <c r="I122" i="8"/>
  <c r="H122" i="8"/>
  <c r="G122" i="8"/>
  <c r="F122" i="8"/>
  <c r="E122" i="8"/>
  <c r="D122" i="8"/>
  <c r="L121" i="8"/>
  <c r="K120" i="8"/>
  <c r="J120" i="8"/>
  <c r="I120" i="8"/>
  <c r="H120" i="8"/>
  <c r="G120" i="8"/>
  <c r="F120" i="8"/>
  <c r="E120" i="8"/>
  <c r="D120" i="8"/>
  <c r="K119" i="8"/>
  <c r="J119" i="8"/>
  <c r="I119" i="8"/>
  <c r="H119" i="8"/>
  <c r="G119" i="8"/>
  <c r="F119" i="8"/>
  <c r="E119" i="8"/>
  <c r="D119" i="8"/>
  <c r="K118" i="8"/>
  <c r="J118" i="8"/>
  <c r="I118" i="8"/>
  <c r="H118" i="8"/>
  <c r="G118" i="8"/>
  <c r="F118" i="8"/>
  <c r="E118" i="8"/>
  <c r="D118" i="8"/>
  <c r="K117" i="8"/>
  <c r="J117" i="8"/>
  <c r="I117" i="8"/>
  <c r="H117" i="8"/>
  <c r="G117" i="8"/>
  <c r="F117" i="8"/>
  <c r="E117" i="8"/>
  <c r="D117" i="8"/>
  <c r="K113" i="8"/>
  <c r="J113" i="8"/>
  <c r="I113" i="8"/>
  <c r="H113" i="8"/>
  <c r="G113" i="8"/>
  <c r="F113" i="8"/>
  <c r="E113" i="8"/>
  <c r="D113" i="8"/>
  <c r="K112" i="8"/>
  <c r="J112" i="8"/>
  <c r="I112" i="8"/>
  <c r="H112" i="8"/>
  <c r="G112" i="8"/>
  <c r="F112" i="8"/>
  <c r="E112" i="8"/>
  <c r="D112" i="8"/>
  <c r="K111" i="8"/>
  <c r="J111" i="8"/>
  <c r="I111" i="8"/>
  <c r="H111" i="8"/>
  <c r="G111" i="8"/>
  <c r="F111" i="8"/>
  <c r="E111" i="8"/>
  <c r="D111" i="8"/>
  <c r="K110" i="8"/>
  <c r="J110" i="8"/>
  <c r="I110" i="8"/>
  <c r="H110" i="8"/>
  <c r="G110" i="8"/>
  <c r="F110" i="8"/>
  <c r="E110" i="8"/>
  <c r="D110" i="8"/>
  <c r="L109" i="8"/>
  <c r="L108" i="8"/>
  <c r="K107" i="8"/>
  <c r="J107" i="8"/>
  <c r="I107" i="8"/>
  <c r="H107" i="8"/>
  <c r="G107" i="8"/>
  <c r="F107" i="8"/>
  <c r="E107" i="8"/>
  <c r="D107" i="8"/>
  <c r="K106" i="8"/>
  <c r="J106" i="8"/>
  <c r="I106" i="8"/>
  <c r="H106" i="8"/>
  <c r="G106" i="8"/>
  <c r="F106" i="8"/>
  <c r="E106" i="8"/>
  <c r="D106" i="8"/>
  <c r="K105" i="8"/>
  <c r="J105" i="8"/>
  <c r="I105" i="8"/>
  <c r="H105" i="8"/>
  <c r="G105" i="8"/>
  <c r="F105" i="8"/>
  <c r="E105" i="8"/>
  <c r="D105" i="8"/>
  <c r="K104" i="8"/>
  <c r="J104" i="8"/>
  <c r="I104" i="8"/>
  <c r="H104" i="8"/>
  <c r="G104" i="8"/>
  <c r="F104" i="8"/>
  <c r="E104" i="8"/>
  <c r="D104" i="8"/>
  <c r="L103" i="8"/>
  <c r="K102" i="8"/>
  <c r="J102" i="8"/>
  <c r="I102" i="8"/>
  <c r="H102" i="8"/>
  <c r="G102" i="8"/>
  <c r="F102" i="8"/>
  <c r="E102" i="8"/>
  <c r="D102" i="8"/>
  <c r="K101" i="8"/>
  <c r="J101" i="8"/>
  <c r="I101" i="8"/>
  <c r="H101" i="8"/>
  <c r="G101" i="8"/>
  <c r="F101" i="8"/>
  <c r="E101" i="8"/>
  <c r="D101" i="8"/>
  <c r="L100" i="8"/>
  <c r="L99" i="8"/>
  <c r="L98" i="8"/>
  <c r="L97" i="8"/>
  <c r="K96" i="8"/>
  <c r="J96" i="8"/>
  <c r="I96" i="8"/>
  <c r="H96" i="8"/>
  <c r="G96" i="8"/>
  <c r="F96" i="8"/>
  <c r="E96" i="8"/>
  <c r="D96" i="8"/>
  <c r="K95" i="8"/>
  <c r="J95" i="8"/>
  <c r="I95" i="8"/>
  <c r="H95" i="8"/>
  <c r="G95" i="8"/>
  <c r="F95" i="8"/>
  <c r="E95" i="8"/>
  <c r="D95" i="8"/>
  <c r="K94" i="8"/>
  <c r="J94" i="8"/>
  <c r="I94" i="8"/>
  <c r="I204" i="8" s="1"/>
  <c r="H94" i="8"/>
  <c r="G94" i="8"/>
  <c r="F94" i="8"/>
  <c r="E94" i="8"/>
  <c r="D94" i="8"/>
  <c r="K92" i="8"/>
  <c r="J92" i="8"/>
  <c r="I92" i="8"/>
  <c r="H92" i="8"/>
  <c r="G92" i="8"/>
  <c r="F92" i="8"/>
  <c r="E92" i="8"/>
  <c r="D92" i="8"/>
  <c r="K91" i="8"/>
  <c r="J91" i="8"/>
  <c r="I91" i="8"/>
  <c r="H91" i="8"/>
  <c r="G91" i="8"/>
  <c r="F91" i="8"/>
  <c r="E91" i="8"/>
  <c r="D91" i="8"/>
  <c r="K90" i="8"/>
  <c r="J90" i="8"/>
  <c r="I90" i="8"/>
  <c r="H90" i="8"/>
  <c r="G90" i="8"/>
  <c r="F90" i="8"/>
  <c r="E90" i="8"/>
  <c r="D90" i="8"/>
  <c r="K89" i="8"/>
  <c r="J89" i="8"/>
  <c r="I89" i="8"/>
  <c r="H89" i="8"/>
  <c r="G89" i="8"/>
  <c r="F89" i="8"/>
  <c r="E89" i="8"/>
  <c r="D89" i="8"/>
  <c r="K88" i="8"/>
  <c r="J88" i="8"/>
  <c r="I88" i="8"/>
  <c r="H88" i="8"/>
  <c r="G88" i="8"/>
  <c r="F88" i="8"/>
  <c r="E88" i="8"/>
  <c r="D88" i="8"/>
  <c r="L87" i="8"/>
  <c r="J86" i="8"/>
  <c r="I86" i="8"/>
  <c r="H86" i="8"/>
  <c r="G86" i="8"/>
  <c r="F86" i="8"/>
  <c r="E86" i="8"/>
  <c r="D86" i="8"/>
  <c r="K85" i="8"/>
  <c r="J85" i="8"/>
  <c r="I85" i="8"/>
  <c r="H85" i="8"/>
  <c r="G85" i="8"/>
  <c r="F85" i="8"/>
  <c r="E85" i="8"/>
  <c r="D85" i="8"/>
  <c r="K84" i="8"/>
  <c r="J84" i="8"/>
  <c r="I84" i="8"/>
  <c r="H84" i="8"/>
  <c r="G84" i="8"/>
  <c r="F84" i="8"/>
  <c r="E84" i="8"/>
  <c r="D84" i="8"/>
  <c r="K83" i="8"/>
  <c r="J83" i="8"/>
  <c r="I83" i="8"/>
  <c r="H83" i="8"/>
  <c r="G83" i="8"/>
  <c r="F83" i="8"/>
  <c r="E83" i="8"/>
  <c r="D83" i="8"/>
  <c r="L82" i="8"/>
  <c r="K81" i="8"/>
  <c r="J81" i="8"/>
  <c r="I81" i="8"/>
  <c r="H81" i="8"/>
  <c r="G81" i="8"/>
  <c r="F81" i="8"/>
  <c r="E81" i="8"/>
  <c r="D81" i="8"/>
  <c r="K80" i="8"/>
  <c r="J80" i="8"/>
  <c r="I80" i="8"/>
  <c r="H80" i="8"/>
  <c r="G80" i="8"/>
  <c r="F80" i="8"/>
  <c r="E80" i="8"/>
  <c r="D80" i="8"/>
  <c r="K79" i="8"/>
  <c r="J79" i="8"/>
  <c r="I79" i="8"/>
  <c r="H79" i="8"/>
  <c r="G79" i="8"/>
  <c r="F79" i="8"/>
  <c r="E79" i="8"/>
  <c r="D79" i="8"/>
  <c r="K78" i="8"/>
  <c r="J78" i="8"/>
  <c r="I78" i="8"/>
  <c r="H78" i="8"/>
  <c r="G78" i="8"/>
  <c r="F78" i="8"/>
  <c r="E78" i="8"/>
  <c r="D78" i="8"/>
  <c r="L77" i="8"/>
  <c r="J76" i="8"/>
  <c r="I76" i="8"/>
  <c r="H76" i="8"/>
  <c r="G76" i="8"/>
  <c r="F76" i="8"/>
  <c r="E76" i="8"/>
  <c r="D76" i="8"/>
  <c r="K75" i="8"/>
  <c r="J75" i="8"/>
  <c r="I75" i="8"/>
  <c r="H75" i="8"/>
  <c r="G75" i="8"/>
  <c r="F75" i="8"/>
  <c r="E75" i="8"/>
  <c r="D75" i="8"/>
  <c r="K74" i="8"/>
  <c r="J74" i="8"/>
  <c r="I74" i="8"/>
  <c r="H74" i="8"/>
  <c r="G74" i="8"/>
  <c r="F74" i="8"/>
  <c r="E74" i="8"/>
  <c r="D74" i="8"/>
  <c r="K73" i="8"/>
  <c r="J73" i="8"/>
  <c r="I73" i="8"/>
  <c r="H73" i="8"/>
  <c r="G73" i="8"/>
  <c r="F73" i="8"/>
  <c r="E73" i="8"/>
  <c r="D73" i="8"/>
  <c r="L69" i="8"/>
  <c r="L68" i="8"/>
  <c r="K67" i="8"/>
  <c r="J67" i="8"/>
  <c r="I67" i="8"/>
  <c r="H67" i="8"/>
  <c r="G67" i="8"/>
  <c r="F67" i="8"/>
  <c r="E67" i="8"/>
  <c r="D67" i="8"/>
  <c r="K66" i="8"/>
  <c r="J66" i="8"/>
  <c r="I66" i="8"/>
  <c r="H66" i="8"/>
  <c r="G66" i="8"/>
  <c r="F66" i="8"/>
  <c r="E66" i="8"/>
  <c r="D66" i="8"/>
  <c r="L65" i="8"/>
  <c r="K64" i="8"/>
  <c r="J64" i="8"/>
  <c r="I64" i="8"/>
  <c r="H64" i="8"/>
  <c r="G64" i="8"/>
  <c r="F64" i="8"/>
  <c r="E64" i="8"/>
  <c r="D64" i="8"/>
  <c r="L63" i="8"/>
  <c r="L62" i="8"/>
  <c r="K61" i="8"/>
  <c r="J61" i="8"/>
  <c r="I61" i="8"/>
  <c r="H61" i="8"/>
  <c r="G61" i="8"/>
  <c r="F61" i="8"/>
  <c r="E61" i="8"/>
  <c r="D61" i="8"/>
  <c r="K60" i="8"/>
  <c r="J60" i="8"/>
  <c r="I60" i="8"/>
  <c r="H60" i="8"/>
  <c r="G60" i="8"/>
  <c r="F60" i="8"/>
  <c r="E60" i="8"/>
  <c r="D60" i="8"/>
  <c r="K59" i="8"/>
  <c r="J59" i="8"/>
  <c r="I59" i="8"/>
  <c r="H59" i="8"/>
  <c r="G59" i="8"/>
  <c r="F59" i="8"/>
  <c r="E59" i="8"/>
  <c r="D59" i="8"/>
  <c r="K58" i="8"/>
  <c r="J58" i="8"/>
  <c r="I58" i="8"/>
  <c r="H58" i="8"/>
  <c r="G58" i="8"/>
  <c r="F58" i="8"/>
  <c r="E58" i="8"/>
  <c r="D58" i="8"/>
  <c r="K57" i="8"/>
  <c r="J57" i="8"/>
  <c r="I57" i="8"/>
  <c r="H57" i="8"/>
  <c r="G57" i="8"/>
  <c r="F57" i="8"/>
  <c r="E57" i="8"/>
  <c r="D57" i="8"/>
  <c r="K56" i="8"/>
  <c r="J56" i="8"/>
  <c r="I56" i="8"/>
  <c r="H56" i="8"/>
  <c r="G56" i="8"/>
  <c r="F56" i="8"/>
  <c r="E56" i="8"/>
  <c r="D56" i="8"/>
  <c r="K55" i="8"/>
  <c r="J55" i="8"/>
  <c r="I55" i="8"/>
  <c r="H55" i="8"/>
  <c r="G55" i="8"/>
  <c r="F55" i="8"/>
  <c r="E55" i="8"/>
  <c r="D55" i="8"/>
  <c r="K54" i="8"/>
  <c r="J54" i="8"/>
  <c r="I54" i="8"/>
  <c r="H54" i="8"/>
  <c r="G54" i="8"/>
  <c r="F54" i="8"/>
  <c r="E54" i="8"/>
  <c r="D54" i="8"/>
  <c r="L53" i="8"/>
  <c r="L52" i="8"/>
  <c r="K51" i="8"/>
  <c r="J51" i="8"/>
  <c r="I51" i="8"/>
  <c r="H51" i="8"/>
  <c r="G51" i="8"/>
  <c r="F51" i="8"/>
  <c r="E51" i="8"/>
  <c r="D51" i="8"/>
  <c r="K50" i="8"/>
  <c r="J50" i="8"/>
  <c r="I50" i="8"/>
  <c r="H50" i="8"/>
  <c r="G50" i="8"/>
  <c r="F50" i="8"/>
  <c r="E50" i="8"/>
  <c r="D50" i="8"/>
  <c r="K49" i="8"/>
  <c r="J49" i="8"/>
  <c r="I49" i="8"/>
  <c r="H49" i="8"/>
  <c r="G49" i="8"/>
  <c r="F49" i="8"/>
  <c r="E49" i="8"/>
  <c r="D49" i="8"/>
  <c r="K47" i="8"/>
  <c r="J47" i="8"/>
  <c r="I47" i="8"/>
  <c r="H47" i="8"/>
  <c r="G47" i="8"/>
  <c r="F47" i="8"/>
  <c r="E47" i="8"/>
  <c r="D47" i="8"/>
  <c r="L46" i="8"/>
  <c r="K45" i="8"/>
  <c r="J45" i="8"/>
  <c r="I45" i="8"/>
  <c r="H45" i="8"/>
  <c r="G45" i="8"/>
  <c r="F45" i="8"/>
  <c r="E45" i="8"/>
  <c r="D45" i="8"/>
  <c r="K44" i="8"/>
  <c r="J44" i="8"/>
  <c r="I44" i="8"/>
  <c r="H44" i="8"/>
  <c r="G44" i="8"/>
  <c r="F44" i="8"/>
  <c r="E44" i="8"/>
  <c r="D44" i="8"/>
  <c r="K43" i="8"/>
  <c r="J43" i="8"/>
  <c r="I43" i="8"/>
  <c r="H43" i="8"/>
  <c r="G43" i="8"/>
  <c r="F43" i="8"/>
  <c r="E43" i="8"/>
  <c r="D43" i="8"/>
  <c r="K42" i="8"/>
  <c r="J42" i="8"/>
  <c r="I42" i="8"/>
  <c r="H42" i="8"/>
  <c r="G42" i="8"/>
  <c r="F42" i="8"/>
  <c r="E42" i="8"/>
  <c r="D42" i="8"/>
  <c r="K41" i="8"/>
  <c r="J41" i="8"/>
  <c r="I41" i="8"/>
  <c r="H41" i="8"/>
  <c r="G41" i="8"/>
  <c r="F41" i="8"/>
  <c r="E41" i="8"/>
  <c r="D41" i="8"/>
  <c r="K40" i="8"/>
  <c r="J40" i="8"/>
  <c r="I40" i="8"/>
  <c r="H40" i="8"/>
  <c r="G40" i="8"/>
  <c r="F40" i="8"/>
  <c r="E40" i="8"/>
  <c r="D40" i="8"/>
  <c r="K39" i="8"/>
  <c r="J39" i="8"/>
  <c r="I39" i="8"/>
  <c r="H39" i="8"/>
  <c r="G39" i="8"/>
  <c r="F39" i="8"/>
  <c r="E39" i="8"/>
  <c r="D39" i="8"/>
  <c r="K38" i="8"/>
  <c r="J38" i="8"/>
  <c r="I38" i="8"/>
  <c r="H38" i="8"/>
  <c r="G38" i="8"/>
  <c r="F38" i="8"/>
  <c r="E38" i="8"/>
  <c r="D38" i="8"/>
  <c r="K37" i="8"/>
  <c r="J37" i="8"/>
  <c r="I37" i="8"/>
  <c r="H37" i="8"/>
  <c r="G37" i="8"/>
  <c r="F37" i="8"/>
  <c r="E37" i="8"/>
  <c r="D37" i="8"/>
  <c r="K36" i="8"/>
  <c r="J36" i="8"/>
  <c r="I36" i="8"/>
  <c r="H36" i="8"/>
  <c r="G36" i="8"/>
  <c r="F36" i="8"/>
  <c r="E36" i="8"/>
  <c r="D36" i="8"/>
  <c r="K35" i="8"/>
  <c r="J35" i="8"/>
  <c r="I35" i="8"/>
  <c r="H35" i="8"/>
  <c r="G35" i="8"/>
  <c r="F35" i="8"/>
  <c r="E35" i="8"/>
  <c r="D35" i="8"/>
  <c r="K34" i="8"/>
  <c r="J34" i="8"/>
  <c r="I34" i="8"/>
  <c r="H34" i="8"/>
  <c r="G34" i="8"/>
  <c r="F34" i="8"/>
  <c r="E34" i="8"/>
  <c r="D34" i="8"/>
  <c r="K33" i="8"/>
  <c r="J33" i="8"/>
  <c r="I33" i="8"/>
  <c r="H33" i="8"/>
  <c r="G33" i="8"/>
  <c r="F33" i="8"/>
  <c r="E33" i="8"/>
  <c r="D33" i="8"/>
  <c r="K32" i="8"/>
  <c r="J32" i="8"/>
  <c r="I32" i="8"/>
  <c r="H32" i="8"/>
  <c r="G32" i="8"/>
  <c r="F32" i="8"/>
  <c r="E32" i="8"/>
  <c r="D32" i="8"/>
  <c r="L31" i="8"/>
  <c r="L30" i="8"/>
  <c r="K29" i="8"/>
  <c r="J29" i="8"/>
  <c r="I29" i="8"/>
  <c r="H29" i="8"/>
  <c r="G29" i="8"/>
  <c r="F29" i="8"/>
  <c r="E29" i="8"/>
  <c r="D29" i="8"/>
  <c r="K28" i="8"/>
  <c r="J28" i="8"/>
  <c r="I28" i="8"/>
  <c r="H28" i="8"/>
  <c r="G28" i="8"/>
  <c r="F28" i="8"/>
  <c r="E28" i="8"/>
  <c r="D28" i="8"/>
  <c r="K27" i="8"/>
  <c r="J27" i="8"/>
  <c r="I27" i="8"/>
  <c r="H27" i="8"/>
  <c r="G27" i="8"/>
  <c r="F27" i="8"/>
  <c r="E27" i="8"/>
  <c r="D27" i="8"/>
  <c r="L25" i="8"/>
  <c r="K24" i="8"/>
  <c r="J24" i="8"/>
  <c r="I24" i="8"/>
  <c r="H24" i="8"/>
  <c r="G24" i="8"/>
  <c r="F24" i="8"/>
  <c r="E24" i="8"/>
  <c r="D24" i="8"/>
  <c r="K23" i="8"/>
  <c r="J23" i="8"/>
  <c r="I23" i="8"/>
  <c r="H23" i="8"/>
  <c r="G23" i="8"/>
  <c r="F23" i="8"/>
  <c r="E23" i="8"/>
  <c r="D23" i="8"/>
  <c r="L22" i="8"/>
  <c r="K21" i="8"/>
  <c r="J21" i="8"/>
  <c r="I21" i="8"/>
  <c r="H21" i="8"/>
  <c r="G21" i="8"/>
  <c r="F21" i="8"/>
  <c r="E21" i="8"/>
  <c r="D21" i="8"/>
  <c r="K20" i="8"/>
  <c r="J20" i="8"/>
  <c r="I20" i="8"/>
  <c r="H20" i="8"/>
  <c r="G20" i="8"/>
  <c r="F20" i="8"/>
  <c r="E20" i="8"/>
  <c r="D20" i="8"/>
  <c r="J19" i="8"/>
  <c r="I19" i="8"/>
  <c r="H19" i="8"/>
  <c r="G19" i="8"/>
  <c r="F19" i="8"/>
  <c r="E19" i="8"/>
  <c r="D19" i="8"/>
  <c r="K18" i="8"/>
  <c r="J18" i="8"/>
  <c r="I18" i="8"/>
  <c r="H18" i="8"/>
  <c r="G18" i="8"/>
  <c r="F18" i="8"/>
  <c r="E18" i="8"/>
  <c r="D18" i="8"/>
  <c r="K17" i="8"/>
  <c r="J17" i="8"/>
  <c r="I17" i="8"/>
  <c r="H17" i="8"/>
  <c r="G17" i="8"/>
  <c r="F17" i="8"/>
  <c r="E17" i="8"/>
  <c r="D17" i="8"/>
  <c r="K16" i="8"/>
  <c r="J16" i="8"/>
  <c r="I16" i="8"/>
  <c r="H16" i="8"/>
  <c r="G16" i="8"/>
  <c r="F16" i="8"/>
  <c r="E16" i="8"/>
  <c r="D16" i="8"/>
  <c r="K15" i="8"/>
  <c r="J15" i="8"/>
  <c r="I15" i="8"/>
  <c r="H15" i="8"/>
  <c r="G15" i="8"/>
  <c r="F15" i="8"/>
  <c r="E15" i="8"/>
  <c r="D15" i="8"/>
  <c r="K14" i="8"/>
  <c r="J14" i="8"/>
  <c r="I14" i="8"/>
  <c r="H14" i="8"/>
  <c r="G14" i="8"/>
  <c r="F14" i="8"/>
  <c r="E14" i="8"/>
  <c r="D14" i="8"/>
  <c r="K13" i="8"/>
  <c r="J13" i="8"/>
  <c r="I13" i="8"/>
  <c r="H13" i="8"/>
  <c r="G13" i="8"/>
  <c r="F13" i="8"/>
  <c r="E13" i="8"/>
  <c r="D13" i="8"/>
  <c r="K12" i="8"/>
  <c r="J12" i="8"/>
  <c r="I12" i="8"/>
  <c r="H12" i="8"/>
  <c r="G12" i="8"/>
  <c r="F12" i="8"/>
  <c r="E12" i="8"/>
  <c r="D12" i="8"/>
  <c r="K11" i="8"/>
  <c r="J11" i="8"/>
  <c r="I11" i="8"/>
  <c r="H11" i="8"/>
  <c r="G11" i="8"/>
  <c r="F11" i="8"/>
  <c r="E11" i="8"/>
  <c r="D11" i="8"/>
  <c r="K10" i="8"/>
  <c r="J10" i="8"/>
  <c r="I10" i="8"/>
  <c r="H10" i="8"/>
  <c r="G10" i="8"/>
  <c r="F10" i="8"/>
  <c r="E10" i="8"/>
  <c r="D10" i="8"/>
  <c r="J9" i="8"/>
  <c r="I9" i="8"/>
  <c r="H9" i="8"/>
  <c r="G9" i="8"/>
  <c r="F9" i="8"/>
  <c r="E9" i="8"/>
  <c r="D9" i="8"/>
  <c r="K8" i="8"/>
  <c r="J8" i="8"/>
  <c r="I8" i="8"/>
  <c r="H8" i="8"/>
  <c r="G8" i="8"/>
  <c r="F8" i="8"/>
  <c r="E8" i="8"/>
  <c r="D8" i="8"/>
  <c r="K7" i="8"/>
  <c r="J7" i="8"/>
  <c r="I7" i="8"/>
  <c r="H7" i="8"/>
  <c r="G7" i="8"/>
  <c r="F7" i="8"/>
  <c r="E7" i="8"/>
  <c r="D7" i="8"/>
  <c r="K6" i="8"/>
  <c r="J6" i="8"/>
  <c r="I6" i="8"/>
  <c r="H6" i="8"/>
  <c r="G6" i="8"/>
  <c r="F6" i="8"/>
  <c r="E6" i="8"/>
  <c r="D6" i="8"/>
  <c r="F13" i="5"/>
  <c r="E20" i="5"/>
  <c r="E13" i="5"/>
  <c r="C37" i="7"/>
  <c r="Q46" i="7"/>
  <c r="O43" i="7"/>
  <c r="N43" i="7"/>
  <c r="M43" i="7"/>
  <c r="L43" i="7"/>
  <c r="K43" i="7"/>
  <c r="J43" i="7"/>
  <c r="I43" i="7"/>
  <c r="H43" i="7"/>
  <c r="G43" i="7"/>
  <c r="F43" i="7"/>
  <c r="E43" i="7"/>
  <c r="D43" i="7"/>
  <c r="C43" i="7"/>
  <c r="B43" i="7"/>
  <c r="O42" i="7"/>
  <c r="N42" i="7"/>
  <c r="M42" i="7"/>
  <c r="L42" i="7"/>
  <c r="K42" i="7"/>
  <c r="J42" i="7"/>
  <c r="I42" i="7"/>
  <c r="H42" i="7"/>
  <c r="G42" i="7"/>
  <c r="F42" i="7"/>
  <c r="E42" i="7"/>
  <c r="D42" i="7"/>
  <c r="C42" i="7"/>
  <c r="B42" i="7"/>
  <c r="O41" i="7"/>
  <c r="N41" i="7"/>
  <c r="M41" i="7"/>
  <c r="L41" i="7"/>
  <c r="K41" i="7"/>
  <c r="J41" i="7"/>
  <c r="I41" i="7"/>
  <c r="H41" i="7"/>
  <c r="G41" i="7"/>
  <c r="F41" i="7"/>
  <c r="E41" i="7"/>
  <c r="D41" i="7"/>
  <c r="C41" i="7"/>
  <c r="B41" i="7"/>
  <c r="O40" i="7"/>
  <c r="N40" i="7"/>
  <c r="M40" i="7"/>
  <c r="L40" i="7"/>
  <c r="K40" i="7"/>
  <c r="J40" i="7"/>
  <c r="I40" i="7"/>
  <c r="H40" i="7"/>
  <c r="G40" i="7"/>
  <c r="F40" i="7"/>
  <c r="E40" i="7"/>
  <c r="D40" i="7"/>
  <c r="C40" i="7"/>
  <c r="B40" i="7"/>
  <c r="Q39" i="7"/>
  <c r="P39" i="7"/>
  <c r="R39" i="7" s="1"/>
  <c r="B39" i="7"/>
  <c r="B9" i="6" s="1"/>
  <c r="O37" i="7"/>
  <c r="N37" i="7"/>
  <c r="M37" i="7"/>
  <c r="L37" i="7"/>
  <c r="K37" i="7"/>
  <c r="J37" i="7"/>
  <c r="I37" i="7"/>
  <c r="H37" i="7"/>
  <c r="G37" i="7"/>
  <c r="F37" i="7"/>
  <c r="E37" i="7"/>
  <c r="D37" i="7"/>
  <c r="B37" i="7"/>
  <c r="O36" i="7"/>
  <c r="N36" i="7"/>
  <c r="M36" i="7"/>
  <c r="L36" i="7"/>
  <c r="K36" i="7"/>
  <c r="J36" i="7"/>
  <c r="I36" i="7"/>
  <c r="H36" i="7"/>
  <c r="G36" i="7"/>
  <c r="F36" i="7"/>
  <c r="E36" i="7"/>
  <c r="D36" i="7"/>
  <c r="C36" i="7"/>
  <c r="B36" i="7"/>
  <c r="O35" i="7"/>
  <c r="N35" i="7"/>
  <c r="M35" i="7"/>
  <c r="L35" i="7"/>
  <c r="K35" i="7"/>
  <c r="J35" i="7"/>
  <c r="I35" i="7"/>
  <c r="H35" i="7"/>
  <c r="G35" i="7"/>
  <c r="F35" i="7"/>
  <c r="E35" i="7"/>
  <c r="D35" i="7"/>
  <c r="C35" i="7"/>
  <c r="B35" i="7"/>
  <c r="O34" i="7"/>
  <c r="N34" i="7"/>
  <c r="M34" i="7"/>
  <c r="L34" i="7"/>
  <c r="K34" i="7"/>
  <c r="J34" i="7"/>
  <c r="I34" i="7"/>
  <c r="H34" i="7"/>
  <c r="G34" i="7"/>
  <c r="F34" i="7"/>
  <c r="E34" i="7"/>
  <c r="D34" i="7"/>
  <c r="C34" i="7"/>
  <c r="B34" i="7"/>
  <c r="O33" i="7"/>
  <c r="N33" i="7"/>
  <c r="M33" i="7"/>
  <c r="L33" i="7"/>
  <c r="K33" i="7"/>
  <c r="J33" i="7"/>
  <c r="I33" i="7"/>
  <c r="H33" i="7"/>
  <c r="G33" i="7"/>
  <c r="F33" i="7"/>
  <c r="E33" i="7"/>
  <c r="D33" i="7"/>
  <c r="C33" i="7"/>
  <c r="B33" i="7"/>
  <c r="R32" i="7"/>
  <c r="Q32" i="7"/>
  <c r="B32" i="7"/>
  <c r="B8" i="6" s="1"/>
  <c r="C30" i="7"/>
  <c r="O28" i="7"/>
  <c r="N28" i="7"/>
  <c r="M28" i="7"/>
  <c r="L28" i="7"/>
  <c r="K28" i="7"/>
  <c r="J28" i="7"/>
  <c r="I28" i="7"/>
  <c r="H28" i="7"/>
  <c r="G28" i="7"/>
  <c r="F28" i="7"/>
  <c r="E28" i="7"/>
  <c r="D28" i="7"/>
  <c r="C28" i="7"/>
  <c r="B28" i="7"/>
  <c r="O27" i="7"/>
  <c r="N27" i="7"/>
  <c r="M27" i="7"/>
  <c r="L27" i="7"/>
  <c r="K27" i="7"/>
  <c r="J27" i="7"/>
  <c r="I27" i="7"/>
  <c r="H27" i="7"/>
  <c r="G27" i="7"/>
  <c r="F27" i="7"/>
  <c r="E27" i="7"/>
  <c r="D27" i="7"/>
  <c r="C27" i="7"/>
  <c r="B27" i="7"/>
  <c r="O26" i="7"/>
  <c r="N26" i="7"/>
  <c r="M26" i="7"/>
  <c r="L26" i="7"/>
  <c r="K26" i="7"/>
  <c r="J26" i="7"/>
  <c r="I26" i="7"/>
  <c r="H26" i="7"/>
  <c r="G26" i="7"/>
  <c r="F26" i="7"/>
  <c r="E26" i="7"/>
  <c r="D26" i="7"/>
  <c r="C26" i="7"/>
  <c r="B26" i="7"/>
  <c r="O25" i="7"/>
  <c r="N25" i="7"/>
  <c r="M25" i="7"/>
  <c r="L25" i="7"/>
  <c r="K25" i="7"/>
  <c r="J25" i="7"/>
  <c r="I25" i="7"/>
  <c r="H25" i="7"/>
  <c r="G25" i="7"/>
  <c r="F25" i="7"/>
  <c r="E25" i="7"/>
  <c r="D25" i="7"/>
  <c r="C25" i="7"/>
  <c r="B25" i="7"/>
  <c r="R24" i="7"/>
  <c r="Q24" i="7"/>
  <c r="B24" i="7"/>
  <c r="O22" i="7"/>
  <c r="N22" i="7"/>
  <c r="M22" i="7"/>
  <c r="L22" i="7"/>
  <c r="K22" i="7"/>
  <c r="J22" i="7"/>
  <c r="I22" i="7"/>
  <c r="H22" i="7"/>
  <c r="G22" i="7"/>
  <c r="F22" i="7"/>
  <c r="E22" i="7"/>
  <c r="D22" i="7"/>
  <c r="C22" i="7"/>
  <c r="B22" i="7"/>
  <c r="O21" i="7"/>
  <c r="N21" i="7"/>
  <c r="M21" i="7"/>
  <c r="L21" i="7"/>
  <c r="K21" i="7"/>
  <c r="J21" i="7"/>
  <c r="I21" i="7"/>
  <c r="H21" i="7"/>
  <c r="G21" i="7"/>
  <c r="F21" i="7"/>
  <c r="E21" i="7"/>
  <c r="D21" i="7"/>
  <c r="C21" i="7"/>
  <c r="B21" i="7"/>
  <c r="O20" i="7"/>
  <c r="N20" i="7"/>
  <c r="M20" i="7"/>
  <c r="L20" i="7"/>
  <c r="K20" i="7"/>
  <c r="J20" i="7"/>
  <c r="I20" i="7"/>
  <c r="H20" i="7"/>
  <c r="G20" i="7"/>
  <c r="F20" i="7"/>
  <c r="E20" i="7"/>
  <c r="D20" i="7"/>
  <c r="C20" i="7"/>
  <c r="B20" i="7"/>
  <c r="O19" i="7"/>
  <c r="N19" i="7"/>
  <c r="M19" i="7"/>
  <c r="L19" i="7"/>
  <c r="K19" i="7"/>
  <c r="J19" i="7"/>
  <c r="I19" i="7"/>
  <c r="H19" i="7"/>
  <c r="G19" i="7"/>
  <c r="F19" i="7"/>
  <c r="E19" i="7"/>
  <c r="D19" i="7"/>
  <c r="C19" i="7"/>
  <c r="B19" i="7"/>
  <c r="S18" i="7"/>
  <c r="R18" i="7"/>
  <c r="Q18" i="7"/>
  <c r="B18" i="7"/>
  <c r="O16" i="7"/>
  <c r="N16" i="7"/>
  <c r="M16" i="7"/>
  <c r="L16" i="7"/>
  <c r="K16" i="7"/>
  <c r="J16" i="7"/>
  <c r="I16" i="7"/>
  <c r="H16" i="7"/>
  <c r="G16" i="7"/>
  <c r="F16" i="7"/>
  <c r="E16" i="7"/>
  <c r="D16" i="7"/>
  <c r="C16" i="7"/>
  <c r="B16" i="7"/>
  <c r="O15" i="7"/>
  <c r="N15" i="7"/>
  <c r="M15" i="7"/>
  <c r="L15" i="7"/>
  <c r="K15" i="7"/>
  <c r="J15" i="7"/>
  <c r="I15" i="7"/>
  <c r="H15" i="7"/>
  <c r="G15" i="7"/>
  <c r="F15" i="7"/>
  <c r="E15" i="7"/>
  <c r="D15" i="7"/>
  <c r="C15" i="7"/>
  <c r="B15" i="7"/>
  <c r="O14" i="7"/>
  <c r="N14" i="7"/>
  <c r="M14" i="7"/>
  <c r="L14" i="7"/>
  <c r="K14" i="7"/>
  <c r="J14" i="7"/>
  <c r="I14" i="7"/>
  <c r="H14" i="7"/>
  <c r="G14" i="7"/>
  <c r="F14" i="7"/>
  <c r="E14" i="7"/>
  <c r="D14" i="7"/>
  <c r="C14" i="7"/>
  <c r="B14" i="7"/>
  <c r="O13" i="7"/>
  <c r="N13" i="7"/>
  <c r="M13" i="7"/>
  <c r="L13" i="7"/>
  <c r="K13" i="7"/>
  <c r="J13" i="7"/>
  <c r="I13" i="7"/>
  <c r="H13" i="7"/>
  <c r="G13" i="7"/>
  <c r="F13" i="7"/>
  <c r="E13" i="7"/>
  <c r="D13" i="7"/>
  <c r="C13" i="7"/>
  <c r="B13" i="7"/>
  <c r="O12" i="7"/>
  <c r="N12" i="7"/>
  <c r="M12" i="7"/>
  <c r="L12" i="7"/>
  <c r="K12" i="7"/>
  <c r="J12" i="7"/>
  <c r="I12" i="7"/>
  <c r="H12" i="7"/>
  <c r="G12" i="7"/>
  <c r="F12" i="7"/>
  <c r="E12" i="7"/>
  <c r="D12" i="7"/>
  <c r="C12" i="7"/>
  <c r="B12" i="7"/>
  <c r="O11" i="7"/>
  <c r="N11" i="7"/>
  <c r="M11" i="7"/>
  <c r="L11" i="7"/>
  <c r="K11" i="7"/>
  <c r="J11" i="7"/>
  <c r="I11" i="7"/>
  <c r="H11" i="7"/>
  <c r="G11" i="7"/>
  <c r="F11" i="7"/>
  <c r="E11" i="7"/>
  <c r="D11" i="7"/>
  <c r="C11" i="7"/>
  <c r="B11" i="7"/>
  <c r="O10" i="7"/>
  <c r="N10" i="7"/>
  <c r="M10" i="7"/>
  <c r="L10" i="7"/>
  <c r="K10" i="7"/>
  <c r="J10" i="7"/>
  <c r="I10" i="7"/>
  <c r="H10" i="7"/>
  <c r="G10" i="7"/>
  <c r="F10" i="7"/>
  <c r="E10" i="7"/>
  <c r="D10" i="7"/>
  <c r="C10" i="7"/>
  <c r="B10" i="7"/>
  <c r="O9" i="7"/>
  <c r="N9" i="7"/>
  <c r="M9" i="7"/>
  <c r="L9" i="7"/>
  <c r="K9" i="7"/>
  <c r="J9" i="7"/>
  <c r="I9" i="7"/>
  <c r="H9" i="7"/>
  <c r="G9" i="7"/>
  <c r="F9" i="7"/>
  <c r="E9" i="7"/>
  <c r="D9" i="7"/>
  <c r="C9" i="7"/>
  <c r="B9" i="7"/>
  <c r="O8" i="7"/>
  <c r="N8" i="7"/>
  <c r="M8" i="7"/>
  <c r="L8" i="7"/>
  <c r="K8" i="7"/>
  <c r="J8" i="7"/>
  <c r="I8" i="7"/>
  <c r="H8" i="7"/>
  <c r="G8" i="7"/>
  <c r="F8" i="7"/>
  <c r="E8" i="7"/>
  <c r="D8" i="7"/>
  <c r="C8" i="7"/>
  <c r="B8" i="7"/>
  <c r="B7" i="7"/>
  <c r="O6" i="7"/>
  <c r="N6" i="7"/>
  <c r="M6" i="7"/>
  <c r="L6" i="7"/>
  <c r="K6" i="7"/>
  <c r="J6" i="7"/>
  <c r="I6" i="7"/>
  <c r="H6" i="7"/>
  <c r="G6" i="7"/>
  <c r="F6" i="7"/>
  <c r="E6" i="7"/>
  <c r="D6" i="7"/>
  <c r="Y18" i="6"/>
  <c r="Z18" i="6"/>
  <c r="AA18" i="6"/>
  <c r="AB18" i="6"/>
  <c r="AC18" i="6"/>
  <c r="AD18" i="6"/>
  <c r="M10" i="6"/>
  <c r="J18" i="6"/>
  <c r="K18" i="6"/>
  <c r="L18" i="6"/>
  <c r="M18" i="6"/>
  <c r="N18" i="6"/>
  <c r="O18" i="6"/>
  <c r="P18" i="6"/>
  <c r="Q18" i="6"/>
  <c r="R18" i="6"/>
  <c r="S18" i="6"/>
  <c r="T18" i="6"/>
  <c r="U18" i="6"/>
  <c r="V18" i="6"/>
  <c r="W18" i="6"/>
  <c r="X18" i="6"/>
  <c r="E18" i="6"/>
  <c r="F15" i="6"/>
  <c r="I18" i="6" s="1"/>
  <c r="F13" i="6"/>
  <c r="H13" i="6" s="1"/>
  <c r="F17" i="6"/>
  <c r="H17" i="6" s="1"/>
  <c r="E29" i="6"/>
  <c r="G202" i="8" l="1"/>
  <c r="E204" i="8"/>
  <c r="F210" i="8"/>
  <c r="G210" i="8"/>
  <c r="H37" i="6"/>
  <c r="G39" i="6"/>
  <c r="H38" i="6"/>
  <c r="W45" i="6"/>
  <c r="F36" i="6"/>
  <c r="G36" i="6"/>
  <c r="K39" i="6"/>
  <c r="L39" i="6" s="1"/>
  <c r="M39" i="6" s="1"/>
  <c r="N39" i="6" s="1"/>
  <c r="O39" i="6" s="1"/>
  <c r="P39" i="6" s="1"/>
  <c r="Q39" i="6" s="1"/>
  <c r="R39" i="6" s="1"/>
  <c r="S39" i="6" s="1"/>
  <c r="T39" i="6" s="1"/>
  <c r="U39" i="6" s="1"/>
  <c r="V39" i="6" s="1"/>
  <c r="W39" i="6" s="1"/>
  <c r="X39" i="6" s="1"/>
  <c r="Y39" i="6" s="1"/>
  <c r="Z39" i="6" s="1"/>
  <c r="AA39" i="6" s="1"/>
  <c r="AB39" i="6" s="1"/>
  <c r="AC39" i="6" s="1"/>
  <c r="AD39" i="6" s="1"/>
  <c r="H36" i="6"/>
  <c r="K36" i="6"/>
  <c r="L36" i="6" s="1"/>
  <c r="M36" i="6" s="1"/>
  <c r="N36" i="6" s="1"/>
  <c r="O36" i="6" s="1"/>
  <c r="P36" i="6" s="1"/>
  <c r="Q36" i="6" s="1"/>
  <c r="R36" i="6" s="1"/>
  <c r="S36" i="6" s="1"/>
  <c r="T36" i="6" s="1"/>
  <c r="U36" i="6" s="1"/>
  <c r="V36" i="6" s="1"/>
  <c r="W36" i="6" s="1"/>
  <c r="X36" i="6" s="1"/>
  <c r="Y36" i="6" s="1"/>
  <c r="Z36" i="6" s="1"/>
  <c r="AA36" i="6" s="1"/>
  <c r="AB36" i="6" s="1"/>
  <c r="AC36" i="6" s="1"/>
  <c r="AD36" i="6" s="1"/>
  <c r="G35" i="6"/>
  <c r="G37" i="6"/>
  <c r="R24" i="13"/>
  <c r="R29" i="13"/>
  <c r="T22" i="13"/>
  <c r="S22" i="13"/>
  <c r="S12" i="13"/>
  <c r="R30" i="13"/>
  <c r="R23" i="13"/>
  <c r="R31" i="13"/>
  <c r="E158" i="8"/>
  <c r="I212" i="8"/>
  <c r="D213" i="8"/>
  <c r="H213" i="8"/>
  <c r="I37" i="6"/>
  <c r="K38" i="6"/>
  <c r="L38" i="6" s="1"/>
  <c r="M38" i="6" s="1"/>
  <c r="N38" i="6" s="1"/>
  <c r="O38" i="6" s="1"/>
  <c r="P38" i="6" s="1"/>
  <c r="Q38" i="6" s="1"/>
  <c r="R38" i="6" s="1"/>
  <c r="S38" i="6" s="1"/>
  <c r="T38" i="6" s="1"/>
  <c r="U38" i="6" s="1"/>
  <c r="V38" i="6" s="1"/>
  <c r="W38" i="6" s="1"/>
  <c r="X38" i="6" s="1"/>
  <c r="Y38" i="6" s="1"/>
  <c r="Z38" i="6" s="1"/>
  <c r="AA38" i="6" s="1"/>
  <c r="AB38" i="6" s="1"/>
  <c r="AC38" i="6" s="1"/>
  <c r="AD38" i="6" s="1"/>
  <c r="D41" i="5"/>
  <c r="I38" i="6"/>
  <c r="H35" i="6"/>
  <c r="I35" i="6"/>
  <c r="D40" i="6"/>
  <c r="G190" i="8"/>
  <c r="K190" i="8"/>
  <c r="H215" i="8"/>
  <c r="E216" i="8"/>
  <c r="I216" i="8"/>
  <c r="G216" i="8"/>
  <c r="L175" i="8"/>
  <c r="L178" i="8"/>
  <c r="G194" i="8"/>
  <c r="G191" i="8"/>
  <c r="L21" i="8"/>
  <c r="L33" i="8"/>
  <c r="L34" i="8"/>
  <c r="L35" i="8"/>
  <c r="L38" i="8"/>
  <c r="L39" i="8"/>
  <c r="L40" i="8"/>
  <c r="L41" i="8"/>
  <c r="L45" i="8"/>
  <c r="L74" i="8"/>
  <c r="L75" i="8"/>
  <c r="F205" i="8"/>
  <c r="L10" i="8"/>
  <c r="L11" i="8"/>
  <c r="L12" i="8"/>
  <c r="L13" i="8"/>
  <c r="L14" i="8"/>
  <c r="F197" i="8"/>
  <c r="J197" i="8"/>
  <c r="E93" i="8"/>
  <c r="L76" i="8"/>
  <c r="L85" i="8"/>
  <c r="L86" i="8"/>
  <c r="L88" i="8"/>
  <c r="L90" i="8"/>
  <c r="L91" i="8"/>
  <c r="L95" i="8"/>
  <c r="L96" i="8"/>
  <c r="G205" i="8"/>
  <c r="K205" i="8"/>
  <c r="L124" i="8"/>
  <c r="L125" i="8"/>
  <c r="L128" i="8"/>
  <c r="L133" i="8"/>
  <c r="L134" i="8"/>
  <c r="L135" i="8"/>
  <c r="L136" i="8"/>
  <c r="J213" i="8"/>
  <c r="L154" i="8"/>
  <c r="L155" i="8"/>
  <c r="L156" i="8"/>
  <c r="L159" i="8"/>
  <c r="J196" i="8"/>
  <c r="L54" i="8"/>
  <c r="L55" i="8"/>
  <c r="L56" i="8"/>
  <c r="L57" i="8"/>
  <c r="L61" i="8"/>
  <c r="J93" i="8"/>
  <c r="J204" i="8"/>
  <c r="I114" i="8"/>
  <c r="L130" i="8"/>
  <c r="L144" i="8"/>
  <c r="L145" i="8"/>
  <c r="L147" i="8"/>
  <c r="L7" i="8"/>
  <c r="L8" i="8"/>
  <c r="L9" i="8"/>
  <c r="L15" i="8"/>
  <c r="D191" i="8"/>
  <c r="H191" i="8"/>
  <c r="L17" i="8"/>
  <c r="L18" i="8"/>
  <c r="L23" i="8"/>
  <c r="L24" i="8"/>
  <c r="G70" i="8"/>
  <c r="L78" i="8"/>
  <c r="L111" i="8"/>
  <c r="L112" i="8"/>
  <c r="L113" i="8"/>
  <c r="L118" i="8"/>
  <c r="L119" i="8"/>
  <c r="D137" i="8"/>
  <c r="L165" i="8"/>
  <c r="L166" i="8"/>
  <c r="L167" i="8"/>
  <c r="L170" i="8"/>
  <c r="L171" i="8"/>
  <c r="L29" i="8"/>
  <c r="L47" i="8"/>
  <c r="L50" i="8"/>
  <c r="L64" i="8"/>
  <c r="J212" i="8"/>
  <c r="F213" i="8"/>
  <c r="D179" i="8"/>
  <c r="H179" i="8"/>
  <c r="E193" i="8"/>
  <c r="E48" i="8"/>
  <c r="I48" i="8"/>
  <c r="E196" i="8"/>
  <c r="K70" i="8"/>
  <c r="F93" i="8"/>
  <c r="L105" i="8"/>
  <c r="L107" i="8"/>
  <c r="E212" i="8"/>
  <c r="J215" i="8"/>
  <c r="K216" i="8"/>
  <c r="H39" i="6"/>
  <c r="F35" i="6"/>
  <c r="J40" i="6"/>
  <c r="J42" i="6" s="1"/>
  <c r="L120" i="8"/>
  <c r="D215" i="8"/>
  <c r="D190" i="8"/>
  <c r="D26" i="8"/>
  <c r="H190" i="8"/>
  <c r="H26" i="8"/>
  <c r="L6" i="8"/>
  <c r="K191" i="8"/>
  <c r="G26" i="8"/>
  <c r="F193" i="8"/>
  <c r="F48" i="8"/>
  <c r="J193" i="8"/>
  <c r="J48" i="8"/>
  <c r="L42" i="8"/>
  <c r="L43" i="8"/>
  <c r="L44" i="8"/>
  <c r="D196" i="8"/>
  <c r="D70" i="8"/>
  <c r="H196" i="8"/>
  <c r="H70" i="8"/>
  <c r="L49" i="8"/>
  <c r="L58" i="8"/>
  <c r="L60" i="8"/>
  <c r="L66" i="8"/>
  <c r="L67" i="8"/>
  <c r="J201" i="8"/>
  <c r="L79" i="8"/>
  <c r="L80" i="8"/>
  <c r="L81" i="8"/>
  <c r="K202" i="8"/>
  <c r="L160" i="8"/>
  <c r="E26" i="8"/>
  <c r="E190" i="8"/>
  <c r="I190" i="8"/>
  <c r="I26" i="8"/>
  <c r="L16" i="8"/>
  <c r="L20" i="8"/>
  <c r="K26" i="8"/>
  <c r="L32" i="8"/>
  <c r="L51" i="8"/>
  <c r="G93" i="8"/>
  <c r="K93" i="8"/>
  <c r="L84" i="8"/>
  <c r="L89" i="8"/>
  <c r="L101" i="8"/>
  <c r="L102" i="8"/>
  <c r="L110" i="8"/>
  <c r="L122" i="8"/>
  <c r="L123" i="8"/>
  <c r="F158" i="8"/>
  <c r="J158" i="8"/>
  <c r="G192" i="8"/>
  <c r="F190" i="8"/>
  <c r="F26" i="8"/>
  <c r="J190" i="8"/>
  <c r="J26" i="8"/>
  <c r="L19" i="8"/>
  <c r="L28" i="8"/>
  <c r="L36" i="8"/>
  <c r="D194" i="8"/>
  <c r="H194" i="8"/>
  <c r="L37" i="8"/>
  <c r="J70" i="8"/>
  <c r="D201" i="8"/>
  <c r="D93" i="8"/>
  <c r="H201" i="8"/>
  <c r="H93" i="8"/>
  <c r="L73" i="8"/>
  <c r="L92" i="8"/>
  <c r="J114" i="8"/>
  <c r="L106" i="8"/>
  <c r="E114" i="8"/>
  <c r="G209" i="8"/>
  <c r="G211" i="8" s="1"/>
  <c r="G137" i="8"/>
  <c r="K209" i="8"/>
  <c r="K211" i="8" s="1"/>
  <c r="K137" i="8"/>
  <c r="F216" i="8"/>
  <c r="E191" i="8"/>
  <c r="I191" i="8"/>
  <c r="G193" i="8"/>
  <c r="K193" i="8"/>
  <c r="E194" i="8"/>
  <c r="I194" i="8"/>
  <c r="I196" i="8"/>
  <c r="G197" i="8"/>
  <c r="K197" i="8"/>
  <c r="I201" i="8"/>
  <c r="D202" i="8"/>
  <c r="H202" i="8"/>
  <c r="L83" i="8"/>
  <c r="F204" i="8"/>
  <c r="D205" i="8"/>
  <c r="H205" i="8"/>
  <c r="L104" i="8"/>
  <c r="F114" i="8"/>
  <c r="D209" i="8"/>
  <c r="H209" i="8"/>
  <c r="H211" i="8" s="1"/>
  <c r="L117" i="8"/>
  <c r="H137" i="8"/>
  <c r="F212" i="8"/>
  <c r="F214" i="8" s="1"/>
  <c r="L143" i="8"/>
  <c r="L153" i="8"/>
  <c r="E215" i="8"/>
  <c r="E179" i="8"/>
  <c r="I215" i="8"/>
  <c r="I179" i="8"/>
  <c r="L161" i="8"/>
  <c r="L168" i="8"/>
  <c r="F191" i="8"/>
  <c r="J191" i="8"/>
  <c r="D193" i="8"/>
  <c r="H193" i="8"/>
  <c r="L27" i="8"/>
  <c r="F194" i="8"/>
  <c r="J194" i="8"/>
  <c r="G48" i="8"/>
  <c r="K48" i="8"/>
  <c r="F196" i="8"/>
  <c r="D197" i="8"/>
  <c r="H197" i="8"/>
  <c r="L59" i="8"/>
  <c r="E70" i="8"/>
  <c r="I70" i="8"/>
  <c r="F201" i="8"/>
  <c r="E202" i="8"/>
  <c r="I202" i="8"/>
  <c r="G204" i="8"/>
  <c r="K204" i="8"/>
  <c r="E205" i="8"/>
  <c r="E206" i="8" s="1"/>
  <c r="I205" i="8"/>
  <c r="I206" i="8" s="1"/>
  <c r="J9" i="6" s="1"/>
  <c r="G114" i="8"/>
  <c r="K114" i="8"/>
  <c r="E137" i="8"/>
  <c r="I209" i="8"/>
  <c r="I137" i="8"/>
  <c r="L126" i="8"/>
  <c r="L127" i="8"/>
  <c r="G212" i="8"/>
  <c r="G158" i="8"/>
  <c r="K212" i="8"/>
  <c r="K158" i="8"/>
  <c r="L146" i="8"/>
  <c r="L148" i="8"/>
  <c r="L157" i="8"/>
  <c r="F179" i="8"/>
  <c r="J179" i="8"/>
  <c r="L176" i="8"/>
  <c r="L177" i="8"/>
  <c r="E201" i="8"/>
  <c r="E203" i="8" s="1"/>
  <c r="F8" i="6" s="1"/>
  <c r="E209" i="8"/>
  <c r="I193" i="8"/>
  <c r="K194" i="8"/>
  <c r="D48" i="8"/>
  <c r="H48" i="8"/>
  <c r="G196" i="8"/>
  <c r="K196" i="8"/>
  <c r="E197" i="8"/>
  <c r="I197" i="8"/>
  <c r="F70" i="8"/>
  <c r="G201" i="8"/>
  <c r="G203" i="8" s="1"/>
  <c r="H8" i="6" s="1"/>
  <c r="K201" i="8"/>
  <c r="F202" i="8"/>
  <c r="J202" i="8"/>
  <c r="I93" i="8"/>
  <c r="D204" i="8"/>
  <c r="H204" i="8"/>
  <c r="L94" i="8"/>
  <c r="J205" i="8"/>
  <c r="D114" i="8"/>
  <c r="H114" i="8"/>
  <c r="F137" i="8"/>
  <c r="F209" i="8"/>
  <c r="F211" i="8" s="1"/>
  <c r="J137" i="8"/>
  <c r="E210" i="8"/>
  <c r="I210" i="8"/>
  <c r="L129" i="8"/>
  <c r="L132" i="8"/>
  <c r="L139" i="8"/>
  <c r="L140" i="8"/>
  <c r="E213" i="8"/>
  <c r="I213" i="8"/>
  <c r="L149" i="8"/>
  <c r="L150" i="8"/>
  <c r="G179" i="8"/>
  <c r="K179" i="8"/>
  <c r="J216" i="8"/>
  <c r="J209" i="8"/>
  <c r="J210" i="8"/>
  <c r="D212" i="8"/>
  <c r="H212" i="8"/>
  <c r="L138" i="8"/>
  <c r="F215" i="8"/>
  <c r="K215" i="8"/>
  <c r="K217" i="8" s="1"/>
  <c r="D158" i="8"/>
  <c r="H158" i="8"/>
  <c r="D216" i="8"/>
  <c r="H216" i="8"/>
  <c r="L169" i="8"/>
  <c r="D210" i="8"/>
  <c r="G215" i="8"/>
  <c r="G213" i="8"/>
  <c r="K213" i="8"/>
  <c r="I158" i="8"/>
  <c r="S16" i="7"/>
  <c r="Q20" i="7"/>
  <c r="S8" i="7"/>
  <c r="S12" i="7"/>
  <c r="S14" i="7"/>
  <c r="Q27" i="7"/>
  <c r="Q35" i="7"/>
  <c r="Q42" i="7"/>
  <c r="S10" i="7"/>
  <c r="D29" i="7"/>
  <c r="F17" i="7"/>
  <c r="J17" i="7"/>
  <c r="N17" i="7"/>
  <c r="Q9" i="7"/>
  <c r="Q13" i="7"/>
  <c r="C23" i="7"/>
  <c r="K23" i="7"/>
  <c r="L29" i="7"/>
  <c r="H38" i="7"/>
  <c r="L38" i="7"/>
  <c r="D44" i="7"/>
  <c r="E17" i="7"/>
  <c r="I17" i="7"/>
  <c r="M17" i="7"/>
  <c r="S11" i="7"/>
  <c r="H23" i="7"/>
  <c r="L23" i="7"/>
  <c r="Q34" i="7"/>
  <c r="Q36" i="7"/>
  <c r="Q41" i="7"/>
  <c r="I44" i="7"/>
  <c r="M44" i="7"/>
  <c r="P10" i="7"/>
  <c r="R10" i="7" s="1"/>
  <c r="Q14" i="7"/>
  <c r="P21" i="7"/>
  <c r="R21" i="7" s="1"/>
  <c r="K29" i="7"/>
  <c r="P37" i="7"/>
  <c r="R37" i="7" s="1"/>
  <c r="G17" i="7"/>
  <c r="O17" i="7"/>
  <c r="S9" i="7"/>
  <c r="S13" i="7"/>
  <c r="E23" i="7"/>
  <c r="I23" i="7"/>
  <c r="M23" i="7"/>
  <c r="G23" i="7"/>
  <c r="O23" i="7"/>
  <c r="P27" i="7"/>
  <c r="R27" i="7" s="1"/>
  <c r="E38" i="7"/>
  <c r="I38" i="7"/>
  <c r="M38" i="7"/>
  <c r="G44" i="7"/>
  <c r="K44" i="7"/>
  <c r="O44" i="7"/>
  <c r="P43" i="7"/>
  <c r="R43" i="7" s="1"/>
  <c r="L44" i="7"/>
  <c r="E44" i="7"/>
  <c r="E45" i="7" s="1"/>
  <c r="Q10" i="7"/>
  <c r="P14" i="7"/>
  <c r="R14" i="7" s="1"/>
  <c r="G29" i="7"/>
  <c r="O29" i="7"/>
  <c r="P28" i="7"/>
  <c r="R28" i="7" s="1"/>
  <c r="P35" i="7"/>
  <c r="R35" i="7" s="1"/>
  <c r="K17" i="7"/>
  <c r="H17" i="7"/>
  <c r="L17" i="7"/>
  <c r="Q8" i="7"/>
  <c r="Q11" i="7"/>
  <c r="P12" i="7"/>
  <c r="R12" i="7" s="1"/>
  <c r="Q12" i="7"/>
  <c r="S15" i="7"/>
  <c r="F23" i="7"/>
  <c r="J23" i="7"/>
  <c r="N23" i="7"/>
  <c r="P22" i="7"/>
  <c r="R22" i="7" s="1"/>
  <c r="Q26" i="7"/>
  <c r="E29" i="7"/>
  <c r="I29" i="7"/>
  <c r="M29" i="7"/>
  <c r="F38" i="7"/>
  <c r="J38" i="7"/>
  <c r="N38" i="7"/>
  <c r="P40" i="7"/>
  <c r="R40" i="7" s="1"/>
  <c r="P42" i="7"/>
  <c r="R42" i="7" s="1"/>
  <c r="S19" i="7"/>
  <c r="Q22" i="7"/>
  <c r="F29" i="7"/>
  <c r="J29" i="7"/>
  <c r="N29" i="7"/>
  <c r="P26" i="7"/>
  <c r="R26" i="7" s="1"/>
  <c r="H29" i="7"/>
  <c r="C38" i="7"/>
  <c r="G38" i="7"/>
  <c r="K38" i="7"/>
  <c r="O38" i="7"/>
  <c r="P34" i="7"/>
  <c r="R34" i="7" s="1"/>
  <c r="Q37" i="7"/>
  <c r="F44" i="7"/>
  <c r="J44" i="7"/>
  <c r="N44" i="7"/>
  <c r="P41" i="7"/>
  <c r="R41" i="7" s="1"/>
  <c r="H44" i="7"/>
  <c r="P16" i="7"/>
  <c r="R16" i="7" s="1"/>
  <c r="D23" i="7"/>
  <c r="P19" i="7"/>
  <c r="R19" i="7" s="1"/>
  <c r="P20" i="7"/>
  <c r="R20" i="7" s="1"/>
  <c r="C29" i="7"/>
  <c r="Q25" i="7"/>
  <c r="Q33" i="7"/>
  <c r="P33" i="7"/>
  <c r="P36" i="7"/>
  <c r="R36" i="7" s="1"/>
  <c r="D38" i="7"/>
  <c r="C44" i="7"/>
  <c r="Q40" i="7"/>
  <c r="D17" i="7"/>
  <c r="P8" i="7"/>
  <c r="R8" i="7" s="1"/>
  <c r="P9" i="7"/>
  <c r="R9" i="7" s="1"/>
  <c r="P11" i="7"/>
  <c r="R11" i="7" s="1"/>
  <c r="P13" i="7"/>
  <c r="R13" i="7" s="1"/>
  <c r="P15" i="7"/>
  <c r="R15" i="7" s="1"/>
  <c r="Q19" i="7"/>
  <c r="S20" i="7"/>
  <c r="Q21" i="7"/>
  <c r="P25" i="7"/>
  <c r="Q28" i="7"/>
  <c r="Q43" i="7"/>
  <c r="C17" i="7"/>
  <c r="H18" i="6"/>
  <c r="M20" i="6"/>
  <c r="F18" i="6"/>
  <c r="G217" i="8" l="1"/>
  <c r="E115" i="8"/>
  <c r="E184" i="8" s="1"/>
  <c r="H217" i="8"/>
  <c r="I214" i="8"/>
  <c r="Q23" i="7"/>
  <c r="J198" i="8"/>
  <c r="F115" i="8"/>
  <c r="F184" i="8" s="1"/>
  <c r="F206" i="8"/>
  <c r="G9" i="6" s="1"/>
  <c r="F37" i="6"/>
  <c r="F40" i="6" s="1"/>
  <c r="F42" i="6" s="1"/>
  <c r="X45" i="6"/>
  <c r="H40" i="6"/>
  <c r="H42" i="6" s="1"/>
  <c r="G40" i="6"/>
  <c r="G42" i="6" s="1"/>
  <c r="C18" i="6"/>
  <c r="K40" i="6"/>
  <c r="K42" i="6" s="1"/>
  <c r="I40" i="6"/>
  <c r="I42" i="6" s="1"/>
  <c r="I195" i="8"/>
  <c r="H214" i="8"/>
  <c r="H218" i="8" s="1"/>
  <c r="D214" i="8"/>
  <c r="I217" i="8"/>
  <c r="K71" i="8"/>
  <c r="K183" i="8" s="1"/>
  <c r="K198" i="8"/>
  <c r="K192" i="8"/>
  <c r="K206" i="8"/>
  <c r="L9" i="6" s="1"/>
  <c r="I71" i="8"/>
  <c r="I183" i="8" s="1"/>
  <c r="G206" i="8"/>
  <c r="H9" i="6" s="1"/>
  <c r="H10" i="6" s="1"/>
  <c r="E217" i="8"/>
  <c r="J217" i="8"/>
  <c r="J115" i="8"/>
  <c r="J184" i="8" s="1"/>
  <c r="J214" i="8"/>
  <c r="F195" i="8"/>
  <c r="K115" i="8"/>
  <c r="K184" i="8" s="1"/>
  <c r="G195" i="8"/>
  <c r="L201" i="8"/>
  <c r="H180" i="8"/>
  <c r="H185" i="8" s="1"/>
  <c r="L212" i="8"/>
  <c r="L204" i="8"/>
  <c r="F71" i="8"/>
  <c r="F183" i="8" s="1"/>
  <c r="G198" i="8"/>
  <c r="F217" i="8"/>
  <c r="F218" i="8" s="1"/>
  <c r="E214" i="8"/>
  <c r="I115" i="8"/>
  <c r="I184" i="8" s="1"/>
  <c r="H195" i="8"/>
  <c r="H206" i="8"/>
  <c r="I9" i="6" s="1"/>
  <c r="F198" i="8"/>
  <c r="L202" i="8"/>
  <c r="E195" i="8"/>
  <c r="E30" i="7"/>
  <c r="E48" i="7" s="1"/>
  <c r="E207" i="8"/>
  <c r="F9" i="6"/>
  <c r="F10" i="6" s="1"/>
  <c r="H115" i="8"/>
  <c r="H184" i="8" s="1"/>
  <c r="H203" i="8"/>
  <c r="I8" i="6" s="1"/>
  <c r="E198" i="8"/>
  <c r="L197" i="8"/>
  <c r="L193" i="8"/>
  <c r="G227" i="8"/>
  <c r="K226" i="8"/>
  <c r="H227" i="8"/>
  <c r="L215" i="8"/>
  <c r="J203" i="8"/>
  <c r="K8" i="6" s="1"/>
  <c r="G180" i="8"/>
  <c r="G185" i="8" s="1"/>
  <c r="J206" i="8"/>
  <c r="K214" i="8"/>
  <c r="K218" i="8" s="1"/>
  <c r="F203" i="8"/>
  <c r="G8" i="6" s="1"/>
  <c r="G71" i="8"/>
  <c r="G183" i="8" s="1"/>
  <c r="E180" i="8"/>
  <c r="E185" i="8" s="1"/>
  <c r="D211" i="8"/>
  <c r="I198" i="8"/>
  <c r="L137" i="8"/>
  <c r="D227" i="8"/>
  <c r="Y40" i="6"/>
  <c r="Y42" i="6" s="1"/>
  <c r="L40" i="6"/>
  <c r="L42" i="6" s="1"/>
  <c r="Z40" i="6"/>
  <c r="Z42" i="6" s="1"/>
  <c r="D203" i="8"/>
  <c r="E8" i="6" s="1"/>
  <c r="L190" i="8"/>
  <c r="L26" i="8"/>
  <c r="D192" i="8"/>
  <c r="D226" i="8"/>
  <c r="D228" i="8" s="1"/>
  <c r="J211" i="8"/>
  <c r="L213" i="8"/>
  <c r="G115" i="8"/>
  <c r="G184" i="8" s="1"/>
  <c r="D195" i="8"/>
  <c r="I203" i="8"/>
  <c r="I227" i="8"/>
  <c r="J71" i="8"/>
  <c r="J183" i="8" s="1"/>
  <c r="J226" i="8"/>
  <c r="J192" i="8"/>
  <c r="G226" i="8"/>
  <c r="L196" i="8"/>
  <c r="L70" i="8"/>
  <c r="D198" i="8"/>
  <c r="D217" i="8"/>
  <c r="L179" i="8"/>
  <c r="D71" i="8"/>
  <c r="D183" i="8" s="1"/>
  <c r="N70" i="8"/>
  <c r="L158" i="8"/>
  <c r="E211" i="8"/>
  <c r="J180" i="8"/>
  <c r="J185" i="8" s="1"/>
  <c r="G214" i="8"/>
  <c r="G218" i="8" s="1"/>
  <c r="I211" i="8"/>
  <c r="E71" i="8"/>
  <c r="E183" i="8" s="1"/>
  <c r="J227" i="8"/>
  <c r="I180" i="8"/>
  <c r="I185" i="8" s="1"/>
  <c r="L209" i="8"/>
  <c r="L205" i="8"/>
  <c r="E227" i="8"/>
  <c r="L194" i="8"/>
  <c r="L191" i="8"/>
  <c r="I226" i="8"/>
  <c r="I192" i="8"/>
  <c r="D180" i="8"/>
  <c r="D185" i="8" s="1"/>
  <c r="H71" i="8"/>
  <c r="H183" i="8" s="1"/>
  <c r="J195" i="8"/>
  <c r="K227" i="8"/>
  <c r="H192" i="8"/>
  <c r="H226" i="8"/>
  <c r="L216" i="8"/>
  <c r="K180" i="8"/>
  <c r="K185" i="8" s="1"/>
  <c r="K186" i="8" s="1"/>
  <c r="L114" i="8"/>
  <c r="D115" i="8"/>
  <c r="D184" i="8" s="1"/>
  <c r="D206" i="8"/>
  <c r="K203" i="8"/>
  <c r="L48" i="8"/>
  <c r="F180" i="8"/>
  <c r="F185" i="8" s="1"/>
  <c r="L210" i="8"/>
  <c r="F227" i="8"/>
  <c r="K195" i="8"/>
  <c r="L93" i="8"/>
  <c r="F226" i="8"/>
  <c r="F192" i="8"/>
  <c r="E226" i="8"/>
  <c r="E192" i="8"/>
  <c r="H198" i="8"/>
  <c r="G30" i="7"/>
  <c r="L30" i="7"/>
  <c r="I45" i="7"/>
  <c r="G45" i="7"/>
  <c r="I30" i="7"/>
  <c r="Q44" i="7"/>
  <c r="S17" i="7"/>
  <c r="M30" i="7"/>
  <c r="O30" i="7"/>
  <c r="K30" i="7"/>
  <c r="J45" i="7"/>
  <c r="F45" i="7"/>
  <c r="H45" i="7"/>
  <c r="K45" i="7"/>
  <c r="O45" i="7"/>
  <c r="L45" i="7"/>
  <c r="D30" i="7"/>
  <c r="Q30" i="7" s="1"/>
  <c r="M45" i="7"/>
  <c r="N45" i="7"/>
  <c r="N10" i="6"/>
  <c r="F30" i="7"/>
  <c r="H30" i="7"/>
  <c r="N30" i="7"/>
  <c r="P38" i="7"/>
  <c r="R38" i="7" s="1"/>
  <c r="P44" i="7"/>
  <c r="P29" i="7"/>
  <c r="R33" i="7"/>
  <c r="R25" i="7"/>
  <c r="P17" i="7"/>
  <c r="R17" i="7" s="1"/>
  <c r="Q29" i="7"/>
  <c r="P23" i="7"/>
  <c r="R23" i="7" s="1"/>
  <c r="D45" i="7"/>
  <c r="Q38" i="7"/>
  <c r="J30" i="7"/>
  <c r="G5" i="1"/>
  <c r="G9" i="5"/>
  <c r="R9" i="5" s="1"/>
  <c r="J25" i="6" s="1"/>
  <c r="G10" i="5"/>
  <c r="G24" i="5"/>
  <c r="R24" i="5" s="1"/>
  <c r="G11" i="5"/>
  <c r="R11" i="5" s="1"/>
  <c r="J27" i="6" s="1"/>
  <c r="G12" i="5"/>
  <c r="G8" i="5"/>
  <c r="J20" i="5"/>
  <c r="H20" i="5"/>
  <c r="F20" i="5"/>
  <c r="D20" i="5"/>
  <c r="M19" i="5"/>
  <c r="L19" i="5"/>
  <c r="K19" i="5"/>
  <c r="I19" i="5"/>
  <c r="O19" i="5" s="1"/>
  <c r="M18" i="5"/>
  <c r="L18" i="5"/>
  <c r="K18" i="5"/>
  <c r="I18" i="5"/>
  <c r="N18" i="5" s="1"/>
  <c r="M26" i="5"/>
  <c r="L26" i="5"/>
  <c r="K26" i="5"/>
  <c r="I26" i="5"/>
  <c r="O26" i="5" s="1"/>
  <c r="M17" i="5"/>
  <c r="L17" i="5"/>
  <c r="K17" i="5"/>
  <c r="I17" i="5"/>
  <c r="N17" i="5" s="1"/>
  <c r="M16" i="5"/>
  <c r="L16" i="5"/>
  <c r="K16" i="5"/>
  <c r="I16" i="5"/>
  <c r="O16" i="5" s="1"/>
  <c r="M15" i="5"/>
  <c r="L15" i="5"/>
  <c r="K15" i="5"/>
  <c r="K20" i="5" s="1"/>
  <c r="I15" i="5"/>
  <c r="J13" i="5"/>
  <c r="M13" i="5" s="1"/>
  <c r="D13" i="5"/>
  <c r="M12" i="5"/>
  <c r="L12" i="5"/>
  <c r="K12" i="5"/>
  <c r="I12" i="5"/>
  <c r="H12" i="5"/>
  <c r="M11" i="5"/>
  <c r="L11" i="5"/>
  <c r="K11" i="5"/>
  <c r="I11" i="5"/>
  <c r="N11" i="5" s="1"/>
  <c r="H11" i="5"/>
  <c r="M24" i="5"/>
  <c r="L24" i="5"/>
  <c r="K24" i="5"/>
  <c r="I24" i="5"/>
  <c r="N24" i="5" s="1"/>
  <c r="H24" i="5"/>
  <c r="M10" i="5"/>
  <c r="L10" i="5"/>
  <c r="K10" i="5"/>
  <c r="I10" i="5"/>
  <c r="H10" i="5"/>
  <c r="M9" i="5"/>
  <c r="L9" i="5"/>
  <c r="K9" i="5"/>
  <c r="I9" i="5"/>
  <c r="H9" i="5"/>
  <c r="M8" i="5"/>
  <c r="L8" i="5"/>
  <c r="K8" i="5"/>
  <c r="I8" i="5"/>
  <c r="N8" i="5" s="1"/>
  <c r="H8" i="5"/>
  <c r="N8" i="2"/>
  <c r="N22" i="2"/>
  <c r="E22" i="2"/>
  <c r="F22" i="2"/>
  <c r="G22" i="2"/>
  <c r="H22" i="2"/>
  <c r="I22" i="2"/>
  <c r="J22" i="2"/>
  <c r="K22" i="2"/>
  <c r="L22" i="2"/>
  <c r="M22" i="2"/>
  <c r="D22" i="2"/>
  <c r="N14" i="2"/>
  <c r="E14" i="2"/>
  <c r="F14" i="2"/>
  <c r="G14" i="2"/>
  <c r="H14" i="2"/>
  <c r="I14" i="2"/>
  <c r="D14" i="2"/>
  <c r="G10" i="6" l="1"/>
  <c r="I218" i="8"/>
  <c r="L195" i="8"/>
  <c r="K45" i="6"/>
  <c r="J45" i="6"/>
  <c r="I45" i="6" s="1"/>
  <c r="Y45" i="6"/>
  <c r="L217" i="8"/>
  <c r="D218" i="8"/>
  <c r="L214" i="8"/>
  <c r="I10" i="6"/>
  <c r="R8" i="5"/>
  <c r="G13" i="5"/>
  <c r="O10" i="5"/>
  <c r="R10" i="5"/>
  <c r="J26" i="6" s="1"/>
  <c r="O12" i="5"/>
  <c r="R12" i="5"/>
  <c r="J28" i="6" s="1"/>
  <c r="L48" i="7"/>
  <c r="K199" i="8"/>
  <c r="F199" i="8"/>
  <c r="H228" i="8"/>
  <c r="J218" i="8"/>
  <c r="E199" i="8"/>
  <c r="K228" i="8"/>
  <c r="F186" i="8"/>
  <c r="L206" i="8"/>
  <c r="E218" i="8"/>
  <c r="E219" i="8" s="1"/>
  <c r="E223" i="8" s="1"/>
  <c r="G207" i="8"/>
  <c r="L203" i="8"/>
  <c r="F207" i="8"/>
  <c r="G199" i="8"/>
  <c r="G186" i="8"/>
  <c r="J228" i="8"/>
  <c r="I199" i="8"/>
  <c r="H186" i="8"/>
  <c r="L227" i="8"/>
  <c r="L211" i="8"/>
  <c r="I186" i="8"/>
  <c r="G228" i="8"/>
  <c r="H207" i="8"/>
  <c r="F228" i="8"/>
  <c r="K207" i="8"/>
  <c r="L8" i="6"/>
  <c r="L10" i="6" s="1"/>
  <c r="L198" i="8"/>
  <c r="J207" i="8"/>
  <c r="K9" i="6"/>
  <c r="K10" i="6" s="1"/>
  <c r="D207" i="8"/>
  <c r="E9" i="6"/>
  <c r="E10" i="6" s="1"/>
  <c r="E228" i="8"/>
  <c r="I228" i="8"/>
  <c r="E186" i="8"/>
  <c r="D199" i="8"/>
  <c r="I207" i="8"/>
  <c r="J8" i="6"/>
  <c r="J10" i="6" s="1"/>
  <c r="H20" i="6"/>
  <c r="F20" i="6"/>
  <c r="J48" i="7"/>
  <c r="G48" i="7"/>
  <c r="I48" i="7"/>
  <c r="AA40" i="6"/>
  <c r="AA42" i="6" s="1"/>
  <c r="M40" i="6"/>
  <c r="M42" i="6" s="1"/>
  <c r="L192" i="8"/>
  <c r="L226" i="8"/>
  <c r="L71" i="8"/>
  <c r="L183" i="8" s="1"/>
  <c r="L180" i="8"/>
  <c r="L185" i="8" s="1"/>
  <c r="J186" i="8"/>
  <c r="H199" i="8"/>
  <c r="L115" i="8"/>
  <c r="L184" i="8" s="1"/>
  <c r="J199" i="8"/>
  <c r="D186" i="8"/>
  <c r="M48" i="7"/>
  <c r="O48" i="7"/>
  <c r="G27" i="6"/>
  <c r="H27" i="6"/>
  <c r="I27" i="6"/>
  <c r="F48" i="7"/>
  <c r="H48" i="7"/>
  <c r="K48" i="7"/>
  <c r="N48" i="7"/>
  <c r="O11" i="5"/>
  <c r="K27" i="6"/>
  <c r="L27" i="6" s="1"/>
  <c r="M27" i="6" s="1"/>
  <c r="N27" i="6" s="1"/>
  <c r="O27" i="6" s="1"/>
  <c r="P27" i="6" s="1"/>
  <c r="Q27" i="6" s="1"/>
  <c r="R27" i="6" s="1"/>
  <c r="S27" i="6" s="1"/>
  <c r="T27" i="6" s="1"/>
  <c r="U27" i="6" s="1"/>
  <c r="V27" i="6" s="1"/>
  <c r="W27" i="6" s="1"/>
  <c r="X27" i="6" s="1"/>
  <c r="Y27" i="6" s="1"/>
  <c r="Z27" i="6" s="1"/>
  <c r="AA27" i="6" s="1"/>
  <c r="AB27" i="6" s="1"/>
  <c r="AC27" i="6" s="1"/>
  <c r="AD27" i="6" s="1"/>
  <c r="I13" i="5"/>
  <c r="N13" i="5" s="1"/>
  <c r="O13" i="5"/>
  <c r="O24" i="5"/>
  <c r="O8" i="5"/>
  <c r="O10" i="6"/>
  <c r="P45" i="7"/>
  <c r="R45" i="7" s="1"/>
  <c r="R44" i="7"/>
  <c r="D48" i="7"/>
  <c r="R31" i="7"/>
  <c r="P30" i="7"/>
  <c r="R30" i="7" s="1"/>
  <c r="R29" i="7"/>
  <c r="O17" i="5"/>
  <c r="L13" i="5"/>
  <c r="L20" i="5"/>
  <c r="O18" i="5"/>
  <c r="M20" i="5"/>
  <c r="H13" i="5"/>
  <c r="I20" i="5"/>
  <c r="O20" i="5" s="1"/>
  <c r="O15" i="5"/>
  <c r="N10" i="5"/>
  <c r="N16" i="5"/>
  <c r="N26" i="5"/>
  <c r="N19" i="5"/>
  <c r="N9" i="5"/>
  <c r="N12" i="5"/>
  <c r="K13" i="5"/>
  <c r="N15" i="5"/>
  <c r="J6" i="1"/>
  <c r="J7" i="1"/>
  <c r="J8" i="1"/>
  <c r="J9" i="1"/>
  <c r="J10" i="1"/>
  <c r="J11" i="1"/>
  <c r="J5" i="1"/>
  <c r="I8" i="1"/>
  <c r="I9" i="1"/>
  <c r="I10" i="1"/>
  <c r="I11" i="1"/>
  <c r="I7" i="1"/>
  <c r="I6" i="1"/>
  <c r="I5" i="1"/>
  <c r="H11" i="1"/>
  <c r="H8" i="1"/>
  <c r="N6" i="1"/>
  <c r="N7" i="1"/>
  <c r="N8" i="1"/>
  <c r="N9" i="1"/>
  <c r="N10" i="1"/>
  <c r="N11" i="1"/>
  <c r="N5" i="1"/>
  <c r="M5" i="1"/>
  <c r="N21" i="2"/>
  <c r="M21" i="2"/>
  <c r="N20" i="2"/>
  <c r="M20" i="2"/>
  <c r="N19" i="2"/>
  <c r="M19" i="2"/>
  <c r="N18" i="2"/>
  <c r="M18" i="2"/>
  <c r="N17" i="2"/>
  <c r="M17" i="2"/>
  <c r="N16" i="2"/>
  <c r="M16" i="2"/>
  <c r="N9" i="2"/>
  <c r="N10" i="2"/>
  <c r="N11" i="2"/>
  <c r="N12" i="2"/>
  <c r="N13" i="2"/>
  <c r="M9" i="2"/>
  <c r="M10" i="2"/>
  <c r="M11" i="2"/>
  <c r="M12" i="2"/>
  <c r="M13" i="2"/>
  <c r="M14" i="2"/>
  <c r="L9" i="2"/>
  <c r="L10" i="2"/>
  <c r="L11" i="2"/>
  <c r="L12" i="2"/>
  <c r="L13" i="2"/>
  <c r="L14" i="2"/>
  <c r="M8" i="2"/>
  <c r="L8" i="2"/>
  <c r="K11" i="2"/>
  <c r="K21" i="2"/>
  <c r="K20" i="2"/>
  <c r="K19" i="2"/>
  <c r="K18" i="2"/>
  <c r="K17" i="2"/>
  <c r="K16" i="2"/>
  <c r="K9" i="2"/>
  <c r="K10" i="2"/>
  <c r="K12" i="2"/>
  <c r="K13" i="2"/>
  <c r="K14" i="2"/>
  <c r="K8" i="2"/>
  <c r="L21" i="2"/>
  <c r="L20" i="2"/>
  <c r="L19" i="2"/>
  <c r="L18" i="2"/>
  <c r="L17" i="2"/>
  <c r="L16" i="2"/>
  <c r="H21" i="2"/>
  <c r="H20" i="2"/>
  <c r="H19" i="2"/>
  <c r="H18" i="2"/>
  <c r="H17" i="2"/>
  <c r="H16" i="2"/>
  <c r="J21" i="2"/>
  <c r="J20" i="2"/>
  <c r="J19" i="2"/>
  <c r="J18" i="2"/>
  <c r="J17" i="2"/>
  <c r="J16" i="2"/>
  <c r="J9" i="2"/>
  <c r="J10" i="2"/>
  <c r="J11" i="2"/>
  <c r="J12" i="2"/>
  <c r="J13" i="2"/>
  <c r="J14" i="2"/>
  <c r="J8" i="2"/>
  <c r="H9" i="2"/>
  <c r="H10" i="2"/>
  <c r="H11" i="2"/>
  <c r="H12" i="2"/>
  <c r="H13" i="2"/>
  <c r="H8" i="2"/>
  <c r="G9" i="2"/>
  <c r="G10" i="2"/>
  <c r="G11" i="2"/>
  <c r="G12" i="2"/>
  <c r="G13" i="2"/>
  <c r="G8" i="2"/>
  <c r="F8" i="1"/>
  <c r="G6" i="1"/>
  <c r="G7" i="1"/>
  <c r="G8" i="1"/>
  <c r="G9" i="1"/>
  <c r="G10" i="1"/>
  <c r="E11" i="1"/>
  <c r="F11" i="1"/>
  <c r="G11" i="1" s="1"/>
  <c r="D11" i="1"/>
  <c r="F219" i="8" l="1"/>
  <c r="J20" i="6"/>
  <c r="K20" i="6"/>
  <c r="H45" i="6"/>
  <c r="Z45" i="6"/>
  <c r="L218" i="8"/>
  <c r="N218" i="8" s="1"/>
  <c r="K219" i="8"/>
  <c r="K223" i="8" s="1"/>
  <c r="G219" i="8"/>
  <c r="G223" i="8" s="1"/>
  <c r="H26" i="6"/>
  <c r="I26" i="6"/>
  <c r="G26" i="6"/>
  <c r="K26" i="6"/>
  <c r="L26" i="6" s="1"/>
  <c r="M26" i="6" s="1"/>
  <c r="N26" i="6" s="1"/>
  <c r="O26" i="6" s="1"/>
  <c r="P26" i="6" s="1"/>
  <c r="Q26" i="6" s="1"/>
  <c r="R26" i="6" s="1"/>
  <c r="S26" i="6" s="1"/>
  <c r="T26" i="6" s="1"/>
  <c r="U26" i="6" s="1"/>
  <c r="V26" i="6" s="1"/>
  <c r="W26" i="6" s="1"/>
  <c r="X26" i="6" s="1"/>
  <c r="Y26" i="6" s="1"/>
  <c r="Z26" i="6" s="1"/>
  <c r="AA26" i="6" s="1"/>
  <c r="AB26" i="6" s="1"/>
  <c r="AC26" i="6" s="1"/>
  <c r="AD26" i="6" s="1"/>
  <c r="G28" i="6"/>
  <c r="H28" i="6"/>
  <c r="I28" i="6"/>
  <c r="K28" i="6"/>
  <c r="L28" i="6" s="1"/>
  <c r="M28" i="6" s="1"/>
  <c r="N28" i="6" s="1"/>
  <c r="O28" i="6" s="1"/>
  <c r="P28" i="6" s="1"/>
  <c r="Q28" i="6" s="1"/>
  <c r="R28" i="6" s="1"/>
  <c r="S28" i="6" s="1"/>
  <c r="T28" i="6" s="1"/>
  <c r="U28" i="6" s="1"/>
  <c r="V28" i="6" s="1"/>
  <c r="W28" i="6" s="1"/>
  <c r="X28" i="6" s="1"/>
  <c r="Y28" i="6" s="1"/>
  <c r="Z28" i="6" s="1"/>
  <c r="AA28" i="6" s="1"/>
  <c r="AB28" i="6" s="1"/>
  <c r="AC28" i="6" s="1"/>
  <c r="AD28" i="6" s="1"/>
  <c r="R13" i="5"/>
  <c r="J24" i="6"/>
  <c r="H219" i="8"/>
  <c r="H223" i="8" s="1"/>
  <c r="I219" i="8"/>
  <c r="I223" i="8" s="1"/>
  <c r="L207" i="8"/>
  <c r="N207" i="8" s="1"/>
  <c r="F223" i="8"/>
  <c r="C10" i="6"/>
  <c r="J219" i="8"/>
  <c r="J223" i="8" s="1"/>
  <c r="L199" i="8"/>
  <c r="D219" i="8"/>
  <c r="D223" i="8" s="1"/>
  <c r="E20" i="6"/>
  <c r="L20" i="6"/>
  <c r="N40" i="6"/>
  <c r="N42" i="6" s="1"/>
  <c r="AB40" i="6"/>
  <c r="AB42" i="6" s="1"/>
  <c r="L186" i="8"/>
  <c r="L228" i="8"/>
  <c r="G25" i="6"/>
  <c r="H25" i="6"/>
  <c r="I25" i="6"/>
  <c r="K25" i="6"/>
  <c r="L25" i="6" s="1"/>
  <c r="P10" i="6"/>
  <c r="G20" i="6"/>
  <c r="P46" i="7"/>
  <c r="P48" i="7"/>
  <c r="L46" i="7"/>
  <c r="K46" i="7"/>
  <c r="O46" i="7"/>
  <c r="I46" i="7"/>
  <c r="H46" i="7"/>
  <c r="N46" i="7"/>
  <c r="J46" i="7"/>
  <c r="M46" i="7"/>
  <c r="I20" i="6"/>
  <c r="F25" i="6"/>
  <c r="F24" i="6"/>
  <c r="N20" i="5"/>
  <c r="E49" i="6" l="1"/>
  <c r="AA45" i="6"/>
  <c r="L219" i="8"/>
  <c r="N219" i="8" s="1"/>
  <c r="N199" i="8"/>
  <c r="G24" i="6"/>
  <c r="G29" i="6" s="1"/>
  <c r="G31" i="6" s="1"/>
  <c r="H24" i="6"/>
  <c r="H29" i="6" s="1"/>
  <c r="H31" i="6" s="1"/>
  <c r="K24" i="6"/>
  <c r="L24" i="6" s="1"/>
  <c r="M24" i="6" s="1"/>
  <c r="N24" i="6" s="1"/>
  <c r="O24" i="6" s="1"/>
  <c r="P24" i="6" s="1"/>
  <c r="Q24" i="6" s="1"/>
  <c r="R24" i="6" s="1"/>
  <c r="S24" i="6" s="1"/>
  <c r="T24" i="6" s="1"/>
  <c r="U24" i="6" s="1"/>
  <c r="V24" i="6" s="1"/>
  <c r="W24" i="6" s="1"/>
  <c r="X24" i="6" s="1"/>
  <c r="Y24" i="6" s="1"/>
  <c r="Z24" i="6" s="1"/>
  <c r="AA24" i="6" s="1"/>
  <c r="AB24" i="6" s="1"/>
  <c r="AC24" i="6" s="1"/>
  <c r="AD24" i="6" s="1"/>
  <c r="I24" i="6"/>
  <c r="I29" i="6" s="1"/>
  <c r="I31" i="6" s="1"/>
  <c r="J29" i="6"/>
  <c r="J31" i="6" s="1"/>
  <c r="AC40" i="6"/>
  <c r="AC42" i="6" s="1"/>
  <c r="AD40" i="6"/>
  <c r="AD42" i="6" s="1"/>
  <c r="O40" i="6"/>
  <c r="O42" i="6" s="1"/>
  <c r="M228" i="8"/>
  <c r="M227" i="8"/>
  <c r="M226" i="8"/>
  <c r="M25" i="6"/>
  <c r="Q10" i="6"/>
  <c r="F26" i="6"/>
  <c r="K29" i="6" l="1"/>
  <c r="K31" i="6" s="1"/>
  <c r="K47" i="6" s="1"/>
  <c r="K49" i="6" s="1"/>
  <c r="L223" i="8"/>
  <c r="I49" i="6"/>
  <c r="H47" i="6"/>
  <c r="H49" i="6" s="1"/>
  <c r="J47" i="6"/>
  <c r="J49" i="6" s="1"/>
  <c r="G49" i="6"/>
  <c r="AB45" i="6"/>
  <c r="L29" i="6"/>
  <c r="L31" i="6" s="1"/>
  <c r="L47" i="6" s="1"/>
  <c r="L49" i="6" s="1"/>
  <c r="P40" i="6"/>
  <c r="P42" i="6" s="1"/>
  <c r="N25" i="6"/>
  <c r="M29" i="6"/>
  <c r="M31" i="6" s="1"/>
  <c r="M47" i="6" s="1"/>
  <c r="M49" i="6" s="1"/>
  <c r="R10" i="6"/>
  <c r="F29" i="6"/>
  <c r="N20" i="6"/>
  <c r="C52" i="6" l="1"/>
  <c r="AC45" i="6"/>
  <c r="Q40" i="6"/>
  <c r="Q42" i="6" s="1"/>
  <c r="O25" i="6"/>
  <c r="N29" i="6"/>
  <c r="N31" i="6" s="1"/>
  <c r="N47" i="6" s="1"/>
  <c r="N49" i="6" s="1"/>
  <c r="S10" i="6"/>
  <c r="F31" i="6"/>
  <c r="F47" i="6" s="1"/>
  <c r="O20" i="6"/>
  <c r="F49" i="6" l="1"/>
  <c r="AD45" i="6"/>
  <c r="R40" i="6"/>
  <c r="R42" i="6" s="1"/>
  <c r="P25" i="6"/>
  <c r="O29" i="6"/>
  <c r="O31" i="6" s="1"/>
  <c r="O47" i="6" s="1"/>
  <c r="O49" i="6" s="1"/>
  <c r="T10" i="6"/>
  <c r="P20" i="6"/>
  <c r="S40" i="6" l="1"/>
  <c r="S42" i="6" s="1"/>
  <c r="Q25" i="6"/>
  <c r="P29" i="6"/>
  <c r="P31" i="6" s="1"/>
  <c r="P47" i="6" s="1"/>
  <c r="P49" i="6" s="1"/>
  <c r="U10" i="6"/>
  <c r="Q20" i="6"/>
  <c r="T40" i="6" l="1"/>
  <c r="T42" i="6" s="1"/>
  <c r="R25" i="6"/>
  <c r="Q29" i="6"/>
  <c r="Q31" i="6" s="1"/>
  <c r="Q47" i="6" s="1"/>
  <c r="Q49" i="6" s="1"/>
  <c r="V10" i="6"/>
  <c r="R20" i="6"/>
  <c r="U40" i="6" l="1"/>
  <c r="U42" i="6" s="1"/>
  <c r="S25" i="6"/>
  <c r="R29" i="6"/>
  <c r="R31" i="6" s="1"/>
  <c r="R47" i="6" s="1"/>
  <c r="R49" i="6" s="1"/>
  <c r="W10" i="6"/>
  <c r="S20" i="6"/>
  <c r="V40" i="6" l="1"/>
  <c r="V42" i="6" s="1"/>
  <c r="T25" i="6"/>
  <c r="S29" i="6"/>
  <c r="S31" i="6" s="1"/>
  <c r="S47" i="6" s="1"/>
  <c r="S49" i="6" s="1"/>
  <c r="S52" i="6" s="1"/>
  <c r="X10" i="6"/>
  <c r="T20" i="6"/>
  <c r="W40" i="6" l="1"/>
  <c r="W42" i="6" s="1"/>
  <c r="X40" i="6"/>
  <c r="X42" i="6" s="1"/>
  <c r="U25" i="6"/>
  <c r="T29" i="6"/>
  <c r="T31" i="6" s="1"/>
  <c r="T47" i="6" s="1"/>
  <c r="T49" i="6" s="1"/>
  <c r="Y10" i="6"/>
  <c r="Y20" i="6" s="1"/>
  <c r="U20" i="6"/>
  <c r="V25" i="6" l="1"/>
  <c r="U29" i="6"/>
  <c r="U31" i="6" s="1"/>
  <c r="U47" i="6" s="1"/>
  <c r="U49" i="6" s="1"/>
  <c r="Z10" i="6"/>
  <c r="Z20" i="6" s="1"/>
  <c r="V20" i="6"/>
  <c r="W25" i="6" l="1"/>
  <c r="V29" i="6"/>
  <c r="V31" i="6" s="1"/>
  <c r="V47" i="6" s="1"/>
  <c r="V49" i="6" s="1"/>
  <c r="AA10" i="6"/>
  <c r="AA20" i="6" s="1"/>
  <c r="W20" i="6"/>
  <c r="X20" i="6"/>
  <c r="X25" i="6" l="1"/>
  <c r="W29" i="6"/>
  <c r="W31" i="6" s="1"/>
  <c r="W47" i="6" s="1"/>
  <c r="W49" i="6" s="1"/>
  <c r="AB10" i="6"/>
  <c r="AB20" i="6" s="1"/>
  <c r="Y25" i="6" l="1"/>
  <c r="X29" i="6"/>
  <c r="X31" i="6" s="1"/>
  <c r="X47" i="6" s="1"/>
  <c r="X49" i="6" s="1"/>
  <c r="AC10" i="6"/>
  <c r="AC20" i="6" s="1"/>
  <c r="C45" i="7"/>
  <c r="Z25" i="6" l="1"/>
  <c r="Y29" i="6"/>
  <c r="Y31" i="6" s="1"/>
  <c r="Y47" i="6" s="1"/>
  <c r="Y49" i="6" s="1"/>
  <c r="AD10" i="6"/>
  <c r="AD20" i="6" s="1"/>
  <c r="C49" i="7"/>
  <c r="C48" i="7"/>
  <c r="Q45" i="7"/>
  <c r="AA25" i="6" l="1"/>
  <c r="Z29" i="6"/>
  <c r="Z31" i="6" s="1"/>
  <c r="Z47" i="6" s="1"/>
  <c r="Z49" i="6" s="1"/>
  <c r="AB25" i="6" l="1"/>
  <c r="AA29" i="6"/>
  <c r="AA31" i="6" s="1"/>
  <c r="AA47" i="6" s="1"/>
  <c r="AA49" i="6" s="1"/>
  <c r="AC25" i="6" l="1"/>
  <c r="AB29" i="6"/>
  <c r="AB31" i="6" s="1"/>
  <c r="AB47" i="6" s="1"/>
  <c r="AB49" i="6" s="1"/>
  <c r="AD25" i="6" l="1"/>
  <c r="AD29" i="6" s="1"/>
  <c r="AD31" i="6" s="1"/>
  <c r="AD47" i="6" s="1"/>
  <c r="AC29" i="6"/>
  <c r="AC31" i="6" s="1"/>
  <c r="AC47" i="6" s="1"/>
  <c r="AC49" i="6" s="1"/>
  <c r="C51" i="6" s="1"/>
  <c r="E9" i="11" s="1"/>
  <c r="AD49" i="6" l="1"/>
  <c r="F9" i="11" s="1"/>
  <c r="H9" i="11"/>
  <c r="AE47" i="6"/>
  <c r="C61" i="6" l="1"/>
  <c r="C62" i="6"/>
  <c r="J9" i="11" s="1"/>
  <c r="AE49" i="6"/>
  <c r="F52" i="6" l="1"/>
</calcChain>
</file>

<file path=xl/sharedStrings.xml><?xml version="1.0" encoding="utf-8"?>
<sst xmlns="http://schemas.openxmlformats.org/spreadsheetml/2006/main" count="680" uniqueCount="302">
  <si>
    <t>ECONOMIC ANALYSIS OF BYCATCH PROGRAMME</t>
  </si>
  <si>
    <t>USD'000</t>
  </si>
  <si>
    <t>Item</t>
  </si>
  <si>
    <t>Unit</t>
  </si>
  <si>
    <t>Yr 1</t>
  </si>
  <si>
    <t>Yr 2</t>
  </si>
  <si>
    <t>Yr 3</t>
  </si>
  <si>
    <t>Yr 4</t>
  </si>
  <si>
    <t>Yr 5</t>
  </si>
  <si>
    <t>Yr 6</t>
  </si>
  <si>
    <t>Yr 7</t>
  </si>
  <si>
    <t>Yr 8</t>
  </si>
  <si>
    <t>Yr 9</t>
  </si>
  <si>
    <t>Yr 10….</t>
  </si>
  <si>
    <t>Yr 11</t>
  </si>
  <si>
    <t>Yr 12</t>
  </si>
  <si>
    <t>Yr 13</t>
  </si>
  <si>
    <t>Yr 14</t>
  </si>
  <si>
    <t>Yr 15</t>
  </si>
  <si>
    <t>Yr 16</t>
  </si>
  <si>
    <t>Yr 17</t>
  </si>
  <si>
    <t>Yr 18</t>
  </si>
  <si>
    <t>Yr 19</t>
  </si>
  <si>
    <t>Yr 20</t>
  </si>
  <si>
    <t>Yr 21</t>
  </si>
  <si>
    <t>Yr 22</t>
  </si>
  <si>
    <t>Yr 23</t>
  </si>
  <si>
    <t>Yr 24</t>
  </si>
  <si>
    <t>Yr 25</t>
  </si>
  <si>
    <t>Yr 26</t>
  </si>
  <si>
    <t>INVESTMENT COSTS</t>
  </si>
  <si>
    <t>1. Output 2 Increased Supply of Bycatch</t>
  </si>
  <si>
    <t>Total</t>
  </si>
  <si>
    <t>Other National Private Sector Capital Costs</t>
  </si>
  <si>
    <t>FSM</t>
  </si>
  <si>
    <t>$'000</t>
  </si>
  <si>
    <t>Kiribati</t>
  </si>
  <si>
    <t xml:space="preserve">    '"</t>
  </si>
  <si>
    <t>Marshall Is</t>
  </si>
  <si>
    <t>Solomon Is</t>
  </si>
  <si>
    <t>Tuvalu</t>
  </si>
  <si>
    <t>Total Private Sector Costs</t>
  </si>
  <si>
    <t>TOTAL COSTS</t>
  </si>
  <si>
    <t>BENEFITS</t>
  </si>
  <si>
    <t>Yr infln %</t>
  </si>
  <si>
    <t>ton/yr</t>
  </si>
  <si>
    <t>Total Bycatch</t>
  </si>
  <si>
    <t>Value of Bycatch</t>
  </si>
  <si>
    <t>$/kg</t>
  </si>
  <si>
    <t>Net selling price less cost of procurement of Bycatch</t>
  </si>
  <si>
    <t>Existing Bycatch supply</t>
  </si>
  <si>
    <t>Value of Improve Bycatch Quality</t>
  </si>
  <si>
    <t>$1.0/kg</t>
  </si>
  <si>
    <t>TOTAL BYCATCH  BENEFITS</t>
  </si>
  <si>
    <t>NET CASH FLOW</t>
  </si>
  <si>
    <t>EIRR</t>
  </si>
  <si>
    <t>ENPV @ 9%</t>
  </si>
  <si>
    <t>Sensitivity</t>
  </si>
  <si>
    <t>Fish value  +20%</t>
  </si>
  <si>
    <t>PV Costs @ 9%</t>
  </si>
  <si>
    <t>NPV</t>
  </si>
  <si>
    <t>GFC Programme Budget March 2024</t>
  </si>
  <si>
    <t>Output</t>
  </si>
  <si>
    <t>Financing Source</t>
  </si>
  <si>
    <t>Amount Year 1 (USD)</t>
  </si>
  <si>
    <t>Amount Year 2 (USD)</t>
  </si>
  <si>
    <t>Amount Year 3 (USD)</t>
  </si>
  <si>
    <t>Amount Year 4 (USD)</t>
  </si>
  <si>
    <t>Amount Year 5 (USD)</t>
  </si>
  <si>
    <t>Amount Year 6 (USD)</t>
  </si>
  <si>
    <t>Amount Year 7 (USD)</t>
  </si>
  <si>
    <t>Amount Year 8 (USD)</t>
  </si>
  <si>
    <t>Total (USD)</t>
  </si>
  <si>
    <t>OUTPUT 1</t>
  </si>
  <si>
    <t>Activity 1.1: Provide technical and logistical support to strengthen National FAD programmes.</t>
  </si>
  <si>
    <t>SPC</t>
  </si>
  <si>
    <t>Partners</t>
  </si>
  <si>
    <t>additional funding for reserve FADs for Samoa and Tonga</t>
  </si>
  <si>
    <t>Total 1.1</t>
  </si>
  <si>
    <t xml:space="preserve">Activity 1.2: Augment national safety-at-sea initiatives </t>
  </si>
  <si>
    <t>Total 1.2</t>
  </si>
  <si>
    <t>Activity 1.3: Strengthen post-harvest practices and improve market opportunities for FAD-caught fish</t>
  </si>
  <si>
    <t>Total 1.3</t>
  </si>
  <si>
    <t>Total Output 1</t>
  </si>
  <si>
    <t>OUTPUT  2</t>
  </si>
  <si>
    <t>Activity 2.1: Implement strategies to deliver more transshipped and unloaded bycatch and tuna to urban/peri-urban communities</t>
  </si>
  <si>
    <t>Total  2.1</t>
  </si>
  <si>
    <t>Activity 2.2: Strengthen/develop post-harvest practices and improve market opportunities to distribute bycatch and tuna from transhipping and unloading operations to urban communities</t>
  </si>
  <si>
    <t>Total  2.2</t>
  </si>
  <si>
    <t>Ray to add total here for 2.2</t>
  </si>
  <si>
    <t>Total Output 2</t>
  </si>
  <si>
    <t>OUTPUT 3</t>
  </si>
  <si>
    <t xml:space="preserve">Activity 3.1: Develop and deliver an Advanced Warning System (AWS) for tuna redistribution. </t>
  </si>
  <si>
    <t>Total  3.1</t>
  </si>
  <si>
    <t>Ray to add total here for 3.1</t>
  </si>
  <si>
    <t>Activity 3.2: Assess the impact of tuna biomass redistribution on national economies</t>
  </si>
  <si>
    <t>Total  3.2</t>
  </si>
  <si>
    <t>Ray to add total here for 3.2</t>
  </si>
  <si>
    <t>Activity 3.3: Provide AWS-related training to national institutions to engage in negotiations relating to impacts of climate change on tuna</t>
  </si>
  <si>
    <t>Total  3.3</t>
  </si>
  <si>
    <t>Ray to add total here for 3.3</t>
  </si>
  <si>
    <t>Total Output 3</t>
  </si>
  <si>
    <t>Total All</t>
  </si>
  <si>
    <t>OUTPUTS</t>
  </si>
  <si>
    <t>Year 1</t>
  </si>
  <si>
    <t>Year 2</t>
  </si>
  <si>
    <t>Year 3</t>
  </si>
  <si>
    <t>Year 4</t>
  </si>
  <si>
    <t>Year 5</t>
  </si>
  <si>
    <t>Year 6</t>
  </si>
  <si>
    <t>Year 7</t>
  </si>
  <si>
    <t>Year 8</t>
  </si>
  <si>
    <t>Activity 1.1 FADs</t>
  </si>
  <si>
    <t>Reg</t>
  </si>
  <si>
    <t>Nat</t>
  </si>
  <si>
    <t>Activity 1.2 Sea Safety</t>
  </si>
  <si>
    <t>Activity 1.3 Fish Processing</t>
  </si>
  <si>
    <t>Total OUTPUT 1</t>
  </si>
  <si>
    <t>OUTPUT 2</t>
  </si>
  <si>
    <t>Activity 2.1 Increase Bycatch</t>
  </si>
  <si>
    <t>Activity 2.2 Post Harvest Support</t>
  </si>
  <si>
    <t>Total OUTPUT 2</t>
  </si>
  <si>
    <t>Activity 3.1 Develop AWS</t>
  </si>
  <si>
    <t>Activity 3.2  Apply AWS</t>
  </si>
  <si>
    <t>Activity 3.3  AWS Training</t>
  </si>
  <si>
    <t>Total OUTPUT 3</t>
  </si>
  <si>
    <t>TOTAL ALL</t>
  </si>
  <si>
    <t>% of Total</t>
  </si>
  <si>
    <t>Total Regional Programe</t>
  </si>
  <si>
    <t>Total National Programme</t>
  </si>
  <si>
    <t xml:space="preserve">Summary of Component A Costs </t>
  </si>
  <si>
    <t xml:space="preserve">Activity </t>
  </si>
  <si>
    <t>Total Activity 1.1</t>
  </si>
  <si>
    <t>Total Activity 1.2</t>
  </si>
  <si>
    <t>TOTAL FOR FAD, SAFETY-AT-SEA, &amp; POST-HARVEST  PROGRAMME</t>
  </si>
  <si>
    <t>BYCATCH/ TRANSHIPPMENT PROGRAMME</t>
  </si>
  <si>
    <t>Total Activity 2.1</t>
  </si>
  <si>
    <t>Total Activity 2.2</t>
  </si>
  <si>
    <t>TOTAL BYCATCH/ TRANSHIPPMENT PROGRAMME</t>
  </si>
  <si>
    <t>GRAND TOTAL</t>
  </si>
  <si>
    <t>Country</t>
  </si>
  <si>
    <t>No. beneficiaries in 2030</t>
  </si>
  <si>
    <t>Bycatch landings- present-day (mt)</t>
  </si>
  <si>
    <t>Bycatch landings 2030 (mt)*</t>
  </si>
  <si>
    <t>% increase to 2030</t>
  </si>
  <si>
    <t>Total number of fish meals per year**</t>
  </si>
  <si>
    <t>No. fish meals per person per year</t>
  </si>
  <si>
    <t>No. fish meals per person per month</t>
  </si>
  <si>
    <t>PNG</t>
  </si>
  <si>
    <t xml:space="preserve">*Based on the expectation that the activities of the programme will increase landings of bycatch by 50% by 2030; ** Based on four fish meals of 150 g per kg of fish, with a recovery rate of fish flesh of ~60%. </t>
  </si>
  <si>
    <t>Table 5: Estimated tonnes of fish needed to meet the recommended protein requirements of urban or peri-urban populations in key port countries in 2030 and 2050. See Annex 4 for details of how these estimates were made.</t>
  </si>
  <si>
    <t>Estimated population in urban and peri-urban areas*</t>
  </si>
  <si>
    <t>Transhippment and landings (MT)</t>
  </si>
  <si>
    <t>Current landings of bycatch (MT)**</t>
  </si>
  <si>
    <t>Current landings of bycatch % of transhippment and landings(MT)</t>
  </si>
  <si>
    <t>Potential bycatch landings 1% (MT)</t>
  </si>
  <si>
    <t>Fish needed for protein requirements (MT)</t>
  </si>
  <si>
    <t>Fish needed per capita per year</t>
  </si>
  <si>
    <t>% of fish requirements supplied by bycatch</t>
  </si>
  <si>
    <t>Gap in fish supply current (MT)</t>
  </si>
  <si>
    <t>Gap in fish supply 2050 with 1% bycatch(MT)</t>
  </si>
  <si>
    <t>% of fish requirements supplied by 1% bycatch</t>
  </si>
  <si>
    <t>Marshall Is.</t>
  </si>
  <si>
    <t>Solomon Is.</t>
  </si>
  <si>
    <t>projected volume</t>
  </si>
  <si>
    <r>
      <t xml:space="preserve">Table 14. Fish needed (MT) in </t>
    </r>
    <r>
      <rPr>
        <b/>
        <i/>
        <sz val="10"/>
        <color rgb="FF1F3864"/>
        <rFont val="Calibri"/>
        <family val="2"/>
        <scheme val="minor"/>
      </rPr>
      <t>2030</t>
    </r>
    <r>
      <rPr>
        <i/>
        <sz val="10"/>
        <color rgb="FF1F3864"/>
        <rFont val="Calibri"/>
        <family val="2"/>
        <scheme val="minor"/>
      </rPr>
      <t xml:space="preserve"> to meet the recommended protein requirements of urban populations in Pacific Island countries actively involved in transhipping operations for the purse-seine fishery</t>
    </r>
    <r>
      <rPr>
        <i/>
        <sz val="9"/>
        <color rgb="FF1F3864"/>
        <rFont val="Calibri"/>
        <family val="2"/>
        <scheme val="minor"/>
      </rPr>
      <t>.</t>
    </r>
  </si>
  <si>
    <t>Urban population</t>
  </si>
  <si>
    <t>%  men</t>
  </si>
  <si>
    <t>% women</t>
  </si>
  <si>
    <t xml:space="preserve"> %  child</t>
  </si>
  <si>
    <t>No.     men in urban popn.</t>
  </si>
  <si>
    <t>No. women in urban popn.</t>
  </si>
  <si>
    <t>No.   children in urban popn.</t>
  </si>
  <si>
    <t>Mean weight men       (kg)</t>
  </si>
  <si>
    <t>Mean weight women   (kg)</t>
  </si>
  <si>
    <t>Mean weight child     (kg)</t>
  </si>
  <si>
    <t>Total weight urban popn. (kg)</t>
  </si>
  <si>
    <t>Protein  needed (g) by urban popn. per day @  0.7 g per kg [4]</t>
  </si>
  <si>
    <t xml:space="preserve">Protein needed (g) from fish per day @ 50% </t>
  </si>
  <si>
    <t>Fish needed (kg) per day @ 23% protein</t>
  </si>
  <si>
    <t>Gross weight of fish (kg) needed per day @ 60% recovery</t>
  </si>
  <si>
    <t xml:space="preserve">Fish needed (MT) per year </t>
  </si>
  <si>
    <t>[1]</t>
  </si>
  <si>
    <t>[2]</t>
  </si>
  <si>
    <t>[3]</t>
  </si>
  <si>
    <t>[5]</t>
  </si>
  <si>
    <t>[6]</t>
  </si>
  <si>
    <t>[7]</t>
  </si>
  <si>
    <t xml:space="preserve">1.       Source: https://stats.pacificdata.org/ </t>
  </si>
  <si>
    <r>
      <t>2.</t>
    </r>
    <r>
      <rPr>
        <sz val="7"/>
        <color theme="1"/>
        <rFont val="Times New Roman"/>
        <family val="1"/>
      </rPr>
      <t xml:space="preserve">       </t>
    </r>
    <r>
      <rPr>
        <sz val="9"/>
        <color theme="1"/>
        <rFont val="Calibri"/>
        <family val="2"/>
        <scheme val="minor"/>
      </rPr>
      <t>From Technical Study 2 for the GCF Regional Tuna Programme by T. Brewer et al., University of Wollongong, and makes the assumption that the percentages in urban area are the same as the national percentages.</t>
    </r>
  </si>
  <si>
    <t>3.       Source: NCD RisC database (https://www.ncdrisc.org/data-downloads.html). Body weight data were not available so this was calculated as Weight (kg) = Height(m)2 * BMI. This approach to estimating average body weight has been used to be consistent with Technical Study 2 for the GCF Regional Tuna Programme by T. Brewer et al., University of Wollongong.</t>
  </si>
  <si>
    <r>
      <t>4.</t>
    </r>
    <r>
      <rPr>
        <sz val="7"/>
        <color theme="1"/>
        <rFont val="Times New Roman"/>
        <family val="1"/>
      </rPr>
      <t xml:space="preserve">       </t>
    </r>
    <r>
      <rPr>
        <sz val="9"/>
        <color theme="1"/>
        <rFont val="Calibri"/>
        <family val="2"/>
        <scheme val="minor"/>
      </rPr>
      <t>FAO/WHO/UN. Energy and protein requirements. Report of the joint FAO/ WHO/UNU Expert Consultation. WHO Technical Report Series 724, 1985. /</t>
    </r>
    <r>
      <rPr>
        <sz val="9"/>
        <color rgb="FF000065"/>
        <rFont val="Calibri"/>
        <family val="2"/>
        <scheme val="minor"/>
      </rPr>
      <t>http://www.fao.org/DOCREP/003/AA040E/AA040E00.HTM</t>
    </r>
    <r>
      <rPr>
        <sz val="9"/>
        <color theme="1"/>
        <rFont val="Calibri"/>
        <family val="2"/>
        <scheme val="minor"/>
      </rPr>
      <t>S.</t>
    </r>
  </si>
  <si>
    <t>5.       SPC (2008). Fish and Food Security. SPC Policy Brief 1/2008 https://pacificdata.org/data/dataset/oai-www-spc-int-ced24e95-7e0a-401a-9f0b-d79316c49cb0</t>
  </si>
  <si>
    <r>
      <t>6.</t>
    </r>
    <r>
      <rPr>
        <sz val="7"/>
        <color theme="1"/>
        <rFont val="Times New Roman"/>
        <family val="1"/>
      </rPr>
      <t xml:space="preserve">       </t>
    </r>
    <r>
      <rPr>
        <sz val="9"/>
        <color theme="1"/>
        <rFont val="Calibri"/>
        <family val="2"/>
        <scheme val="minor"/>
      </rPr>
      <t>From Technical Study 2 for the GCF Regional Tuna Programme by T. Brewer et al., University of Wollongong</t>
    </r>
  </si>
  <si>
    <r>
      <t>7.</t>
    </r>
    <r>
      <rPr>
        <sz val="7"/>
        <color theme="1"/>
        <rFont val="Times New Roman"/>
        <family val="1"/>
      </rPr>
      <t xml:space="preserve">       </t>
    </r>
    <r>
      <rPr>
        <sz val="9"/>
        <color theme="1"/>
        <rFont val="Calibri"/>
        <family val="2"/>
        <scheme val="minor"/>
      </rPr>
      <t xml:space="preserve">Based on the average percentage recovery of edible fish flesh per kg from a broad range of reef fish and tuna. </t>
    </r>
  </si>
  <si>
    <r>
      <t xml:space="preserve">Table 15. Fish needed (MT) in </t>
    </r>
    <r>
      <rPr>
        <b/>
        <i/>
        <sz val="10"/>
        <color rgb="FF1F3864"/>
        <rFont val="Calibri"/>
        <family val="2"/>
        <scheme val="minor"/>
      </rPr>
      <t>2050</t>
    </r>
    <r>
      <rPr>
        <i/>
        <sz val="10"/>
        <color rgb="FF1F3864"/>
        <rFont val="Calibri"/>
        <family val="2"/>
        <scheme val="minor"/>
      </rPr>
      <t xml:space="preserve"> to meet the recommended protein requirements of urban populations in Pacific Island countries actively involved in transhipping operations for the purse-seine fishery.</t>
    </r>
  </si>
  <si>
    <r>
      <t>6.</t>
    </r>
    <r>
      <rPr>
        <sz val="7"/>
        <color theme="1"/>
        <rFont val="Times New Roman"/>
        <family val="1"/>
      </rPr>
      <t xml:space="preserve">       </t>
    </r>
    <r>
      <rPr>
        <sz val="9"/>
        <color theme="1"/>
        <rFont val="Calibri"/>
        <family val="2"/>
        <scheme val="minor"/>
      </rPr>
      <t>From Technical Study 2 for the GCF Regional Tuna Programme by T. Brewer et al., University of Wollongong.</t>
    </r>
  </si>
  <si>
    <t>50% increase in bycatch 2030</t>
  </si>
  <si>
    <t>Icremental bycatch in 2030 MT/yr</t>
  </si>
  <si>
    <t>Reduction  of wasteage in existing Supply of  Bycatch</t>
  </si>
  <si>
    <t>Excel Sheet reference</t>
  </si>
  <si>
    <t>GCF Investment Costs</t>
  </si>
  <si>
    <t>-</t>
  </si>
  <si>
    <t>GFC Costs</t>
  </si>
  <si>
    <t>"</t>
  </si>
  <si>
    <t>Economic Analysis</t>
  </si>
  <si>
    <t>Costs</t>
  </si>
  <si>
    <t>economic costs assumed to be the same as financial costs with no allowance for taxes, duties and shadow price of labour</t>
  </si>
  <si>
    <t>Benefits</t>
  </si>
  <si>
    <t>ASSUMPTIONS AND METHODOLOGY for BYCATCH PROGRAMME (OUTPUT 2)</t>
  </si>
  <si>
    <t xml:space="preserve">Other National Private Sector Capital Costs </t>
  </si>
  <si>
    <t>BYCATCH economic analysis</t>
  </si>
  <si>
    <t>Increase in Bycatch and reduction in wastage assumed to buildup over four years</t>
  </si>
  <si>
    <t>Economic Analysis of Bycatch Programme</t>
  </si>
  <si>
    <t>Bycatch +50%</t>
  </si>
  <si>
    <r>
      <t>The incremental economic benefit by 2030 from the increased supply of bycatch for consumption by urban and peri-urban communities in the five countries where Activities 2.1 and 2.2 will be implemented is based not only on increasing the total volume of bycatch by 50% but also on actions to help prevent the current waste of an estimated 30% of existing bycatch due to poor handling and storage, resulting in spoiled fish unfit for human consumption</t>
    </r>
    <r>
      <rPr>
        <sz val="11"/>
        <color rgb="FFFF0000"/>
        <rFont val="Calibri"/>
        <family val="2"/>
      </rPr>
      <t xml:space="preserve"> </t>
    </r>
  </si>
  <si>
    <t>The net value of the bycatch is assumed to be USD 1.0 per kg, allowing for procurement cost. For the sensitivity analysis a higher value is used to reflect the opportunity cost of replacing more expensive local coastal fish and imported fish.</t>
  </si>
  <si>
    <t>The impacts on government expenditure needed to improve the distribution of bycatch following the completion of the Programme are likely to be minimal because the role of government is limited to providing ongoing support for this initiative through its regulatory function. Specifically, the role of the government is to promote access to an increased volume of bycatch from transhipping and unloading operations, and to monitor and enforce food quality standards. The private sector will be responsible for the collection, distribution and selling of bycatch to consumers</t>
  </si>
  <si>
    <t>The EIRR is estimated to be 6.0% with a ENPV of -USD2.24 million at a discount rate of 9%. The economic performance is relatively low as the investment costs are high at over USD15 million, resulting in an increased supply of bycatch of 1,311 t in 2030 as a result of the Programme. The cashflow is negative for the six years of the 7-year implementation period spread across 8 years.</t>
  </si>
  <si>
    <t>The results of a sensitivity analysis testing the impact of changes in the main assumption are shown in folllowing table. To achieve an EIRR of 9% costs would have to decrease by 20% to USD2.4 million, or alternatively the selling price of fish would have to increase by 26% to USD1.26/kg.</t>
  </si>
  <si>
    <t>Bycatch Economic Analysis</t>
  </si>
  <si>
    <t>million</t>
  </si>
  <si>
    <t>total investment cost of $15.748 million  from GFC programme costs prepared by SPC, expressed in USD and including an allowance for contingencies and project management</t>
  </si>
  <si>
    <t xml:space="preserve">allowance for additional costs for national private sector investment to support the Bycatch procurement, distribution and marketing costs </t>
  </si>
  <si>
    <t xml:space="preserve"> economic analysis for Bycatch Programmes</t>
  </si>
  <si>
    <t>Summary of EA</t>
  </si>
  <si>
    <t>Increase in Bycatch landings at the five PICs where transhippmemnt of tuna from the commercial fishery occurs with potential for increased supply of Bycatch for local consumption</t>
  </si>
  <si>
    <t>Net value of incremental supply of Bycatch valued at US$1.0 per kg allowing for procurement, distribution and marketing costs.</t>
  </si>
  <si>
    <t>Reduction in wasteage from the existing supply of Bycatch of 30% due to  improved handling, storage, and processing valued at US$1.0 per kg</t>
  </si>
  <si>
    <t>implementation period for Programme costs over eight years for five countries participating in the Bycatch activity</t>
  </si>
  <si>
    <t>cost -benefit analysis for a project life of 25 years conducted in USD in constant prices for five countries</t>
  </si>
  <si>
    <t>Health Expenditure per Capita 2021 and 2025 for Selected PICs</t>
  </si>
  <si>
    <t>Amount (USD'000)</t>
  </si>
  <si>
    <t>Fiji</t>
  </si>
  <si>
    <t>Solomons</t>
  </si>
  <si>
    <t>Vanuatu</t>
  </si>
  <si>
    <t>Nauru</t>
  </si>
  <si>
    <t>Palau</t>
  </si>
  <si>
    <t>Cook Is</t>
  </si>
  <si>
    <t>Niue</t>
  </si>
  <si>
    <t>Samoa</t>
  </si>
  <si>
    <t>Tonga</t>
  </si>
  <si>
    <t>Spending source  (2022)</t>
  </si>
  <si>
    <t>Year</t>
  </si>
  <si>
    <t>Prepaid private spending</t>
  </si>
  <si>
    <t xml:space="preserve">$/capita </t>
  </si>
  <si>
    <t>Out-of-pocket spending</t>
  </si>
  <si>
    <t>Government health spending</t>
  </si>
  <si>
    <t>Development assistance for health</t>
  </si>
  <si>
    <t>Ave / capita</t>
  </si>
  <si>
    <t>Total (per capita)</t>
  </si>
  <si>
    <t>Population 2021 ('000)</t>
  </si>
  <si>
    <t>'000</t>
  </si>
  <si>
    <t>Under 5 mortality (deaths per 1000 births)</t>
  </si>
  <si>
    <t>no.</t>
  </si>
  <si>
    <t>Under 1 mortality (deaths per 1000 births)</t>
  </si>
  <si>
    <t>Population 2030 (from PAC Tuna report)</t>
  </si>
  <si>
    <t xml:space="preserve">n.a. </t>
  </si>
  <si>
    <t>Direct beneficiaries from FAD programme 2020</t>
  </si>
  <si>
    <t>Direct beneficiaries from Bycatch Programme</t>
  </si>
  <si>
    <t>Overlap between FAD and Bycatch</t>
  </si>
  <si>
    <t>Total  receiving additional fish meals</t>
  </si>
  <si>
    <t>Per capita</t>
  </si>
  <si>
    <t>Total annual health exp for  (2021 values)</t>
  </si>
  <si>
    <t>Health expenditure saving  @ 5%</t>
  </si>
  <si>
    <t xml:space="preserve">                                                        @ 1%</t>
  </si>
  <si>
    <t>FAD programme</t>
  </si>
  <si>
    <t>Direct beneficiaries</t>
  </si>
  <si>
    <t>Health expediture per capita (2022)</t>
  </si>
  <si>
    <t>$/capita</t>
  </si>
  <si>
    <t xml:space="preserve">Annual health expenditure </t>
  </si>
  <si>
    <t xml:space="preserve">Saving @ 5% </t>
  </si>
  <si>
    <t xml:space="preserve">Saving @ 1% </t>
  </si>
  <si>
    <t xml:space="preserve">Saving @ 0.5% </t>
  </si>
  <si>
    <t>By Catch Programme</t>
  </si>
  <si>
    <t>Source: https://www.healthdata.org/research-analysis/health-by-location/profiles#edit-country-id</t>
  </si>
  <si>
    <t>https://data.unicef.org</t>
  </si>
  <si>
    <t>n.a.</t>
  </si>
  <si>
    <t>$1.20/kg</t>
  </si>
  <si>
    <t>Reduction in Health Expenditure  (0.5%)</t>
  </si>
  <si>
    <t>0.5%/yr</t>
  </si>
  <si>
    <t xml:space="preserve">Fish value -20% </t>
  </si>
  <si>
    <t>Cost  +20%</t>
  </si>
  <si>
    <t>Cost -20%</t>
  </si>
  <si>
    <t>BC ratio</t>
  </si>
  <si>
    <t>Incremental Fish Supply of  Bycatch</t>
  </si>
  <si>
    <t>Reduction  of wastage in existing Supply of  Bycatch (30%)</t>
  </si>
  <si>
    <t>PV Benefits @ 9%</t>
  </si>
  <si>
    <t>ENPV 9% USDmillion</t>
  </si>
  <si>
    <t>Base case</t>
  </si>
  <si>
    <t>Cost +20%</t>
  </si>
  <si>
    <t>Fish price +20%</t>
  </si>
  <si>
    <t xml:space="preserve">-$0.27 </t>
  </si>
  <si>
    <t>$4.27</t>
  </si>
  <si>
    <t>$4.25</t>
  </si>
  <si>
    <t xml:space="preserve">-$0.25 </t>
  </si>
  <si>
    <t>Fish price -20%</t>
  </si>
  <si>
    <t>PV Benefits $m</t>
  </si>
  <si>
    <t>B:C Ratio</t>
  </si>
  <si>
    <t>PV Costs $m</t>
  </si>
  <si>
    <t>ENPV @ 9% $m</t>
  </si>
  <si>
    <t>No allowance is made for a change in the volume of available tuna bycatch from transshipment under varying impacts of Climate Change represented by RCP4.5 or RCP8.5 as it is assumed that emissions scenarios will not affect volume of transhipped fish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</si>
</sst>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quot;$&quot;#,##0.00;[Red]\-&quot;$&quot;#,##0.00"/>
    <numFmt numFmtId="165" formatCode="_-* #,##0.00_-;\-* #,##0.00_-;_-* &quot;-&quot;??_-;_-@_-"/>
    <numFmt numFmtId="166" formatCode="_-* #,##0_-;\-* #,##0_-;_-* &quot;-&quot;??_-;_-@_-"/>
    <numFmt numFmtId="167" formatCode="0.0%"/>
    <numFmt numFmtId="168" formatCode="_(* #,##0_);_(* \(#,##0\);_(* &quot;-&quot;??_);_(@_)"/>
    <numFmt numFmtId="169" formatCode="_-* #,##0.0_-;\-* #,##0.0_-;_-* &quot;-&quot;??_-;_-@_-"/>
    <numFmt numFmtId="170" formatCode="#,##0.0"/>
  </numFmts>
  <fonts count="34" x14ac:knownFonts="1">
    <font>
      <sz val="11"/>
      <color theme="1"/>
      <name val="Calibri"/>
      <family val="2"/>
      <scheme val="minor"/>
    </font>
    <font>
      <sz val="11"/>
      <color theme="1"/>
      <name val="Calibri"/>
      <family val="2"/>
      <scheme val="minor"/>
    </font>
    <font>
      <b/>
      <sz val="9"/>
      <color rgb="FF000000"/>
      <name val="Arial"/>
      <family val="2"/>
    </font>
    <font>
      <sz val="9"/>
      <color rgb="FF000000"/>
      <name val="Arial"/>
      <family val="2"/>
    </font>
    <font>
      <i/>
      <sz val="10"/>
      <color rgb="FF44546A"/>
      <name val="Calibri"/>
      <family val="2"/>
      <scheme val="minor"/>
    </font>
    <font>
      <b/>
      <sz val="10"/>
      <color rgb="FF000000"/>
      <name val="Calibri"/>
      <family val="2"/>
      <scheme val="minor"/>
    </font>
    <font>
      <sz val="10"/>
      <color rgb="FF000000"/>
      <name val="Calibri"/>
      <family val="2"/>
      <scheme val="minor"/>
    </font>
    <font>
      <i/>
      <sz val="10"/>
      <color rgb="FF1F3864"/>
      <name val="Calibri"/>
      <family val="2"/>
      <scheme val="minor"/>
    </font>
    <font>
      <b/>
      <i/>
      <sz val="10"/>
      <color rgb="FF1F3864"/>
      <name val="Calibri"/>
      <family val="2"/>
      <scheme val="minor"/>
    </font>
    <font>
      <i/>
      <sz val="9"/>
      <color rgb="FF1F3864"/>
      <name val="Calibri"/>
      <family val="2"/>
      <scheme val="minor"/>
    </font>
    <font>
      <b/>
      <sz val="9"/>
      <color rgb="FFFFFFFF"/>
      <name val="Calibri"/>
      <family val="2"/>
      <scheme val="minor"/>
    </font>
    <font>
      <sz val="9"/>
      <color rgb="FF000000"/>
      <name val="Calibri"/>
      <family val="2"/>
      <scheme val="minor"/>
    </font>
    <font>
      <b/>
      <sz val="9"/>
      <color rgb="FF000000"/>
      <name val="Calibri"/>
      <family val="2"/>
      <scheme val="minor"/>
    </font>
    <font>
      <sz val="9"/>
      <color theme="1"/>
      <name val="Calibri"/>
      <family val="2"/>
      <scheme val="minor"/>
    </font>
    <font>
      <sz val="7"/>
      <color theme="1"/>
      <name val="Times New Roman"/>
      <family val="1"/>
    </font>
    <font>
      <sz val="9"/>
      <color rgb="FF000065"/>
      <name val="Calibri"/>
      <family val="2"/>
      <scheme val="minor"/>
    </font>
    <font>
      <u/>
      <sz val="11"/>
      <color theme="10"/>
      <name val="Calibri"/>
      <family val="2"/>
      <scheme val="minor"/>
    </font>
    <font>
      <b/>
      <sz val="10"/>
      <color theme="1"/>
      <name val="Calibri"/>
      <family val="2"/>
      <scheme val="minor"/>
    </font>
    <font>
      <b/>
      <sz val="11"/>
      <color theme="1"/>
      <name val="Calibri"/>
      <family val="2"/>
      <scheme val="minor"/>
    </font>
    <font>
      <b/>
      <sz val="9"/>
      <color theme="1"/>
      <name val="Arial Narrow"/>
      <family val="2"/>
    </font>
    <font>
      <sz val="9"/>
      <color theme="1"/>
      <name val="Arial Narrow"/>
      <family val="2"/>
    </font>
    <font>
      <sz val="8"/>
      <name val="Calibri"/>
      <family val="2"/>
      <scheme val="minor"/>
    </font>
    <font>
      <sz val="9"/>
      <color rgb="FF000000"/>
      <name val="Arial Narrow"/>
      <family val="2"/>
    </font>
    <font>
      <b/>
      <sz val="11"/>
      <color rgb="FFFF0000"/>
      <name val="Calibri"/>
      <family val="2"/>
      <scheme val="minor"/>
    </font>
    <font>
      <i/>
      <sz val="9"/>
      <color theme="1"/>
      <name val="Arial Narrow"/>
      <family val="2"/>
    </font>
    <font>
      <sz val="11"/>
      <color rgb="FF000000"/>
      <name val="Calibri"/>
      <family val="2"/>
    </font>
    <font>
      <sz val="11"/>
      <color rgb="FFFF0000"/>
      <name val="Calibri"/>
      <family val="2"/>
    </font>
    <font>
      <sz val="11"/>
      <color rgb="FF000000"/>
      <name val="Calibri"/>
      <family val="2"/>
      <scheme val="minor"/>
    </font>
    <font>
      <b/>
      <u/>
      <sz val="11"/>
      <color theme="1"/>
      <name val="Calibri"/>
      <family val="2"/>
      <scheme val="minor"/>
    </font>
    <font>
      <u/>
      <sz val="11"/>
      <color theme="1"/>
      <name val="Calibri"/>
      <family val="2"/>
      <scheme val="minor"/>
    </font>
    <font>
      <b/>
      <sz val="9"/>
      <color theme="1"/>
      <name val="Calibri"/>
      <family val="2"/>
    </font>
    <font>
      <sz val="9"/>
      <color theme="1"/>
      <name val="Calibri"/>
      <family val="2"/>
    </font>
    <font>
      <b/>
      <sz val="9"/>
      <color theme="1"/>
      <name val="Calibri"/>
      <family val="2"/>
      <scheme val="minor"/>
    </font>
    <font>
      <sz val="11"/>
      <color rgb="FFFF0000"/>
      <name val="Calibri"/>
      <family val="2"/>
      <scheme val="minor"/>
    </font>
  </fonts>
  <fills count="21">
    <fill>
      <patternFill patternType="none"/>
    </fill>
    <fill>
      <patternFill patternType="gray125"/>
    </fill>
    <fill>
      <patternFill patternType="solid">
        <fgColor rgb="FFBDD6EE"/>
        <bgColor indexed="64"/>
      </patternFill>
    </fill>
    <fill>
      <patternFill patternType="solid">
        <fgColor rgb="FF1F3864"/>
        <bgColor indexed="64"/>
      </patternFill>
    </fill>
    <fill>
      <patternFill patternType="solid">
        <fgColor rgb="FFFFFFFF"/>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0070C0"/>
        <bgColor indexed="64"/>
      </patternFill>
    </fill>
    <fill>
      <patternFill patternType="solid">
        <fgColor rgb="FFFF0000"/>
        <bgColor indexed="64"/>
      </patternFill>
    </fill>
    <fill>
      <patternFill patternType="solid">
        <fgColor rgb="FFFFC000"/>
        <bgColor indexed="64"/>
      </patternFill>
    </fill>
    <fill>
      <patternFill patternType="solid">
        <fgColor rgb="FF7030A0"/>
        <bgColor indexed="64"/>
      </patternFill>
    </fill>
    <fill>
      <patternFill patternType="solid">
        <fgColor theme="2"/>
        <bgColor indexed="64"/>
      </patternFill>
    </fill>
    <fill>
      <patternFill patternType="solid">
        <fgColor theme="2" tint="-0.249977111117893"/>
        <bgColor indexed="64"/>
      </patternFill>
    </fill>
    <fill>
      <patternFill patternType="solid">
        <fgColor theme="8" tint="0.79998168889431442"/>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4">
    <xf numFmtId="0" fontId="0" fillId="0" borderId="0"/>
    <xf numFmtId="165" fontId="1" fillId="0" borderId="0" applyFont="0" applyFill="0" applyBorder="0" applyAlignment="0" applyProtection="0"/>
    <xf numFmtId="9" fontId="1" fillId="0" borderId="0" applyFont="0" applyFill="0" applyBorder="0" applyAlignment="0" applyProtection="0"/>
    <xf numFmtId="0" fontId="16" fillId="0" borderId="0" applyNumberFormat="0" applyFill="0" applyBorder="0" applyAlignment="0" applyProtection="0"/>
  </cellStyleXfs>
  <cellXfs count="243">
    <xf numFmtId="0" fontId="0" fillId="0" borderId="0" xfId="0"/>
    <xf numFmtId="0" fontId="0" fillId="0" borderId="0" xfId="0" applyAlignment="1">
      <alignment vertical="center"/>
    </xf>
    <xf numFmtId="0" fontId="2" fillId="2" borderId="1"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3" fillId="0" borderId="3" xfId="0" applyFont="1" applyBorder="1" applyAlignment="1">
      <alignment horizontal="left" vertical="center"/>
    </xf>
    <xf numFmtId="3" fontId="3" fillId="0" borderId="4" xfId="0" applyNumberFormat="1" applyFont="1" applyBorder="1" applyAlignment="1">
      <alignment horizontal="right" vertical="center" wrapText="1"/>
    </xf>
    <xf numFmtId="0" fontId="3" fillId="0" borderId="4" xfId="0" applyFont="1" applyBorder="1" applyAlignment="1">
      <alignment horizontal="right" vertical="center"/>
    </xf>
    <xf numFmtId="0" fontId="3" fillId="0" borderId="4" xfId="0" applyFont="1" applyBorder="1" applyAlignment="1">
      <alignment horizontal="right" vertical="center" wrapText="1"/>
    </xf>
    <xf numFmtId="3" fontId="3" fillId="0" borderId="4" xfId="0" applyNumberFormat="1" applyFont="1" applyBorder="1" applyAlignment="1">
      <alignment horizontal="right" vertical="center"/>
    </xf>
    <xf numFmtId="0" fontId="2" fillId="0" borderId="3" xfId="0" applyFont="1" applyBorder="1" applyAlignment="1">
      <alignment horizontal="left" vertical="center"/>
    </xf>
    <xf numFmtId="3" fontId="2" fillId="0" borderId="4" xfId="0" applyNumberFormat="1" applyFont="1" applyBorder="1" applyAlignment="1">
      <alignment horizontal="right" vertical="center"/>
    </xf>
    <xf numFmtId="9" fontId="3" fillId="0" borderId="4" xfId="2" applyFont="1" applyBorder="1" applyAlignment="1">
      <alignment horizontal="right" vertical="center" wrapText="1"/>
    </xf>
    <xf numFmtId="166" fontId="3" fillId="0" borderId="4" xfId="1" applyNumberFormat="1" applyFont="1" applyBorder="1" applyAlignment="1">
      <alignment horizontal="right" vertical="center" wrapText="1"/>
    </xf>
    <xf numFmtId="0" fontId="4" fillId="0" borderId="0" xfId="0" applyFont="1" applyAlignment="1">
      <alignment vertical="center"/>
    </xf>
    <xf numFmtId="0" fontId="6" fillId="0" borderId="3" xfId="0" applyFont="1" applyBorder="1" applyAlignment="1">
      <alignment vertical="center"/>
    </xf>
    <xf numFmtId="3" fontId="6" fillId="0" borderId="4" xfId="0" applyNumberFormat="1" applyFont="1" applyBorder="1" applyAlignment="1">
      <alignment horizontal="right" vertical="center" wrapText="1"/>
    </xf>
    <xf numFmtId="0" fontId="6" fillId="0" borderId="4" xfId="0" applyFont="1" applyBorder="1" applyAlignment="1">
      <alignment horizontal="right" vertical="center"/>
    </xf>
    <xf numFmtId="0" fontId="6" fillId="0" borderId="4" xfId="0" applyFont="1" applyBorder="1" applyAlignment="1">
      <alignment horizontal="right" vertical="center" wrapText="1"/>
    </xf>
    <xf numFmtId="3" fontId="6" fillId="0" borderId="4" xfId="0" applyNumberFormat="1" applyFont="1" applyBorder="1" applyAlignment="1">
      <alignment horizontal="right" vertical="center"/>
    </xf>
    <xf numFmtId="0" fontId="5" fillId="0" borderId="3" xfId="0" applyFont="1" applyBorder="1" applyAlignment="1">
      <alignment vertical="center"/>
    </xf>
    <xf numFmtId="3" fontId="5" fillId="0" borderId="4" xfId="0" applyNumberFormat="1" applyFont="1" applyBorder="1" applyAlignment="1">
      <alignment horizontal="right" vertical="center" wrapText="1"/>
    </xf>
    <xf numFmtId="3" fontId="5" fillId="0" borderId="4" xfId="0" applyNumberFormat="1" applyFont="1" applyBorder="1" applyAlignment="1">
      <alignment horizontal="righ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2" xfId="0" applyFont="1" applyBorder="1" applyAlignment="1">
      <alignment vertical="center"/>
    </xf>
    <xf numFmtId="10" fontId="6" fillId="0" borderId="4" xfId="2" applyNumberFormat="1" applyFont="1" applyBorder="1" applyAlignment="1">
      <alignment horizontal="right" vertical="center"/>
    </xf>
    <xf numFmtId="166" fontId="6" fillId="0" borderId="4" xfId="1" applyNumberFormat="1" applyFont="1" applyBorder="1" applyAlignment="1">
      <alignment horizontal="right" vertical="center"/>
    </xf>
    <xf numFmtId="0" fontId="7" fillId="0" borderId="0" xfId="0" applyFont="1" applyAlignment="1">
      <alignment vertical="center"/>
    </xf>
    <xf numFmtId="0" fontId="10" fillId="3" borderId="8"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3" xfId="0" applyFont="1" applyBorder="1" applyAlignment="1">
      <alignment vertical="center"/>
    </xf>
    <xf numFmtId="3" fontId="11" fillId="0" borderId="4" xfId="0" applyNumberFormat="1" applyFont="1" applyBorder="1" applyAlignment="1">
      <alignment horizontal="right" vertical="center"/>
    </xf>
    <xf numFmtId="0" fontId="11" fillId="0" borderId="4" xfId="0" applyFont="1" applyBorder="1" applyAlignment="1">
      <alignment horizontal="right" vertical="center"/>
    </xf>
    <xf numFmtId="0" fontId="11" fillId="4" borderId="4" xfId="0" applyFont="1" applyFill="1" applyBorder="1" applyAlignment="1">
      <alignment horizontal="right" vertical="center"/>
    </xf>
    <xf numFmtId="0" fontId="11" fillId="0" borderId="9" xfId="0" applyFont="1" applyBorder="1" applyAlignment="1">
      <alignment vertical="center"/>
    </xf>
    <xf numFmtId="3" fontId="11" fillId="0" borderId="10" xfId="0" applyNumberFormat="1" applyFont="1" applyBorder="1" applyAlignment="1">
      <alignment horizontal="right" vertical="center"/>
    </xf>
    <xf numFmtId="0" fontId="11" fillId="0" borderId="10" xfId="0" applyFont="1" applyBorder="1" applyAlignment="1">
      <alignment horizontal="right" vertical="center"/>
    </xf>
    <xf numFmtId="0" fontId="11" fillId="4" borderId="10" xfId="0" applyFont="1" applyFill="1" applyBorder="1" applyAlignment="1">
      <alignment horizontal="right" vertical="center"/>
    </xf>
    <xf numFmtId="0" fontId="12" fillId="0" borderId="1" xfId="0" applyFont="1" applyBorder="1" applyAlignment="1">
      <alignment vertical="center"/>
    </xf>
    <xf numFmtId="3" fontId="12" fillId="0" borderId="2" xfId="0" applyNumberFormat="1" applyFont="1" applyBorder="1" applyAlignment="1">
      <alignment horizontal="right" vertical="center"/>
    </xf>
    <xf numFmtId="0" fontId="12" fillId="0" borderId="2" xfId="0" applyFont="1" applyBorder="1" applyAlignment="1">
      <alignment horizontal="right" vertical="center"/>
    </xf>
    <xf numFmtId="0" fontId="12" fillId="4" borderId="2" xfId="0" applyFont="1" applyFill="1" applyBorder="1" applyAlignment="1">
      <alignment horizontal="right" vertical="center"/>
    </xf>
    <xf numFmtId="9" fontId="6" fillId="0" borderId="4" xfId="2" applyFont="1" applyBorder="1" applyAlignment="1">
      <alignment horizontal="right" vertical="center" wrapText="1"/>
    </xf>
    <xf numFmtId="167" fontId="5" fillId="0" borderId="4" xfId="2" applyNumberFormat="1" applyFont="1" applyBorder="1" applyAlignment="1">
      <alignment horizontal="right" vertical="center" wrapText="1"/>
    </xf>
    <xf numFmtId="9" fontId="5" fillId="0" borderId="4" xfId="2" applyFont="1" applyBorder="1" applyAlignment="1">
      <alignment horizontal="right" vertical="center" wrapText="1"/>
    </xf>
    <xf numFmtId="0" fontId="3" fillId="0" borderId="0" xfId="0" applyFont="1"/>
    <xf numFmtId="165" fontId="3" fillId="0" borderId="4" xfId="1" applyFont="1" applyBorder="1" applyAlignment="1">
      <alignment horizontal="right" vertical="center"/>
    </xf>
    <xf numFmtId="165" fontId="2" fillId="0" borderId="4" xfId="1" applyFont="1" applyBorder="1" applyAlignment="1">
      <alignment horizontal="right" vertical="center"/>
    </xf>
    <xf numFmtId="165" fontId="3" fillId="0" borderId="4" xfId="0" applyNumberFormat="1" applyFont="1" applyBorder="1" applyAlignment="1">
      <alignment horizontal="right" vertical="center"/>
    </xf>
    <xf numFmtId="165" fontId="2" fillId="0" borderId="4" xfId="0" applyNumberFormat="1" applyFont="1" applyBorder="1" applyAlignment="1">
      <alignment horizontal="right" vertical="center"/>
    </xf>
    <xf numFmtId="0" fontId="17" fillId="5" borderId="1" xfId="0" applyFont="1" applyFill="1" applyBorder="1" applyAlignment="1">
      <alignment vertical="center"/>
    </xf>
    <xf numFmtId="0" fontId="17" fillId="5" borderId="2" xfId="0" applyFont="1" applyFill="1" applyBorder="1" applyAlignment="1">
      <alignment horizontal="center" vertical="center" wrapText="1"/>
    </xf>
    <xf numFmtId="1" fontId="6" fillId="0" borderId="4" xfId="0" applyNumberFormat="1" applyFont="1" applyBorder="1" applyAlignment="1">
      <alignment horizontal="right" vertical="center"/>
    </xf>
    <xf numFmtId="0" fontId="17" fillId="5" borderId="0" xfId="0" applyFont="1" applyFill="1" applyAlignment="1">
      <alignment horizontal="center" vertical="center" wrapText="1"/>
    </xf>
    <xf numFmtId="1" fontId="0" fillId="0" borderId="0" xfId="0" applyNumberFormat="1"/>
    <xf numFmtId="0" fontId="18" fillId="0" borderId="0" xfId="0" applyFont="1"/>
    <xf numFmtId="0" fontId="19" fillId="0" borderId="12" xfId="0" applyFont="1" applyBorder="1"/>
    <xf numFmtId="0" fontId="19" fillId="0" borderId="0" xfId="0" applyFont="1"/>
    <xf numFmtId="0" fontId="20" fillId="0" borderId="0" xfId="0" applyFont="1"/>
    <xf numFmtId="0" fontId="19" fillId="0" borderId="0" xfId="0" applyFont="1" applyAlignment="1">
      <alignment horizontal="left" vertical="center" wrapText="1"/>
    </xf>
    <xf numFmtId="0" fontId="20" fillId="0" borderId="0" xfId="0" applyFont="1" applyAlignment="1">
      <alignment wrapText="1"/>
    </xf>
    <xf numFmtId="166" fontId="20" fillId="0" borderId="0" xfId="1" applyNumberFormat="1" applyFont="1"/>
    <xf numFmtId="166" fontId="19" fillId="0" borderId="0" xfId="1" applyNumberFormat="1" applyFont="1"/>
    <xf numFmtId="166" fontId="0" fillId="0" borderId="0" xfId="0" applyNumberFormat="1"/>
    <xf numFmtId="0" fontId="20" fillId="0" borderId="0" xfId="0" applyFont="1" applyAlignment="1">
      <alignment horizontal="left" vertical="center" wrapText="1"/>
    </xf>
    <xf numFmtId="0" fontId="19" fillId="6" borderId="0" xfId="0" applyFont="1" applyFill="1" applyAlignment="1">
      <alignment wrapText="1"/>
    </xf>
    <xf numFmtId="166" fontId="19" fillId="6" borderId="0" xfId="1" applyNumberFormat="1" applyFont="1" applyFill="1"/>
    <xf numFmtId="0" fontId="19" fillId="0" borderId="0" xfId="0" applyFont="1" applyAlignment="1">
      <alignment wrapText="1"/>
    </xf>
    <xf numFmtId="0" fontId="19" fillId="7" borderId="0" xfId="0" applyFont="1" applyFill="1" applyAlignment="1">
      <alignment wrapText="1"/>
    </xf>
    <xf numFmtId="166" fontId="19" fillId="7" borderId="0" xfId="1" applyNumberFormat="1" applyFont="1" applyFill="1"/>
    <xf numFmtId="166" fontId="0" fillId="7" borderId="0" xfId="0" applyNumberFormat="1" applyFill="1"/>
    <xf numFmtId="166" fontId="20" fillId="0" borderId="0" xfId="0" applyNumberFormat="1" applyFont="1"/>
    <xf numFmtId="49" fontId="20" fillId="0" borderId="0" xfId="0" applyNumberFormat="1" applyFont="1" applyAlignment="1">
      <alignment wrapText="1"/>
    </xf>
    <xf numFmtId="0" fontId="20" fillId="0" borderId="0" xfId="0" applyFont="1" applyAlignment="1">
      <alignment vertical="top" wrapText="1"/>
    </xf>
    <xf numFmtId="166" fontId="19" fillId="7" borderId="0" xfId="0" applyNumberFormat="1" applyFont="1" applyFill="1"/>
    <xf numFmtId="0" fontId="20" fillId="0" borderId="15" xfId="0" applyFont="1" applyBorder="1" applyAlignment="1">
      <alignment wrapText="1"/>
    </xf>
    <xf numFmtId="166" fontId="20" fillId="0" borderId="15" xfId="0" applyNumberFormat="1" applyFont="1" applyBorder="1"/>
    <xf numFmtId="166" fontId="20" fillId="0" borderId="15" xfId="1" applyNumberFormat="1" applyFont="1" applyBorder="1"/>
    <xf numFmtId="9" fontId="20" fillId="0" borderId="15" xfId="2" applyFont="1" applyBorder="1"/>
    <xf numFmtId="0" fontId="6" fillId="8" borderId="3" xfId="0" applyFont="1" applyFill="1" applyBorder="1" applyAlignment="1">
      <alignment vertical="center"/>
    </xf>
    <xf numFmtId="3" fontId="6" fillId="8" borderId="4" xfId="0" applyNumberFormat="1" applyFont="1" applyFill="1" applyBorder="1" applyAlignment="1">
      <alignment horizontal="right" vertical="center" wrapText="1"/>
    </xf>
    <xf numFmtId="3" fontId="6" fillId="8" borderId="4" xfId="0" applyNumberFormat="1" applyFont="1" applyFill="1" applyBorder="1" applyAlignment="1">
      <alignment horizontal="right" vertical="center"/>
    </xf>
    <xf numFmtId="10" fontId="6" fillId="8" borderId="4" xfId="2" applyNumberFormat="1" applyFont="1" applyFill="1" applyBorder="1" applyAlignment="1">
      <alignment horizontal="right" vertical="center"/>
    </xf>
    <xf numFmtId="166" fontId="6" fillId="8" borderId="4" xfId="1" applyNumberFormat="1" applyFont="1" applyFill="1" applyBorder="1" applyAlignment="1">
      <alignment horizontal="right" vertical="center"/>
    </xf>
    <xf numFmtId="9" fontId="6" fillId="8" borderId="4" xfId="2" applyFont="1" applyFill="1" applyBorder="1" applyAlignment="1">
      <alignment horizontal="right" vertical="center" wrapText="1"/>
    </xf>
    <xf numFmtId="0" fontId="11" fillId="8" borderId="3" xfId="0" applyFont="1" applyFill="1" applyBorder="1" applyAlignment="1">
      <alignment vertical="center"/>
    </xf>
    <xf numFmtId="3" fontId="11" fillId="8" borderId="4" xfId="0" applyNumberFormat="1" applyFont="1" applyFill="1" applyBorder="1" applyAlignment="1">
      <alignment horizontal="right" vertical="center"/>
    </xf>
    <xf numFmtId="0" fontId="11" fillId="8" borderId="4" xfId="0" applyFont="1" applyFill="1" applyBorder="1" applyAlignment="1">
      <alignment horizontal="right" vertical="center"/>
    </xf>
    <xf numFmtId="0" fontId="0" fillId="9" borderId="0" xfId="0" applyFill="1"/>
    <xf numFmtId="0" fontId="11" fillId="7" borderId="3" xfId="0" applyFont="1" applyFill="1" applyBorder="1" applyAlignment="1">
      <alignment vertical="center"/>
    </xf>
    <xf numFmtId="3" fontId="11" fillId="7" borderId="4" xfId="0" applyNumberFormat="1" applyFont="1" applyFill="1" applyBorder="1" applyAlignment="1">
      <alignment horizontal="right" vertical="center"/>
    </xf>
    <xf numFmtId="0" fontId="11" fillId="7" borderId="4" xfId="0" applyFont="1" applyFill="1" applyBorder="1" applyAlignment="1">
      <alignment horizontal="right" vertical="center"/>
    </xf>
    <xf numFmtId="0" fontId="20" fillId="0" borderId="14" xfId="0" applyFont="1" applyBorder="1"/>
    <xf numFmtId="0" fontId="19" fillId="0" borderId="0" xfId="0" applyFont="1" applyAlignment="1">
      <alignment horizontal="left"/>
    </xf>
    <xf numFmtId="0" fontId="20" fillId="0" borderId="0" xfId="0" applyFont="1" applyAlignment="1">
      <alignment horizontal="left"/>
    </xf>
    <xf numFmtId="0" fontId="20" fillId="0" borderId="0" xfId="0" applyFont="1" applyAlignment="1">
      <alignment horizontal="left" indent="1"/>
    </xf>
    <xf numFmtId="0" fontId="22" fillId="0" borderId="0" xfId="0" applyFont="1" applyAlignment="1">
      <alignment horizontal="left" vertical="center" indent="1"/>
    </xf>
    <xf numFmtId="165" fontId="20" fillId="0" borderId="0" xfId="1" applyFont="1"/>
    <xf numFmtId="9" fontId="20" fillId="0" borderId="0" xfId="1" applyNumberFormat="1" applyFont="1"/>
    <xf numFmtId="9" fontId="20" fillId="0" borderId="0" xfId="0" applyNumberFormat="1" applyFont="1"/>
    <xf numFmtId="0" fontId="20" fillId="0" borderId="12" xfId="0" applyFont="1" applyBorder="1"/>
    <xf numFmtId="167" fontId="20" fillId="0" borderId="0" xfId="0" applyNumberFormat="1" applyFont="1"/>
    <xf numFmtId="164" fontId="20" fillId="0" borderId="0" xfId="0" applyNumberFormat="1" applyFont="1"/>
    <xf numFmtId="0" fontId="20" fillId="0" borderId="0" xfId="0" quotePrefix="1" applyFont="1"/>
    <xf numFmtId="0" fontId="0" fillId="10" borderId="16" xfId="0" applyFill="1" applyBorder="1" applyAlignment="1">
      <alignment horizontal="center" vertical="center" wrapText="1"/>
    </xf>
    <xf numFmtId="0" fontId="0" fillId="11" borderId="16" xfId="0" applyFill="1" applyBorder="1" applyAlignment="1">
      <alignment horizontal="center" vertical="center" wrapText="1"/>
    </xf>
    <xf numFmtId="0" fontId="18" fillId="10" borderId="16" xfId="0" applyFont="1" applyFill="1" applyBorder="1" applyAlignment="1">
      <alignment horizontal="center" vertical="center" wrapText="1"/>
    </xf>
    <xf numFmtId="0" fontId="18" fillId="9" borderId="17" xfId="0" applyFont="1" applyFill="1" applyBorder="1" applyAlignment="1">
      <alignment horizontal="center" vertical="center" wrapText="1"/>
    </xf>
    <xf numFmtId="0" fontId="0" fillId="9" borderId="0" xfId="0" applyFill="1" applyAlignment="1">
      <alignment horizontal="center" vertical="center" wrapText="1"/>
    </xf>
    <xf numFmtId="0" fontId="0" fillId="9" borderId="16" xfId="0" applyFill="1" applyBorder="1" applyAlignment="1">
      <alignment horizontal="center" vertical="center" wrapText="1"/>
    </xf>
    <xf numFmtId="0" fontId="18" fillId="9" borderId="16" xfId="0" applyFont="1" applyFill="1" applyBorder="1" applyAlignment="1">
      <alignment horizontal="center" vertical="center" wrapText="1"/>
    </xf>
    <xf numFmtId="0" fontId="0" fillId="11" borderId="0" xfId="0" applyFill="1" applyAlignment="1">
      <alignment horizontal="center" vertical="center" wrapText="1"/>
    </xf>
    <xf numFmtId="168" fontId="0" fillId="0" borderId="16" xfId="1" applyNumberFormat="1" applyFont="1" applyBorder="1" applyAlignment="1">
      <alignment wrapText="1"/>
    </xf>
    <xf numFmtId="168" fontId="18" fillId="6" borderId="16" xfId="1" applyNumberFormat="1" applyFont="1" applyFill="1" applyBorder="1" applyAlignment="1">
      <alignment wrapText="1"/>
    </xf>
    <xf numFmtId="0" fontId="0" fillId="0" borderId="18" xfId="0" applyBorder="1" applyAlignment="1">
      <alignment horizontal="center" vertical="center" wrapText="1"/>
    </xf>
    <xf numFmtId="168" fontId="0" fillId="0" borderId="16" xfId="1" applyNumberFormat="1" applyFont="1" applyBorder="1"/>
    <xf numFmtId="168" fontId="18" fillId="6" borderId="13" xfId="1" applyNumberFormat="1" applyFont="1" applyFill="1" applyBorder="1" applyAlignment="1">
      <alignment wrapText="1"/>
    </xf>
    <xf numFmtId="0" fontId="0" fillId="11" borderId="18" xfId="0" applyFill="1" applyBorder="1" applyAlignment="1">
      <alignment horizontal="center" vertical="center" wrapText="1"/>
    </xf>
    <xf numFmtId="168" fontId="0" fillId="9" borderId="16" xfId="1" applyNumberFormat="1" applyFont="1" applyFill="1" applyBorder="1" applyAlignment="1">
      <alignment wrapText="1"/>
    </xf>
    <xf numFmtId="168" fontId="18" fillId="9" borderId="16" xfId="1" applyNumberFormat="1" applyFont="1" applyFill="1" applyBorder="1" applyAlignment="1">
      <alignment wrapText="1"/>
    </xf>
    <xf numFmtId="168" fontId="0" fillId="9" borderId="16" xfId="1" applyNumberFormat="1" applyFont="1" applyFill="1" applyBorder="1"/>
    <xf numFmtId="0" fontId="0" fillId="9" borderId="16" xfId="0" applyFill="1" applyBorder="1"/>
    <xf numFmtId="166" fontId="0" fillId="9" borderId="16" xfId="1" applyNumberFormat="1" applyFont="1" applyFill="1" applyBorder="1"/>
    <xf numFmtId="0" fontId="0" fillId="0" borderId="19" xfId="0" applyBorder="1" applyAlignment="1">
      <alignment horizontal="center" vertical="center" wrapText="1"/>
    </xf>
    <xf numFmtId="0" fontId="18" fillId="12" borderId="19" xfId="0" applyFont="1" applyFill="1" applyBorder="1" applyAlignment="1">
      <alignment horizontal="center" vertical="center" wrapText="1"/>
    </xf>
    <xf numFmtId="168" fontId="18" fillId="12" borderId="16" xfId="1" applyNumberFormat="1" applyFont="1" applyFill="1" applyBorder="1" applyAlignment="1">
      <alignment wrapText="1"/>
    </xf>
    <xf numFmtId="0" fontId="23" fillId="0" borderId="0" xfId="0" applyFont="1"/>
    <xf numFmtId="0" fontId="0" fillId="11" borderId="17" xfId="0" applyFill="1" applyBorder="1" applyAlignment="1">
      <alignment horizontal="center" vertical="center" wrapText="1"/>
    </xf>
    <xf numFmtId="0" fontId="0" fillId="0" borderId="16" xfId="0" applyBorder="1"/>
    <xf numFmtId="168" fontId="0" fillId="0" borderId="17" xfId="1" applyNumberFormat="1" applyFont="1" applyBorder="1"/>
    <xf numFmtId="168" fontId="0" fillId="0" borderId="20" xfId="1" applyNumberFormat="1" applyFont="1" applyBorder="1"/>
    <xf numFmtId="168" fontId="0" fillId="0" borderId="19" xfId="1" applyNumberFormat="1" applyFont="1" applyBorder="1"/>
    <xf numFmtId="0" fontId="0" fillId="11" borderId="19" xfId="0" applyFill="1" applyBorder="1" applyAlignment="1">
      <alignment horizontal="center" vertical="center" wrapText="1"/>
    </xf>
    <xf numFmtId="168" fontId="0" fillId="0" borderId="0" xfId="0" applyNumberFormat="1"/>
    <xf numFmtId="0" fontId="18" fillId="13" borderId="16" xfId="0" applyFont="1" applyFill="1" applyBorder="1" applyAlignment="1">
      <alignment horizontal="center" vertical="center" wrapText="1"/>
    </xf>
    <xf numFmtId="168" fontId="18" fillId="13" borderId="16" xfId="1" applyNumberFormat="1" applyFont="1" applyFill="1" applyBorder="1" applyAlignment="1">
      <alignment wrapText="1"/>
    </xf>
    <xf numFmtId="168" fontId="0" fillId="0" borderId="0" xfId="1" applyNumberFormat="1" applyFont="1"/>
    <xf numFmtId="0" fontId="0" fillId="13" borderId="0" xfId="0" applyFill="1"/>
    <xf numFmtId="168" fontId="0" fillId="0" borderId="16" xfId="0" applyNumberFormat="1" applyBorder="1"/>
    <xf numFmtId="168" fontId="18" fillId="0" borderId="0" xfId="0" applyNumberFormat="1" applyFont="1"/>
    <xf numFmtId="0" fontId="18" fillId="0" borderId="12" xfId="0" applyFont="1" applyBorder="1"/>
    <xf numFmtId="0" fontId="0" fillId="0" borderId="12" xfId="0" applyBorder="1"/>
    <xf numFmtId="0" fontId="0" fillId="0" borderId="15" xfId="0" applyBorder="1"/>
    <xf numFmtId="9" fontId="0" fillId="0" borderId="0" xfId="2" applyFont="1"/>
    <xf numFmtId="170" fontId="19" fillId="0" borderId="0" xfId="0" applyNumberFormat="1" applyFont="1"/>
    <xf numFmtId="9" fontId="0" fillId="0" borderId="0" xfId="0" applyNumberFormat="1"/>
    <xf numFmtId="166" fontId="0" fillId="0" borderId="0" xfId="1" applyNumberFormat="1" applyFont="1"/>
    <xf numFmtId="0" fontId="20" fillId="0" borderId="0" xfId="0" quotePrefix="1" applyFont="1" applyAlignment="1">
      <alignment horizontal="left"/>
    </xf>
    <xf numFmtId="169" fontId="20" fillId="0" borderId="0" xfId="0" applyNumberFormat="1" applyFont="1"/>
    <xf numFmtId="0" fontId="0" fillId="0" borderId="0" xfId="0" quotePrefix="1" applyAlignment="1">
      <alignment horizontal="right"/>
    </xf>
    <xf numFmtId="0" fontId="0" fillId="0" borderId="0" xfId="0" quotePrefix="1" applyAlignment="1">
      <alignment horizontal="center"/>
    </xf>
    <xf numFmtId="0" fontId="18" fillId="8" borderId="0" xfId="0" applyFont="1" applyFill="1"/>
    <xf numFmtId="0" fontId="0" fillId="8" borderId="0" xfId="0" applyFill="1"/>
    <xf numFmtId="168" fontId="0" fillId="8" borderId="0" xfId="0" applyNumberFormat="1" applyFill="1"/>
    <xf numFmtId="168" fontId="18" fillId="8" borderId="0" xfId="0" applyNumberFormat="1" applyFont="1" applyFill="1"/>
    <xf numFmtId="0" fontId="25" fillId="0" borderId="0" xfId="0" applyFont="1" applyAlignment="1">
      <alignment horizontal="justify" vertical="center"/>
    </xf>
    <xf numFmtId="0" fontId="27" fillId="0" borderId="0" xfId="0" applyFont="1" applyAlignment="1">
      <alignment wrapText="1"/>
    </xf>
    <xf numFmtId="0" fontId="0" fillId="14" borderId="0" xfId="0" applyFill="1"/>
    <xf numFmtId="0" fontId="0" fillId="15" borderId="0" xfId="0" applyFill="1"/>
    <xf numFmtId="0" fontId="0" fillId="16" borderId="0" xfId="0" applyFill="1"/>
    <xf numFmtId="0" fontId="18" fillId="17" borderId="0" xfId="0" applyFont="1" applyFill="1"/>
    <xf numFmtId="0" fontId="28" fillId="0" borderId="0" xfId="0" applyFont="1"/>
    <xf numFmtId="0" fontId="29" fillId="0" borderId="0" xfId="0" applyFont="1"/>
    <xf numFmtId="0" fontId="30" fillId="0" borderId="0" xfId="0" applyFont="1"/>
    <xf numFmtId="0" fontId="31" fillId="0" borderId="0" xfId="0" applyFont="1"/>
    <xf numFmtId="0" fontId="30" fillId="0" borderId="12" xfId="0" applyFont="1" applyBorder="1"/>
    <xf numFmtId="0" fontId="30" fillId="0" borderId="0" xfId="0" applyFont="1" applyAlignment="1">
      <alignment horizontal="center"/>
    </xf>
    <xf numFmtId="165" fontId="31" fillId="0" borderId="0" xfId="1" applyFont="1"/>
    <xf numFmtId="0" fontId="30" fillId="0" borderId="0" xfId="0" quotePrefix="1" applyFont="1" applyAlignment="1">
      <alignment horizontal="center"/>
    </xf>
    <xf numFmtId="165" fontId="30" fillId="0" borderId="0" xfId="1" applyFont="1"/>
    <xf numFmtId="165" fontId="30" fillId="0" borderId="0" xfId="0" applyNumberFormat="1" applyFont="1"/>
    <xf numFmtId="3" fontId="0" fillId="0" borderId="0" xfId="0" applyNumberFormat="1"/>
    <xf numFmtId="169" fontId="30" fillId="0" borderId="0" xfId="1" applyNumberFormat="1" applyFont="1"/>
    <xf numFmtId="166" fontId="30" fillId="0" borderId="0" xfId="0" applyNumberFormat="1" applyFont="1"/>
    <xf numFmtId="0" fontId="30" fillId="0" borderId="0" xfId="0" quotePrefix="1" applyFont="1"/>
    <xf numFmtId="0" fontId="31" fillId="0" borderId="0" xfId="0" quotePrefix="1" applyFont="1" applyAlignment="1">
      <alignment horizontal="left" indent="1"/>
    </xf>
    <xf numFmtId="166" fontId="31" fillId="0" borderId="0" xfId="1" applyNumberFormat="1" applyFont="1"/>
    <xf numFmtId="0" fontId="30" fillId="0" borderId="0" xfId="0" quotePrefix="1" applyFont="1" applyAlignment="1">
      <alignment horizontal="left" indent="1"/>
    </xf>
    <xf numFmtId="0" fontId="31" fillId="0" borderId="15" xfId="0" quotePrefix="1" applyFont="1" applyBorder="1" applyAlignment="1">
      <alignment horizontal="left" indent="1"/>
    </xf>
    <xf numFmtId="0" fontId="30" fillId="0" borderId="15" xfId="0" quotePrefix="1" applyFont="1" applyBorder="1" applyAlignment="1">
      <alignment horizontal="center"/>
    </xf>
    <xf numFmtId="165" fontId="31" fillId="0" borderId="15" xfId="1" applyFont="1" applyBorder="1"/>
    <xf numFmtId="166" fontId="30" fillId="0" borderId="15" xfId="0" applyNumberFormat="1" applyFont="1" applyBorder="1"/>
    <xf numFmtId="0" fontId="16" fillId="0" borderId="0" xfId="3"/>
    <xf numFmtId="0" fontId="13" fillId="0" borderId="0" xfId="0" applyFont="1"/>
    <xf numFmtId="165" fontId="13" fillId="0" borderId="0" xfId="1" applyFont="1"/>
    <xf numFmtId="0" fontId="32" fillId="0" borderId="0" xfId="0" applyFont="1"/>
    <xf numFmtId="165" fontId="32" fillId="0" borderId="0" xfId="1" applyFont="1"/>
    <xf numFmtId="165" fontId="18" fillId="0" borderId="0" xfId="1" applyFont="1"/>
    <xf numFmtId="10" fontId="20" fillId="0" borderId="0" xfId="0" applyNumberFormat="1" applyFont="1"/>
    <xf numFmtId="0" fontId="20" fillId="0" borderId="15" xfId="0" applyFont="1" applyBorder="1"/>
    <xf numFmtId="165" fontId="20" fillId="0" borderId="15" xfId="1" applyFont="1" applyBorder="1"/>
    <xf numFmtId="0" fontId="20" fillId="18" borderId="0" xfId="0" applyFont="1" applyFill="1"/>
    <xf numFmtId="0" fontId="19" fillId="18" borderId="12" xfId="0" applyFont="1" applyFill="1" applyBorder="1" applyAlignment="1">
      <alignment horizontal="right"/>
    </xf>
    <xf numFmtId="3" fontId="20" fillId="18" borderId="0" xfId="0" applyNumberFormat="1" applyFont="1" applyFill="1"/>
    <xf numFmtId="169" fontId="20" fillId="18" borderId="0" xfId="1" applyNumberFormat="1" applyFont="1" applyFill="1" applyAlignment="1">
      <alignment vertical="top"/>
    </xf>
    <xf numFmtId="169" fontId="19" fillId="18" borderId="12" xfId="1" applyNumberFormat="1" applyFont="1" applyFill="1" applyBorder="1"/>
    <xf numFmtId="166" fontId="19" fillId="18" borderId="0" xfId="0" applyNumberFormat="1" applyFont="1" applyFill="1"/>
    <xf numFmtId="169" fontId="19" fillId="18" borderId="0" xfId="1" applyNumberFormat="1" applyFont="1" applyFill="1"/>
    <xf numFmtId="0" fontId="20" fillId="9" borderId="0" xfId="0" applyFont="1" applyFill="1"/>
    <xf numFmtId="0" fontId="19" fillId="9" borderId="12" xfId="0" applyFont="1" applyFill="1" applyBorder="1" applyAlignment="1">
      <alignment horizontal="right"/>
    </xf>
    <xf numFmtId="0" fontId="19" fillId="9" borderId="13" xfId="0" applyFont="1" applyFill="1" applyBorder="1" applyAlignment="1">
      <alignment horizontal="right"/>
    </xf>
    <xf numFmtId="0" fontId="19" fillId="9" borderId="12" xfId="0" applyFont="1" applyFill="1" applyBorder="1"/>
    <xf numFmtId="3" fontId="20" fillId="9" borderId="0" xfId="0" applyNumberFormat="1" applyFont="1" applyFill="1"/>
    <xf numFmtId="169" fontId="20" fillId="9" borderId="0" xfId="1" applyNumberFormat="1" applyFont="1" applyFill="1" applyAlignment="1">
      <alignment vertical="top"/>
    </xf>
    <xf numFmtId="3" fontId="20" fillId="9" borderId="0" xfId="0" applyNumberFormat="1" applyFont="1" applyFill="1" applyAlignment="1">
      <alignment vertical="top"/>
    </xf>
    <xf numFmtId="169" fontId="19" fillId="9" borderId="12" xfId="1" applyNumberFormat="1" applyFont="1" applyFill="1" applyBorder="1"/>
    <xf numFmtId="169" fontId="20" fillId="9" borderId="0" xfId="1" applyNumberFormat="1" applyFont="1" applyFill="1"/>
    <xf numFmtId="166" fontId="20" fillId="9" borderId="0" xfId="1" applyNumberFormat="1" applyFont="1" applyFill="1"/>
    <xf numFmtId="166" fontId="20" fillId="9" borderId="0" xfId="0" applyNumberFormat="1" applyFont="1" applyFill="1"/>
    <xf numFmtId="169" fontId="19" fillId="9" borderId="0" xfId="1" applyNumberFormat="1" applyFont="1" applyFill="1"/>
    <xf numFmtId="0" fontId="19" fillId="9" borderId="0" xfId="0" applyFont="1" applyFill="1"/>
    <xf numFmtId="166" fontId="19" fillId="9" borderId="0" xfId="0" applyNumberFormat="1" applyFont="1" applyFill="1"/>
    <xf numFmtId="9" fontId="24" fillId="9" borderId="0" xfId="2" applyFont="1" applyFill="1"/>
    <xf numFmtId="169" fontId="19" fillId="9" borderId="0" xfId="0" applyNumberFormat="1" applyFont="1" applyFill="1"/>
    <xf numFmtId="166" fontId="19" fillId="9" borderId="12" xfId="1" applyNumberFormat="1" applyFont="1" applyFill="1" applyBorder="1"/>
    <xf numFmtId="169" fontId="19" fillId="9" borderId="15" xfId="1" applyNumberFormat="1" applyFont="1" applyFill="1" applyBorder="1"/>
    <xf numFmtId="169" fontId="20" fillId="9" borderId="0" xfId="0" applyNumberFormat="1" applyFont="1" applyFill="1"/>
    <xf numFmtId="0" fontId="20" fillId="9" borderId="12" xfId="0" applyFont="1" applyFill="1" applyBorder="1"/>
    <xf numFmtId="165" fontId="20" fillId="9" borderId="0" xfId="0" applyNumberFormat="1" applyFont="1" applyFill="1"/>
    <xf numFmtId="169" fontId="20" fillId="18" borderId="0" xfId="1" applyNumberFormat="1" applyFont="1" applyFill="1"/>
    <xf numFmtId="165" fontId="20" fillId="18" borderId="0" xfId="1" applyFont="1" applyFill="1"/>
    <xf numFmtId="166" fontId="19" fillId="18" borderId="12" xfId="1" applyNumberFormat="1" applyFont="1" applyFill="1" applyBorder="1"/>
    <xf numFmtId="166" fontId="19" fillId="9" borderId="15" xfId="0" applyNumberFormat="1" applyFont="1" applyFill="1" applyBorder="1"/>
    <xf numFmtId="165" fontId="20" fillId="19" borderId="0" xfId="1" applyFont="1" applyFill="1"/>
    <xf numFmtId="0" fontId="33" fillId="0" borderId="0" xfId="0" applyFont="1"/>
    <xf numFmtId="0" fontId="18" fillId="20" borderId="16" xfId="0" applyFont="1" applyFill="1" applyBorder="1"/>
    <xf numFmtId="164" fontId="0" fillId="0" borderId="16" xfId="0" applyNumberFormat="1" applyBorder="1"/>
    <xf numFmtId="0" fontId="0" fillId="0" borderId="16" xfId="0" applyBorder="1" applyAlignment="1">
      <alignment horizontal="right"/>
    </xf>
    <xf numFmtId="167" fontId="0" fillId="0" borderId="16" xfId="2" applyNumberFormat="1" applyFont="1" applyBorder="1"/>
    <xf numFmtId="167" fontId="0" fillId="0" borderId="16" xfId="0" applyNumberFormat="1" applyBorder="1"/>
    <xf numFmtId="0" fontId="18" fillId="20" borderId="16" xfId="0" applyFont="1" applyFill="1" applyBorder="1" applyAlignment="1">
      <alignment wrapText="1"/>
    </xf>
    <xf numFmtId="165" fontId="0" fillId="0" borderId="16" xfId="0" applyNumberFormat="1" applyBorder="1"/>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4" fillId="0" borderId="0" xfId="0" applyFont="1" applyAlignment="1">
      <alignment horizontal="left" vertical="center" wrapText="1"/>
    </xf>
    <xf numFmtId="0" fontId="16" fillId="0" borderId="0" xfId="3" applyAlignment="1">
      <alignment horizontal="left" vertical="center" indent="5"/>
    </xf>
    <xf numFmtId="0" fontId="13" fillId="0" borderId="0" xfId="0" applyFont="1" applyAlignment="1">
      <alignment horizontal="left" vertical="center" indent="5"/>
    </xf>
    <xf numFmtId="0" fontId="10" fillId="3" borderId="7"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3" fillId="0" borderId="11" xfId="0" applyFont="1" applyBorder="1" applyAlignment="1">
      <alignment vertical="center"/>
    </xf>
    <xf numFmtId="0" fontId="10" fillId="3" borderId="7" xfId="0" applyFont="1" applyFill="1" applyBorder="1" applyAlignment="1">
      <alignment vertical="center"/>
    </xf>
    <xf numFmtId="0" fontId="10" fillId="3" borderId="3" xfId="0" applyFont="1" applyFill="1" applyBorder="1" applyAlignment="1">
      <alignment vertical="center"/>
    </xf>
  </cellXfs>
  <cellStyles count="4">
    <cellStyle name="Comma" xfId="1" builtinId="3"/>
    <cellStyle name="Hyperlink" xfId="3"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1</xdr:col>
      <xdr:colOff>3497580</xdr:colOff>
      <xdr:row>11</xdr:row>
      <xdr:rowOff>137160</xdr:rowOff>
    </xdr:to>
    <xdr:pic>
      <xdr:nvPicPr>
        <xdr:cNvPr id="4" name="Picture 3">
          <a:extLst>
            <a:ext uri="{FF2B5EF4-FFF2-40B4-BE49-F238E27FC236}">
              <a16:creationId xmlns:a16="http://schemas.microsoft.com/office/drawing/2014/main" id="{3AC935E9-13C5-A6D1-6034-68C3CABA37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4015740"/>
          <a:ext cx="3497580" cy="1104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conservation-my.sharepoint.com/personal/jbell_conservation_org/Documents/1.CI/1.%20GCF%202020/1.%20PPF/1.%20Studies%20under%20development/FEA/Annex%2004%20-%20Optional%20budget%20worksheets%20for%20inputs%20and%20co-finance%20budgets%20(1).xlsx" TargetMode="External"/><Relationship Id="rId1" Type="http://schemas.openxmlformats.org/officeDocument/2006/relationships/externalLinkPath" Target="https://conservation-my.sharepoint.com/personal/jbell_conservation_org/Documents/1.CI/1.%20GCF%202020/1.%20PPF/1.%20Studies%20under%20development/FEA/Annex%2004%20-%20Optional%20budget%20worksheets%20for%20inputs%20and%20co-finance%20budgets%20(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Ray/Documents/Pacific%20tuna%20GCF%202022/Costing/GCF-Annex4%20preparatory%2016Jan%202024-am.xlsx" TargetMode="External"/><Relationship Id="rId1" Type="http://schemas.openxmlformats.org/officeDocument/2006/relationships/externalLinkPath" Target="https://conservation.sharepoint.com/Users/Ray/Documents/Pacific%20tuna%20GCF%202022/Costing/GCF-Annex4%20preparatory%2016Jan%202024-am.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Ray/Documents/Pacific%20tuna%20GCF%202022/EFA%20Aug%202024/PIC%20Health%20Data_20%20Sep%202024.xlsx" TargetMode="External"/><Relationship Id="rId1" Type="http://schemas.openxmlformats.org/officeDocument/2006/relationships/externalLinkPath" Target="file:///C:/Users/Ray/Documents/Pacific%20tuna%20GCF%202022/EFA%20Aug%202024/PIC%20Health%20Data_20%20Sep%20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 Use-Staffing SPC Comp A-Act2"/>
      <sheetName val="Total Budget - Revised Lisa (2)"/>
      <sheetName val="Total Budget (3)"/>
      <sheetName val="Total Budget (2)"/>
      <sheetName val="Total Budget"/>
      <sheetName val="Total Budget - Revised Lisa"/>
      <sheetName val="Subgrants"/>
      <sheetName val="GCF-Notes &amp; Assumptions"/>
      <sheetName val="GCF Tab - PMC Calcs"/>
      <sheetName val="Staffing SPC Total"/>
      <sheetName val="Staffing National"/>
      <sheetName val="No Use-Staffing SPC CompB"/>
      <sheetName val="Staffing CSIRO Comp B"/>
      <sheetName val="Staffing CSIRO Comp A-Act2"/>
      <sheetName val="Staffing FFA Comp B"/>
      <sheetName val="Staffing FFA Comp A-Act2"/>
      <sheetName val="Staffing FAO Act1,2"/>
      <sheetName val="Co-Finance"/>
      <sheetName val="No Use-Workshop Worksheet"/>
      <sheetName val="No Use-Professional Services"/>
      <sheetName val="No Use-Consultant Worksheet"/>
      <sheetName val="Other Cost"/>
      <sheetName val="Professional Services"/>
      <sheetName val="PS - Test Pivot"/>
      <sheetName val="Workshop - Test Pivot"/>
      <sheetName val="Workshop"/>
      <sheetName val="Workshop List"/>
      <sheetName val="Construction cost "/>
      <sheetName val="Equipment Supplies"/>
      <sheetName val="Local Consultant "/>
      <sheetName val="International Consultant"/>
      <sheetName val="Travel Worksheet"/>
      <sheetName val="No Use-Workshop Summary"/>
      <sheetName val="Cofinance Budget 1"/>
      <sheetName val="OLD TABs RIGHT"/>
      <sheetName val="OLD Action items"/>
      <sheetName val="OLD Staffing SPC CompA-Act1"/>
      <sheetName val="OLD Equipment"/>
      <sheetName val="OLD Travel"/>
      <sheetName val="OLD SPC"/>
      <sheetName val="OLD Quick Summary"/>
      <sheetName val="OLD cofinance(salary)"/>
    </sheetNames>
    <sheetDataSet>
      <sheetData sheetId="0"/>
      <sheetData sheetId="1"/>
      <sheetData sheetId="2"/>
      <sheetData sheetId="3"/>
      <sheetData sheetId="4"/>
      <sheetData sheetId="5"/>
      <sheetData sheetId="6"/>
      <sheetData sheetId="7"/>
      <sheetData sheetId="8"/>
      <sheetData sheetId="9">
        <row r="94">
          <cell r="V94">
            <v>220505.65333333332</v>
          </cell>
          <cell r="W94">
            <v>28115.576666666664</v>
          </cell>
          <cell r="X94">
            <v>16440.3</v>
          </cell>
          <cell r="Y94">
            <v>129365.90272727273</v>
          </cell>
          <cell r="Z94">
            <v>16440.3</v>
          </cell>
          <cell r="AA94">
            <v>629231.44791318197</v>
          </cell>
          <cell r="AB94">
            <v>132991.11905651513</v>
          </cell>
          <cell r="AC94">
            <v>211233.40848484845</v>
          </cell>
        </row>
        <row r="95">
          <cell r="V95">
            <v>1340381.6556774853</v>
          </cell>
          <cell r="W95">
            <v>104619.43847290211</v>
          </cell>
          <cell r="X95">
            <v>116187.8630469372</v>
          </cell>
          <cell r="Y95">
            <v>441395.21534100163</v>
          </cell>
          <cell r="Z95">
            <v>97153.200000000012</v>
          </cell>
          <cell r="AA95">
            <v>1423247.4643926637</v>
          </cell>
          <cell r="AB95">
            <v>352481.08241981146</v>
          </cell>
          <cell r="AC95">
            <v>632555.59666666668</v>
          </cell>
        </row>
        <row r="96">
          <cell r="V96">
            <v>1642046.2439213011</v>
          </cell>
          <cell r="W96">
            <v>116069.44797033026</v>
          </cell>
          <cell r="X96">
            <v>129045.67559859731</v>
          </cell>
          <cell r="Y96">
            <v>235158.27883394482</v>
          </cell>
          <cell r="Z96">
            <v>109979.7</v>
          </cell>
          <cell r="AA96">
            <v>1458597.3404624071</v>
          </cell>
          <cell r="AB96">
            <v>360804.88006642921</v>
          </cell>
          <cell r="AC96">
            <v>648371.78363636369</v>
          </cell>
        </row>
        <row r="97">
          <cell r="V97">
            <v>1488856.3970991441</v>
          </cell>
          <cell r="W97">
            <v>109470.49348635874</v>
          </cell>
          <cell r="X97">
            <v>99893.753051189997</v>
          </cell>
          <cell r="Y97">
            <v>185604.57459571594</v>
          </cell>
          <cell r="Z97">
            <v>112210.89999999998</v>
          </cell>
          <cell r="AA97">
            <v>1495300.6811379208</v>
          </cell>
          <cell r="AB97">
            <v>370325.59466873267</v>
          </cell>
          <cell r="AC97">
            <v>664579.25787878758</v>
          </cell>
        </row>
        <row r="98">
          <cell r="V98">
            <v>1321439.8551202517</v>
          </cell>
          <cell r="W98">
            <v>112207.16917234861</v>
          </cell>
          <cell r="X98">
            <v>102391.03157191369</v>
          </cell>
          <cell r="Y98">
            <v>190243.9456234129</v>
          </cell>
          <cell r="Z98">
            <v>115016.09999999998</v>
          </cell>
          <cell r="AA98">
            <v>1532682.202098605</v>
          </cell>
          <cell r="AB98">
            <v>379583.30778808234</v>
          </cell>
          <cell r="AC98">
            <v>681192.4096969699</v>
          </cell>
        </row>
        <row r="99">
          <cell r="V99">
            <v>1093077.5331543058</v>
          </cell>
          <cell r="W99">
            <v>115012.35431637554</v>
          </cell>
          <cell r="X99">
            <v>104950.8260186181</v>
          </cell>
          <cell r="Y99">
            <v>195000.21655806573</v>
          </cell>
          <cell r="Z99">
            <v>117891.55000000002</v>
          </cell>
          <cell r="AA99">
            <v>1571000.98508159</v>
          </cell>
          <cell r="AB99">
            <v>389073.087751791</v>
          </cell>
          <cell r="AC99">
            <v>698223.31454545469</v>
          </cell>
        </row>
        <row r="100">
          <cell r="V100">
            <v>676925.80997646216</v>
          </cell>
          <cell r="W100">
            <v>88782.488800347011</v>
          </cell>
          <cell r="X100">
            <v>79775.828566025375</v>
          </cell>
          <cell r="Y100">
            <v>168591.347159931</v>
          </cell>
          <cell r="Z100">
            <v>93530.8</v>
          </cell>
          <cell r="AA100">
            <v>1605893.0359945006</v>
          </cell>
          <cell r="AB100">
            <v>395789.60337924527</v>
          </cell>
          <cell r="AC100">
            <v>712557.88121212111</v>
          </cell>
        </row>
        <row r="101">
          <cell r="V101">
            <v>81146.14</v>
          </cell>
          <cell r="W101">
            <v>16059.22</v>
          </cell>
          <cell r="X101">
            <v>15689.4</v>
          </cell>
          <cell r="Y101">
            <v>31908.496363636365</v>
          </cell>
          <cell r="Z101">
            <v>15689.4</v>
          </cell>
          <cell r="AA101">
            <v>48639.637105090907</v>
          </cell>
          <cell r="AB101">
            <v>34955.998046424247</v>
          </cell>
          <cell r="AC101">
            <v>60412.197575757571</v>
          </cell>
        </row>
      </sheetData>
      <sheetData sheetId="10">
        <row r="119">
          <cell r="U119">
            <v>65222.5</v>
          </cell>
          <cell r="V119">
            <v>0</v>
          </cell>
          <cell r="W119">
            <v>0</v>
          </cell>
          <cell r="X119">
            <v>28217.5</v>
          </cell>
          <cell r="Y119">
            <v>0</v>
          </cell>
          <cell r="Z119">
            <v>65346</v>
          </cell>
          <cell r="AA119">
            <v>0</v>
          </cell>
          <cell r="AB119">
            <v>0</v>
          </cell>
        </row>
        <row r="120">
          <cell r="U120">
            <v>267397.5</v>
          </cell>
          <cell r="V120">
            <v>0</v>
          </cell>
          <cell r="W120">
            <v>0</v>
          </cell>
          <cell r="X120">
            <v>115686.5</v>
          </cell>
          <cell r="Y120">
            <v>0</v>
          </cell>
          <cell r="Z120">
            <v>176399</v>
          </cell>
          <cell r="AA120">
            <v>0</v>
          </cell>
          <cell r="AB120">
            <v>0</v>
          </cell>
        </row>
        <row r="121">
          <cell r="U121">
            <v>274083.5</v>
          </cell>
          <cell r="V121">
            <v>0</v>
          </cell>
          <cell r="W121">
            <v>0</v>
          </cell>
          <cell r="X121">
            <v>118579.5</v>
          </cell>
          <cell r="Y121">
            <v>0</v>
          </cell>
          <cell r="Z121">
            <v>180810</v>
          </cell>
          <cell r="AA121">
            <v>0</v>
          </cell>
          <cell r="AB121">
            <v>0</v>
          </cell>
        </row>
        <row r="122">
          <cell r="U122">
            <v>241085</v>
          </cell>
          <cell r="V122">
            <v>0</v>
          </cell>
          <cell r="W122">
            <v>0</v>
          </cell>
          <cell r="X122">
            <v>121544</v>
          </cell>
          <cell r="Y122">
            <v>0</v>
          </cell>
          <cell r="Z122">
            <v>163033</v>
          </cell>
          <cell r="AA122">
            <v>0</v>
          </cell>
          <cell r="AB122">
            <v>0</v>
          </cell>
        </row>
        <row r="123">
          <cell r="U123">
            <v>111091.5</v>
          </cell>
          <cell r="V123">
            <v>0</v>
          </cell>
          <cell r="W123">
            <v>0</v>
          </cell>
          <cell r="X123">
            <v>29402.5</v>
          </cell>
          <cell r="Y123">
            <v>0</v>
          </cell>
          <cell r="Z123">
            <v>144252</v>
          </cell>
          <cell r="AA123">
            <v>0</v>
          </cell>
          <cell r="AB123">
            <v>0</v>
          </cell>
        </row>
        <row r="124">
          <cell r="U124">
            <v>72001.5</v>
          </cell>
          <cell r="V124">
            <v>0</v>
          </cell>
          <cell r="W124">
            <v>0</v>
          </cell>
          <cell r="X124">
            <v>30137.5</v>
          </cell>
          <cell r="Y124">
            <v>0</v>
          </cell>
          <cell r="Z124">
            <v>124435</v>
          </cell>
          <cell r="AA124">
            <v>0</v>
          </cell>
          <cell r="AB124">
            <v>0</v>
          </cell>
        </row>
        <row r="125">
          <cell r="U125">
            <v>30891</v>
          </cell>
          <cell r="V125">
            <v>0</v>
          </cell>
          <cell r="W125">
            <v>0</v>
          </cell>
          <cell r="X125">
            <v>30891</v>
          </cell>
          <cell r="Y125">
            <v>0</v>
          </cell>
          <cell r="Z125">
            <v>103534</v>
          </cell>
          <cell r="AA125">
            <v>0</v>
          </cell>
          <cell r="AB125">
            <v>0</v>
          </cell>
        </row>
        <row r="126">
          <cell r="U126">
            <v>0</v>
          </cell>
          <cell r="V126">
            <v>0</v>
          </cell>
          <cell r="W126">
            <v>0</v>
          </cell>
          <cell r="X126">
            <v>0</v>
          </cell>
          <cell r="Y126">
            <v>0</v>
          </cell>
          <cell r="Z126">
            <v>0</v>
          </cell>
          <cell r="AA126">
            <v>0</v>
          </cell>
          <cell r="AB126">
            <v>0</v>
          </cell>
        </row>
      </sheetData>
      <sheetData sheetId="11"/>
      <sheetData sheetId="12">
        <row r="44">
          <cell r="U44">
            <v>0</v>
          </cell>
          <cell r="V44">
            <v>0</v>
          </cell>
          <cell r="W44">
            <v>0</v>
          </cell>
          <cell r="X44">
            <v>0</v>
          </cell>
          <cell r="Y44">
            <v>0</v>
          </cell>
          <cell r="Z44">
            <v>440530</v>
          </cell>
          <cell r="AA44">
            <v>0</v>
          </cell>
          <cell r="AB44">
            <v>0</v>
          </cell>
        </row>
        <row r="45">
          <cell r="U45">
            <v>0</v>
          </cell>
          <cell r="V45">
            <v>0</v>
          </cell>
          <cell r="W45">
            <v>0</v>
          </cell>
          <cell r="X45">
            <v>0</v>
          </cell>
          <cell r="Y45">
            <v>0</v>
          </cell>
          <cell r="Z45">
            <v>903086</v>
          </cell>
          <cell r="AA45">
            <v>0</v>
          </cell>
          <cell r="AB45">
            <v>0</v>
          </cell>
        </row>
        <row r="46">
          <cell r="U46">
            <v>0</v>
          </cell>
          <cell r="V46">
            <v>0</v>
          </cell>
          <cell r="W46">
            <v>0</v>
          </cell>
          <cell r="X46">
            <v>0</v>
          </cell>
          <cell r="Y46">
            <v>0</v>
          </cell>
          <cell r="Z46">
            <v>925662</v>
          </cell>
          <cell r="AA46">
            <v>0</v>
          </cell>
          <cell r="AB46">
            <v>0</v>
          </cell>
        </row>
        <row r="47">
          <cell r="U47">
            <v>0</v>
          </cell>
          <cell r="V47">
            <v>0</v>
          </cell>
          <cell r="W47">
            <v>0</v>
          </cell>
          <cell r="X47">
            <v>0</v>
          </cell>
          <cell r="Y47">
            <v>0</v>
          </cell>
          <cell r="Z47">
            <v>948805</v>
          </cell>
          <cell r="AA47">
            <v>0</v>
          </cell>
          <cell r="AB47">
            <v>0</v>
          </cell>
        </row>
        <row r="48">
          <cell r="U48">
            <v>0</v>
          </cell>
          <cell r="V48">
            <v>0</v>
          </cell>
          <cell r="W48">
            <v>0</v>
          </cell>
          <cell r="X48">
            <v>0</v>
          </cell>
          <cell r="Y48">
            <v>0</v>
          </cell>
          <cell r="Z48">
            <v>972526</v>
          </cell>
          <cell r="AA48">
            <v>0</v>
          </cell>
          <cell r="AB48">
            <v>0</v>
          </cell>
        </row>
        <row r="49">
          <cell r="U49">
            <v>0</v>
          </cell>
          <cell r="V49">
            <v>0</v>
          </cell>
          <cell r="W49">
            <v>0</v>
          </cell>
          <cell r="X49">
            <v>0</v>
          </cell>
          <cell r="Y49">
            <v>0</v>
          </cell>
          <cell r="Z49">
            <v>996839</v>
          </cell>
          <cell r="AA49">
            <v>0</v>
          </cell>
          <cell r="AB49">
            <v>0</v>
          </cell>
        </row>
        <row r="50">
          <cell r="U50">
            <v>0</v>
          </cell>
          <cell r="V50">
            <v>0</v>
          </cell>
          <cell r="W50">
            <v>0</v>
          </cell>
          <cell r="X50">
            <v>0</v>
          </cell>
          <cell r="Y50">
            <v>0</v>
          </cell>
          <cell r="Z50">
            <v>1021759</v>
          </cell>
          <cell r="AA50">
            <v>0</v>
          </cell>
          <cell r="AB50">
            <v>0</v>
          </cell>
        </row>
        <row r="51">
          <cell r="U51">
            <v>0</v>
          </cell>
          <cell r="V51">
            <v>0</v>
          </cell>
          <cell r="W51">
            <v>0</v>
          </cell>
          <cell r="X51">
            <v>0</v>
          </cell>
          <cell r="Y51">
            <v>0</v>
          </cell>
          <cell r="Z51">
            <v>0</v>
          </cell>
          <cell r="AA51">
            <v>0</v>
          </cell>
          <cell r="AB51">
            <v>0</v>
          </cell>
        </row>
      </sheetData>
      <sheetData sheetId="13">
        <row r="32">
          <cell r="U32">
            <v>0</v>
          </cell>
          <cell r="V32">
            <v>0</v>
          </cell>
          <cell r="W32">
            <v>0</v>
          </cell>
          <cell r="X32">
            <v>0</v>
          </cell>
          <cell r="Y32">
            <v>0</v>
          </cell>
          <cell r="Z32">
            <v>0</v>
          </cell>
          <cell r="AA32">
            <v>0</v>
          </cell>
          <cell r="AB32">
            <v>0</v>
          </cell>
        </row>
        <row r="33">
          <cell r="U33">
            <v>0</v>
          </cell>
          <cell r="V33">
            <v>0</v>
          </cell>
          <cell r="W33">
            <v>0</v>
          </cell>
          <cell r="X33">
            <v>100226</v>
          </cell>
          <cell r="Y33">
            <v>0</v>
          </cell>
          <cell r="Z33">
            <v>0</v>
          </cell>
          <cell r="AA33">
            <v>0</v>
          </cell>
          <cell r="AB33">
            <v>0</v>
          </cell>
        </row>
        <row r="34">
          <cell r="U34">
            <v>0</v>
          </cell>
          <cell r="V34">
            <v>0</v>
          </cell>
          <cell r="W34">
            <v>0</v>
          </cell>
          <cell r="X34">
            <v>102732</v>
          </cell>
          <cell r="Y34">
            <v>0</v>
          </cell>
          <cell r="Z34">
            <v>0</v>
          </cell>
          <cell r="AA34">
            <v>0</v>
          </cell>
          <cell r="AB34">
            <v>0</v>
          </cell>
        </row>
        <row r="35">
          <cell r="U35">
            <v>0</v>
          </cell>
          <cell r="V35">
            <v>0</v>
          </cell>
          <cell r="W35">
            <v>0</v>
          </cell>
          <cell r="X35">
            <v>105300</v>
          </cell>
          <cell r="Y35">
            <v>0</v>
          </cell>
          <cell r="Z35">
            <v>0</v>
          </cell>
          <cell r="AA35">
            <v>0</v>
          </cell>
          <cell r="AB35">
            <v>0</v>
          </cell>
        </row>
        <row r="36">
          <cell r="U36">
            <v>0</v>
          </cell>
          <cell r="V36">
            <v>0</v>
          </cell>
          <cell r="W36">
            <v>0</v>
          </cell>
          <cell r="X36">
            <v>107933</v>
          </cell>
          <cell r="Y36">
            <v>0</v>
          </cell>
          <cell r="Z36">
            <v>0</v>
          </cell>
          <cell r="AA36">
            <v>0</v>
          </cell>
          <cell r="AB36">
            <v>0</v>
          </cell>
        </row>
        <row r="37">
          <cell r="U37">
            <v>0</v>
          </cell>
          <cell r="V37">
            <v>0</v>
          </cell>
          <cell r="W37">
            <v>0</v>
          </cell>
          <cell r="X37">
            <v>0</v>
          </cell>
          <cell r="Y37">
            <v>0</v>
          </cell>
          <cell r="Z37">
            <v>0</v>
          </cell>
          <cell r="AA37">
            <v>0</v>
          </cell>
          <cell r="AB37">
            <v>0</v>
          </cell>
        </row>
        <row r="38">
          <cell r="U38">
            <v>0</v>
          </cell>
          <cell r="V38">
            <v>0</v>
          </cell>
          <cell r="W38">
            <v>0</v>
          </cell>
          <cell r="X38">
            <v>0</v>
          </cell>
          <cell r="Y38">
            <v>0</v>
          </cell>
          <cell r="Z38">
            <v>0</v>
          </cell>
          <cell r="AA38">
            <v>0</v>
          </cell>
          <cell r="AB38">
            <v>0</v>
          </cell>
        </row>
        <row r="39">
          <cell r="U39">
            <v>0</v>
          </cell>
          <cell r="V39">
            <v>0</v>
          </cell>
          <cell r="W39">
            <v>0</v>
          </cell>
          <cell r="X39">
            <v>0</v>
          </cell>
          <cell r="Y39">
            <v>0</v>
          </cell>
          <cell r="Z39">
            <v>0</v>
          </cell>
          <cell r="AA39">
            <v>0</v>
          </cell>
          <cell r="AB39">
            <v>0</v>
          </cell>
        </row>
      </sheetData>
      <sheetData sheetId="14">
        <row r="50">
          <cell r="U50">
            <v>0</v>
          </cell>
          <cell r="V50">
            <v>0</v>
          </cell>
          <cell r="W50">
            <v>0</v>
          </cell>
          <cell r="X50">
            <v>0</v>
          </cell>
          <cell r="Y50">
            <v>0</v>
          </cell>
          <cell r="Z50">
            <v>58972.32</v>
          </cell>
          <cell r="AA50">
            <v>168021.89</v>
          </cell>
          <cell r="AB50">
            <v>46492.79</v>
          </cell>
        </row>
        <row r="51">
          <cell r="U51">
            <v>0</v>
          </cell>
          <cell r="V51">
            <v>0</v>
          </cell>
          <cell r="W51">
            <v>0</v>
          </cell>
          <cell r="X51">
            <v>0</v>
          </cell>
          <cell r="Y51">
            <v>0</v>
          </cell>
          <cell r="Z51">
            <v>120892.86</v>
          </cell>
          <cell r="AA51">
            <v>322200.15000000002</v>
          </cell>
          <cell r="AB51">
            <v>168908.99</v>
          </cell>
        </row>
        <row r="52">
          <cell r="U52">
            <v>0</v>
          </cell>
          <cell r="V52">
            <v>0</v>
          </cell>
          <cell r="W52">
            <v>0</v>
          </cell>
          <cell r="X52">
            <v>0</v>
          </cell>
          <cell r="Y52">
            <v>0</v>
          </cell>
          <cell r="Z52">
            <v>123915.66</v>
          </cell>
          <cell r="AA52">
            <v>330256.19</v>
          </cell>
          <cell r="AB52">
            <v>173132.15</v>
          </cell>
        </row>
        <row r="53">
          <cell r="U53">
            <v>0</v>
          </cell>
          <cell r="V53">
            <v>0</v>
          </cell>
          <cell r="W53">
            <v>0</v>
          </cell>
          <cell r="X53">
            <v>0</v>
          </cell>
          <cell r="Y53">
            <v>0</v>
          </cell>
          <cell r="Z53">
            <v>127013.04</v>
          </cell>
          <cell r="AA53">
            <v>338511.55</v>
          </cell>
          <cell r="AB53">
            <v>177460.41</v>
          </cell>
        </row>
        <row r="54">
          <cell r="U54">
            <v>0</v>
          </cell>
          <cell r="V54">
            <v>0</v>
          </cell>
          <cell r="W54">
            <v>0</v>
          </cell>
          <cell r="X54">
            <v>0</v>
          </cell>
          <cell r="Y54">
            <v>0</v>
          </cell>
          <cell r="Z54">
            <v>130188.96</v>
          </cell>
          <cell r="AA54">
            <v>346974.71999999997</v>
          </cell>
          <cell r="AB54">
            <v>181896.32000000001</v>
          </cell>
        </row>
        <row r="55">
          <cell r="U55">
            <v>0</v>
          </cell>
          <cell r="V55">
            <v>0</v>
          </cell>
          <cell r="W55">
            <v>0</v>
          </cell>
          <cell r="X55">
            <v>0</v>
          </cell>
          <cell r="Y55">
            <v>0</v>
          </cell>
          <cell r="Z55">
            <v>133443.42000000001</v>
          </cell>
          <cell r="AA55">
            <v>355649.02</v>
          </cell>
          <cell r="AB55">
            <v>186444.56</v>
          </cell>
        </row>
        <row r="56">
          <cell r="U56">
            <v>0</v>
          </cell>
          <cell r="V56">
            <v>0</v>
          </cell>
          <cell r="W56">
            <v>0</v>
          </cell>
          <cell r="X56">
            <v>0</v>
          </cell>
          <cell r="Y56">
            <v>0</v>
          </cell>
          <cell r="Z56">
            <v>136779.72</v>
          </cell>
          <cell r="AA56">
            <v>364540.28</v>
          </cell>
          <cell r="AB56">
            <v>191105</v>
          </cell>
        </row>
        <row r="57">
          <cell r="U57">
            <v>0</v>
          </cell>
          <cell r="V57">
            <v>0</v>
          </cell>
          <cell r="W57">
            <v>0</v>
          </cell>
          <cell r="X57">
            <v>0</v>
          </cell>
          <cell r="Y57">
            <v>0</v>
          </cell>
          <cell r="Z57">
            <v>0</v>
          </cell>
          <cell r="AA57">
            <v>0</v>
          </cell>
          <cell r="AB57">
            <v>0</v>
          </cell>
        </row>
      </sheetData>
      <sheetData sheetId="15">
        <row r="38">
          <cell r="U38">
            <v>0</v>
          </cell>
          <cell r="V38">
            <v>0</v>
          </cell>
          <cell r="W38">
            <v>0</v>
          </cell>
          <cell r="X38">
            <v>130207</v>
          </cell>
          <cell r="Y38">
            <v>178704</v>
          </cell>
          <cell r="Z38">
            <v>0</v>
          </cell>
          <cell r="AA38">
            <v>0</v>
          </cell>
          <cell r="AB38">
            <v>0</v>
          </cell>
        </row>
        <row r="39">
          <cell r="U39">
            <v>0</v>
          </cell>
          <cell r="V39">
            <v>0</v>
          </cell>
          <cell r="W39">
            <v>0</v>
          </cell>
          <cell r="X39">
            <v>667836.5</v>
          </cell>
          <cell r="Y39">
            <v>389037.5</v>
          </cell>
          <cell r="Z39">
            <v>0</v>
          </cell>
          <cell r="AA39">
            <v>0</v>
          </cell>
          <cell r="AB39">
            <v>0</v>
          </cell>
        </row>
        <row r="40">
          <cell r="U40">
            <v>0</v>
          </cell>
          <cell r="V40">
            <v>0</v>
          </cell>
          <cell r="W40">
            <v>0</v>
          </cell>
          <cell r="X40">
            <v>598688.5</v>
          </cell>
          <cell r="Y40">
            <v>398764.5</v>
          </cell>
          <cell r="Z40">
            <v>0</v>
          </cell>
          <cell r="AA40">
            <v>0</v>
          </cell>
          <cell r="AB40">
            <v>0</v>
          </cell>
        </row>
        <row r="41">
          <cell r="U41">
            <v>0</v>
          </cell>
          <cell r="V41">
            <v>0</v>
          </cell>
          <cell r="W41">
            <v>0</v>
          </cell>
          <cell r="X41">
            <v>405989.5</v>
          </cell>
          <cell r="Y41">
            <v>408732.5</v>
          </cell>
          <cell r="Z41">
            <v>0</v>
          </cell>
          <cell r="AA41">
            <v>0</v>
          </cell>
          <cell r="AB41">
            <v>0</v>
          </cell>
        </row>
        <row r="42">
          <cell r="U42">
            <v>0</v>
          </cell>
          <cell r="V42">
            <v>0</v>
          </cell>
          <cell r="W42">
            <v>0</v>
          </cell>
          <cell r="X42">
            <v>120256</v>
          </cell>
          <cell r="Y42">
            <v>320324</v>
          </cell>
          <cell r="Z42">
            <v>0</v>
          </cell>
          <cell r="AA42">
            <v>0</v>
          </cell>
          <cell r="AB42">
            <v>0</v>
          </cell>
        </row>
        <row r="43">
          <cell r="U43">
            <v>0</v>
          </cell>
          <cell r="V43">
            <v>0</v>
          </cell>
          <cell r="W43">
            <v>0</v>
          </cell>
          <cell r="X43">
            <v>123263</v>
          </cell>
          <cell r="Y43">
            <v>328331</v>
          </cell>
          <cell r="Z43">
            <v>0</v>
          </cell>
          <cell r="AA43">
            <v>0</v>
          </cell>
          <cell r="AB43">
            <v>0</v>
          </cell>
        </row>
        <row r="44">
          <cell r="U44">
            <v>0</v>
          </cell>
          <cell r="V44">
            <v>0</v>
          </cell>
          <cell r="W44">
            <v>0</v>
          </cell>
          <cell r="X44">
            <v>126344</v>
          </cell>
          <cell r="Y44">
            <v>336540</v>
          </cell>
          <cell r="Z44">
            <v>0</v>
          </cell>
          <cell r="AA44">
            <v>0</v>
          </cell>
          <cell r="AB44">
            <v>0</v>
          </cell>
        </row>
        <row r="45">
          <cell r="U45">
            <v>0</v>
          </cell>
          <cell r="V45">
            <v>0</v>
          </cell>
          <cell r="W45">
            <v>0</v>
          </cell>
          <cell r="X45">
            <v>0</v>
          </cell>
          <cell r="Y45">
            <v>0</v>
          </cell>
          <cell r="Z45">
            <v>0</v>
          </cell>
          <cell r="AA45">
            <v>0</v>
          </cell>
          <cell r="AB45">
            <v>0</v>
          </cell>
        </row>
      </sheetData>
      <sheetData sheetId="16">
        <row r="38">
          <cell r="V38">
            <v>0</v>
          </cell>
        </row>
        <row r="39">
          <cell r="V39">
            <v>68995</v>
          </cell>
        </row>
        <row r="40">
          <cell r="V40">
            <v>68228</v>
          </cell>
        </row>
        <row r="41">
          <cell r="V41">
            <v>86730</v>
          </cell>
        </row>
        <row r="42">
          <cell r="V42">
            <v>56724</v>
          </cell>
        </row>
        <row r="43">
          <cell r="V43">
            <v>17749</v>
          </cell>
        </row>
        <row r="44">
          <cell r="V44">
            <v>0</v>
          </cell>
        </row>
        <row r="45">
          <cell r="V45">
            <v>0</v>
          </cell>
        </row>
      </sheetData>
      <sheetData sheetId="17">
        <row r="78">
          <cell r="AG78">
            <v>0</v>
          </cell>
          <cell r="AH78">
            <v>0</v>
          </cell>
          <cell r="AI78">
            <v>0</v>
          </cell>
          <cell r="AL78">
            <v>466879.18</v>
          </cell>
          <cell r="AM78">
            <v>14743.41</v>
          </cell>
          <cell r="AN78">
            <v>14743.41</v>
          </cell>
          <cell r="AU78">
            <v>0</v>
          </cell>
          <cell r="AW78">
            <v>8563.07</v>
          </cell>
          <cell r="AX78">
            <v>8563.07</v>
          </cell>
          <cell r="AY78">
            <v>107084.13999999996</v>
          </cell>
          <cell r="AZ78">
            <v>41415.86</v>
          </cell>
          <cell r="BA78">
            <v>33244.86</v>
          </cell>
        </row>
        <row r="79">
          <cell r="AG79">
            <v>70479.399999999994</v>
          </cell>
          <cell r="AH79">
            <v>29238</v>
          </cell>
          <cell r="AI79">
            <v>71115</v>
          </cell>
          <cell r="AL79">
            <v>1211147.98</v>
          </cell>
          <cell r="AM79">
            <v>30223.71</v>
          </cell>
          <cell r="AN79">
            <v>30223.71</v>
          </cell>
          <cell r="AU79">
            <v>16763</v>
          </cell>
          <cell r="AW79">
            <v>10448.879999999999</v>
          </cell>
          <cell r="AX79">
            <v>10448.879999999999</v>
          </cell>
          <cell r="AY79">
            <v>205310.76</v>
          </cell>
          <cell r="AZ79">
            <v>57316.24</v>
          </cell>
          <cell r="BA79">
            <v>40566.239999999998</v>
          </cell>
        </row>
        <row r="80">
          <cell r="AG80">
            <v>72240.800000000003</v>
          </cell>
          <cell r="AH80">
            <v>29968</v>
          </cell>
          <cell r="AI80">
            <v>72892</v>
          </cell>
          <cell r="AL80">
            <v>1390725.38</v>
          </cell>
          <cell r="AM80">
            <v>30979.41</v>
          </cell>
          <cell r="AN80">
            <v>30979.41</v>
          </cell>
          <cell r="AU80">
            <v>17182</v>
          </cell>
          <cell r="AW80">
            <v>10710.17</v>
          </cell>
          <cell r="AX80">
            <v>10710.17</v>
          </cell>
          <cell r="AY80">
            <v>210446.34000000008</v>
          </cell>
          <cell r="AZ80">
            <v>58749.66</v>
          </cell>
          <cell r="BA80">
            <v>41580.660000000003</v>
          </cell>
        </row>
        <row r="81">
          <cell r="AG81">
            <v>74044.600000000006</v>
          </cell>
          <cell r="AH81">
            <v>30718</v>
          </cell>
          <cell r="AI81">
            <v>74713</v>
          </cell>
          <cell r="AL81">
            <v>1040956.76</v>
          </cell>
          <cell r="AM81">
            <v>31753.919999999998</v>
          </cell>
          <cell r="AN81">
            <v>31753.919999999998</v>
          </cell>
          <cell r="AU81">
            <v>17612</v>
          </cell>
          <cell r="AW81">
            <v>10977.92</v>
          </cell>
          <cell r="AX81">
            <v>10977.92</v>
          </cell>
          <cell r="AY81">
            <v>215706.84000000008</v>
          </cell>
          <cell r="AZ81">
            <v>60218.16</v>
          </cell>
          <cell r="BA81">
            <v>42620.160000000003</v>
          </cell>
        </row>
        <row r="82">
          <cell r="AG82">
            <v>75896.800000000003</v>
          </cell>
          <cell r="AH82">
            <v>31486</v>
          </cell>
          <cell r="AI82">
            <v>76582</v>
          </cell>
          <cell r="AL82">
            <v>1151957.26</v>
          </cell>
          <cell r="AM82">
            <v>32547.57</v>
          </cell>
          <cell r="AN82">
            <v>32547.57</v>
          </cell>
          <cell r="AU82">
            <v>18052</v>
          </cell>
          <cell r="AW82">
            <v>11252.3</v>
          </cell>
          <cell r="AX82">
            <v>11252.3</v>
          </cell>
          <cell r="AY82">
            <v>221098.60000000009</v>
          </cell>
          <cell r="AZ82">
            <v>61723.4</v>
          </cell>
          <cell r="BA82">
            <v>43685.4</v>
          </cell>
        </row>
        <row r="83">
          <cell r="AG83">
            <v>77795.199999999997</v>
          </cell>
          <cell r="AH83">
            <v>32273</v>
          </cell>
          <cell r="AI83">
            <v>78497</v>
          </cell>
          <cell r="AL83">
            <v>1167389.8999999999</v>
          </cell>
          <cell r="AM83">
            <v>33361.35</v>
          </cell>
          <cell r="AN83">
            <v>33361.35</v>
          </cell>
          <cell r="AU83">
            <v>18503</v>
          </cell>
          <cell r="AW83">
            <v>11533.65</v>
          </cell>
          <cell r="AX83">
            <v>11533.65</v>
          </cell>
          <cell r="AY83">
            <v>226627.30000000005</v>
          </cell>
          <cell r="AZ83">
            <v>63266.700000000004</v>
          </cell>
          <cell r="BA83">
            <v>44777.700000000004</v>
          </cell>
        </row>
        <row r="84">
          <cell r="AG84">
            <v>79739</v>
          </cell>
          <cell r="AH84">
            <v>33080</v>
          </cell>
          <cell r="AI84">
            <v>80459</v>
          </cell>
          <cell r="AL84">
            <v>1196418.68</v>
          </cell>
          <cell r="AM84">
            <v>34195.26</v>
          </cell>
          <cell r="AN84">
            <v>34195.26</v>
          </cell>
          <cell r="AU84">
            <v>18966</v>
          </cell>
          <cell r="AW84">
            <v>11821.97</v>
          </cell>
          <cell r="AX84">
            <v>11821.97</v>
          </cell>
          <cell r="AY84">
            <v>232288.94000000018</v>
          </cell>
          <cell r="AZ84">
            <v>64848.060000000005</v>
          </cell>
          <cell r="BA84">
            <v>45897.060000000005</v>
          </cell>
        </row>
        <row r="85">
          <cell r="AG85">
            <v>0</v>
          </cell>
          <cell r="AH85">
            <v>0</v>
          </cell>
          <cell r="AI85">
            <v>0</v>
          </cell>
          <cell r="AL85">
            <v>0</v>
          </cell>
          <cell r="AM85">
            <v>0</v>
          </cell>
          <cell r="AN85">
            <v>0</v>
          </cell>
          <cell r="AU85">
            <v>0</v>
          </cell>
          <cell r="AW85">
            <v>0</v>
          </cell>
          <cell r="AX85">
            <v>0</v>
          </cell>
          <cell r="AY85">
            <v>0</v>
          </cell>
          <cell r="AZ85">
            <v>0</v>
          </cell>
          <cell r="BA85">
            <v>0</v>
          </cell>
        </row>
      </sheetData>
      <sheetData sheetId="18"/>
      <sheetData sheetId="19"/>
      <sheetData sheetId="20"/>
      <sheetData sheetId="21">
        <row r="66">
          <cell r="AP66">
            <v>69910.86</v>
          </cell>
          <cell r="AQ66">
            <v>4884.58</v>
          </cell>
          <cell r="AR66">
            <v>4075.87</v>
          </cell>
          <cell r="AS66">
            <v>17218.59</v>
          </cell>
          <cell r="AT66">
            <v>3931.58</v>
          </cell>
          <cell r="AU66">
            <v>81626.039999999994</v>
          </cell>
          <cell r="AV66">
            <v>19148.2</v>
          </cell>
          <cell r="AW66">
            <v>35724.04</v>
          </cell>
          <cell r="BC66">
            <v>20101.960000000006</v>
          </cell>
          <cell r="BD66">
            <v>4307.5599999999995</v>
          </cell>
          <cell r="BE66">
            <v>0</v>
          </cell>
          <cell r="BF66">
            <v>34460.5</v>
          </cell>
          <cell r="BG66">
            <v>10050.969999999999</v>
          </cell>
          <cell r="BH66">
            <v>4307.5600000000122</v>
          </cell>
          <cell r="BI66">
            <v>0</v>
          </cell>
          <cell r="BJ66">
            <v>0</v>
          </cell>
        </row>
        <row r="67">
          <cell r="AP67">
            <v>234474.38</v>
          </cell>
          <cell r="AQ67">
            <v>14053.9</v>
          </cell>
          <cell r="AR67">
            <v>11727.08</v>
          </cell>
          <cell r="AS67">
            <v>47083.15</v>
          </cell>
          <cell r="AT67">
            <v>11311.92</v>
          </cell>
          <cell r="AU67">
            <v>233428.11</v>
          </cell>
          <cell r="AV67">
            <v>53454.39</v>
          </cell>
          <cell r="AW67">
            <v>101146.36</v>
          </cell>
          <cell r="BC67">
            <v>41209.010000000009</v>
          </cell>
          <cell r="BD67">
            <v>103557.3</v>
          </cell>
          <cell r="BE67">
            <v>0</v>
          </cell>
          <cell r="BF67">
            <v>70644.01999999999</v>
          </cell>
          <cell r="BG67">
            <v>20604.510000000002</v>
          </cell>
          <cell r="BH67">
            <v>8830.5</v>
          </cell>
          <cell r="BI67">
            <v>0</v>
          </cell>
          <cell r="BJ67">
            <v>0</v>
          </cell>
        </row>
        <row r="68">
          <cell r="AP68">
            <v>203801.12</v>
          </cell>
          <cell r="AQ68">
            <v>10870.6</v>
          </cell>
          <cell r="AR68">
            <v>9070.82</v>
          </cell>
          <cell r="AS68">
            <v>37950.65</v>
          </cell>
          <cell r="AT68">
            <v>8749.7000000000007</v>
          </cell>
          <cell r="AU68">
            <v>195684.78</v>
          </cell>
          <cell r="AV68">
            <v>42368.06</v>
          </cell>
          <cell r="AW68">
            <v>79257.490000000005</v>
          </cell>
          <cell r="BC68">
            <v>42239.239999999991</v>
          </cell>
          <cell r="BD68">
            <v>76274.26999999999</v>
          </cell>
          <cell r="BE68">
            <v>0</v>
          </cell>
          <cell r="BF68">
            <v>72410.13</v>
          </cell>
          <cell r="BG68">
            <v>21119.62</v>
          </cell>
          <cell r="BH68">
            <v>9051.2699999999895</v>
          </cell>
          <cell r="BI68">
            <v>0</v>
          </cell>
          <cell r="BJ68">
            <v>0</v>
          </cell>
        </row>
        <row r="69">
          <cell r="AP69">
            <v>260962.71</v>
          </cell>
          <cell r="AQ69">
            <v>16179.62</v>
          </cell>
          <cell r="AR69">
            <v>13500.87</v>
          </cell>
          <cell r="AS69">
            <v>53591.69</v>
          </cell>
          <cell r="AT69">
            <v>13022.9</v>
          </cell>
          <cell r="AU69">
            <v>262681.81</v>
          </cell>
          <cell r="AV69">
            <v>61130.97</v>
          </cell>
          <cell r="AW69">
            <v>116036.6</v>
          </cell>
          <cell r="BC69">
            <v>43295.22</v>
          </cell>
          <cell r="BD69">
            <v>84116.150000000009</v>
          </cell>
          <cell r="BE69">
            <v>0</v>
          </cell>
          <cell r="BF69">
            <v>74220.38</v>
          </cell>
          <cell r="BG69">
            <v>21647.619999999995</v>
          </cell>
          <cell r="BH69">
            <v>9277.5499999999884</v>
          </cell>
          <cell r="BI69">
            <v>0</v>
          </cell>
          <cell r="BJ69">
            <v>0</v>
          </cell>
        </row>
        <row r="70">
          <cell r="AP70">
            <v>207455.98</v>
          </cell>
          <cell r="AQ70">
            <v>10776.34</v>
          </cell>
          <cell r="AR70">
            <v>8992.17</v>
          </cell>
          <cell r="AS70">
            <v>37991.839999999997</v>
          </cell>
          <cell r="AT70">
            <v>8673.83</v>
          </cell>
          <cell r="AU70">
            <v>197644.22</v>
          </cell>
          <cell r="AV70">
            <v>42247.53</v>
          </cell>
          <cell r="AW70">
            <v>78817.100000000006</v>
          </cell>
          <cell r="BC70">
            <v>26626.559999999998</v>
          </cell>
          <cell r="BD70">
            <v>54138.69</v>
          </cell>
          <cell r="BE70">
            <v>0</v>
          </cell>
          <cell r="BF70">
            <v>49449.33</v>
          </cell>
          <cell r="BG70">
            <v>13313.28</v>
          </cell>
          <cell r="BH70">
            <v>9509.4899999999907</v>
          </cell>
          <cell r="BI70">
            <v>0</v>
          </cell>
          <cell r="BJ70">
            <v>0</v>
          </cell>
        </row>
        <row r="71">
          <cell r="AP71">
            <v>206046.25</v>
          </cell>
          <cell r="AQ71">
            <v>10407.6</v>
          </cell>
          <cell r="AR71">
            <v>8684.48</v>
          </cell>
          <cell r="AS71">
            <v>37080.32</v>
          </cell>
          <cell r="AT71">
            <v>8377.0300000000007</v>
          </cell>
          <cell r="AU71">
            <v>194717.48</v>
          </cell>
          <cell r="AV71">
            <v>41060.89</v>
          </cell>
          <cell r="AW71">
            <v>76379.13</v>
          </cell>
          <cell r="BC71">
            <v>27292.23000000001</v>
          </cell>
          <cell r="BD71">
            <v>25985.620000000003</v>
          </cell>
          <cell r="BE71">
            <v>0</v>
          </cell>
          <cell r="BF71">
            <v>50685.57</v>
          </cell>
          <cell r="BG71">
            <v>13646.109999999999</v>
          </cell>
          <cell r="BH71">
            <v>9747.2200000000012</v>
          </cell>
          <cell r="BI71">
            <v>0</v>
          </cell>
          <cell r="BJ71">
            <v>0</v>
          </cell>
        </row>
        <row r="72">
          <cell r="AP72">
            <v>197973.94</v>
          </cell>
          <cell r="AQ72">
            <v>9388.4599999999991</v>
          </cell>
          <cell r="AR72">
            <v>7834.08</v>
          </cell>
          <cell r="AS72">
            <v>34275.9</v>
          </cell>
          <cell r="AT72">
            <v>7556.73</v>
          </cell>
          <cell r="AU72">
            <v>183812.48000000001</v>
          </cell>
          <cell r="AV72">
            <v>37591.160000000003</v>
          </cell>
          <cell r="AW72">
            <v>69450.960000000006</v>
          </cell>
          <cell r="BC72">
            <v>27974.53</v>
          </cell>
          <cell r="BD72">
            <v>9990.91</v>
          </cell>
          <cell r="BE72">
            <v>0</v>
          </cell>
          <cell r="BF72">
            <v>51952.700000000004</v>
          </cell>
          <cell r="BG72">
            <v>13987.27</v>
          </cell>
          <cell r="BH72">
            <v>9990.8999999999942</v>
          </cell>
          <cell r="BI72">
            <v>0</v>
          </cell>
          <cell r="BJ72">
            <v>0</v>
          </cell>
        </row>
        <row r="73">
          <cell r="AP73">
            <v>41910.28</v>
          </cell>
          <cell r="AQ73">
            <v>1821.07</v>
          </cell>
          <cell r="AR73">
            <v>1519.57</v>
          </cell>
          <cell r="AS73">
            <v>5311.55</v>
          </cell>
          <cell r="AT73">
            <v>1465.77</v>
          </cell>
          <cell r="AU73">
            <v>45539.34</v>
          </cell>
          <cell r="AV73">
            <v>6400.24</v>
          </cell>
          <cell r="AW73">
            <v>12580.05</v>
          </cell>
          <cell r="BC73">
            <v>0</v>
          </cell>
          <cell r="BD73">
            <v>0</v>
          </cell>
          <cell r="BE73">
            <v>0</v>
          </cell>
          <cell r="BF73">
            <v>0</v>
          </cell>
          <cell r="BG73">
            <v>0</v>
          </cell>
          <cell r="BH73">
            <v>0</v>
          </cell>
          <cell r="BI73">
            <v>0</v>
          </cell>
          <cell r="BJ73">
            <v>0</v>
          </cell>
        </row>
      </sheetData>
      <sheetData sheetId="22">
        <row r="205">
          <cell r="AP205">
            <v>0</v>
          </cell>
          <cell r="AQ205">
            <v>0</v>
          </cell>
          <cell r="AR205">
            <v>0</v>
          </cell>
          <cell r="AS205">
            <v>3586.93</v>
          </cell>
          <cell r="AT205">
            <v>0</v>
          </cell>
          <cell r="AU205">
            <v>227391.29</v>
          </cell>
          <cell r="AV205">
            <v>27391.29</v>
          </cell>
          <cell r="AW205">
            <v>27391.29</v>
          </cell>
          <cell r="BC205">
            <v>75707</v>
          </cell>
          <cell r="BD205">
            <v>0</v>
          </cell>
          <cell r="BE205">
            <v>0</v>
          </cell>
          <cell r="BF205">
            <v>-1.9332716146891471E-4</v>
          </cell>
          <cell r="BG205">
            <v>0</v>
          </cell>
          <cell r="BH205">
            <v>387499.9965377819</v>
          </cell>
          <cell r="BI205">
            <v>-3.4622181083250325E-3</v>
          </cell>
          <cell r="BJ205">
            <v>-3.4622181083250325E-3</v>
          </cell>
        </row>
        <row r="206">
          <cell r="AP206">
            <v>21500</v>
          </cell>
          <cell r="AQ206">
            <v>16125</v>
          </cell>
          <cell r="AR206">
            <v>10750</v>
          </cell>
          <cell r="AS206">
            <v>77462.13</v>
          </cell>
          <cell r="AT206">
            <v>16125</v>
          </cell>
          <cell r="AU206">
            <v>209974.75</v>
          </cell>
          <cell r="AV206">
            <v>64974.75</v>
          </cell>
          <cell r="AW206">
            <v>59599.75</v>
          </cell>
          <cell r="BC206">
            <v>350094</v>
          </cell>
          <cell r="BD206">
            <v>11250</v>
          </cell>
          <cell r="BE206">
            <v>0</v>
          </cell>
          <cell r="BF206">
            <v>212000</v>
          </cell>
          <cell r="BG206">
            <v>0</v>
          </cell>
          <cell r="BH206">
            <v>974500</v>
          </cell>
          <cell r="BI206">
            <v>0</v>
          </cell>
          <cell r="BJ206">
            <v>0</v>
          </cell>
        </row>
        <row r="207">
          <cell r="AP207">
            <v>83000</v>
          </cell>
          <cell r="AQ207">
            <v>58500</v>
          </cell>
          <cell r="AR207">
            <v>39000</v>
          </cell>
          <cell r="AS207">
            <v>140473.99</v>
          </cell>
          <cell r="AT207">
            <v>58500</v>
          </cell>
          <cell r="AU207">
            <v>463649.32</v>
          </cell>
          <cell r="AV207">
            <v>93649.32</v>
          </cell>
          <cell r="AW207">
            <v>74149.320000000007</v>
          </cell>
          <cell r="BC207">
            <v>566924</v>
          </cell>
          <cell r="BD207">
            <v>362837.5</v>
          </cell>
          <cell r="BE207">
            <v>48825</v>
          </cell>
          <cell r="BF207">
            <v>235237.5</v>
          </cell>
          <cell r="BG207">
            <v>223237.5</v>
          </cell>
          <cell r="BH207">
            <v>1398325</v>
          </cell>
          <cell r="BI207">
            <v>48825</v>
          </cell>
          <cell r="BJ207">
            <v>24412.5</v>
          </cell>
        </row>
        <row r="208">
          <cell r="AP208">
            <v>78000</v>
          </cell>
          <cell r="AQ208">
            <v>58500</v>
          </cell>
          <cell r="AR208">
            <v>39000</v>
          </cell>
          <cell r="AS208">
            <v>84020.67</v>
          </cell>
          <cell r="AT208">
            <v>58500</v>
          </cell>
          <cell r="AU208">
            <v>556013.78</v>
          </cell>
          <cell r="AV208">
            <v>96013.78</v>
          </cell>
          <cell r="AW208">
            <v>76513.78</v>
          </cell>
          <cell r="BC208">
            <v>287509</v>
          </cell>
          <cell r="BD208">
            <v>177087.5</v>
          </cell>
          <cell r="BE208">
            <v>48825</v>
          </cell>
          <cell r="BF208">
            <v>235237.5</v>
          </cell>
          <cell r="BG208">
            <v>223237.5</v>
          </cell>
          <cell r="BH208">
            <v>598325</v>
          </cell>
          <cell r="BI208">
            <v>48825</v>
          </cell>
          <cell r="BJ208">
            <v>24412.5</v>
          </cell>
        </row>
        <row r="209">
          <cell r="AP209">
            <v>78000</v>
          </cell>
          <cell r="AQ209">
            <v>58500</v>
          </cell>
          <cell r="AR209">
            <v>39000</v>
          </cell>
          <cell r="AS209">
            <v>102170.58</v>
          </cell>
          <cell r="AT209">
            <v>58500</v>
          </cell>
          <cell r="AU209">
            <v>637280.39</v>
          </cell>
          <cell r="AV209">
            <v>94780.39</v>
          </cell>
          <cell r="AW209">
            <v>75280.39</v>
          </cell>
          <cell r="BC209">
            <v>234319</v>
          </cell>
          <cell r="BD209">
            <v>59332.5</v>
          </cell>
          <cell r="BE209">
            <v>29555</v>
          </cell>
          <cell r="BF209">
            <v>406332.5</v>
          </cell>
          <cell r="BG209">
            <v>194332.5</v>
          </cell>
          <cell r="BH209">
            <v>716554.99999999988</v>
          </cell>
          <cell r="BI209">
            <v>29555</v>
          </cell>
          <cell r="BJ209">
            <v>14777.5</v>
          </cell>
        </row>
        <row r="210">
          <cell r="AP210">
            <v>43000</v>
          </cell>
          <cell r="AQ210">
            <v>32250</v>
          </cell>
          <cell r="AR210">
            <v>21500</v>
          </cell>
          <cell r="AS210">
            <v>55646.95</v>
          </cell>
          <cell r="AT210">
            <v>32250</v>
          </cell>
          <cell r="AU210">
            <v>357097.97</v>
          </cell>
          <cell r="AV210">
            <v>77097.97</v>
          </cell>
          <cell r="AW210">
            <v>66347.97</v>
          </cell>
          <cell r="BC210">
            <v>79634</v>
          </cell>
          <cell r="BD210">
            <v>36682.5</v>
          </cell>
          <cell r="BE210">
            <v>24455</v>
          </cell>
          <cell r="BF210">
            <v>198682.5</v>
          </cell>
          <cell r="BG210">
            <v>186682.5</v>
          </cell>
          <cell r="BH210">
            <v>673955</v>
          </cell>
          <cell r="BI210">
            <v>24455</v>
          </cell>
          <cell r="BJ210">
            <v>12227.5</v>
          </cell>
        </row>
        <row r="211">
          <cell r="AP211">
            <v>21500</v>
          </cell>
          <cell r="AQ211">
            <v>16125</v>
          </cell>
          <cell r="AR211">
            <v>10750</v>
          </cell>
          <cell r="AS211">
            <v>37689.82</v>
          </cell>
          <cell r="AT211">
            <v>16125</v>
          </cell>
          <cell r="AU211">
            <v>510126.55</v>
          </cell>
          <cell r="AV211">
            <v>65126.55</v>
          </cell>
          <cell r="AW211">
            <v>59751.55</v>
          </cell>
          <cell r="BC211">
            <v>0</v>
          </cell>
          <cell r="BD211">
            <v>0</v>
          </cell>
          <cell r="BE211">
            <v>0</v>
          </cell>
          <cell r="BF211">
            <v>12000</v>
          </cell>
          <cell r="BG211">
            <v>0</v>
          </cell>
          <cell r="BH211">
            <v>624500</v>
          </cell>
          <cell r="BI211">
            <v>0</v>
          </cell>
          <cell r="BJ211">
            <v>0</v>
          </cell>
        </row>
        <row r="212">
          <cell r="AP212">
            <v>0</v>
          </cell>
          <cell r="AQ212">
            <v>0</v>
          </cell>
          <cell r="AR212">
            <v>0</v>
          </cell>
          <cell r="AS212">
            <v>1922.56</v>
          </cell>
          <cell r="AT212">
            <v>0</v>
          </cell>
          <cell r="AU212">
            <v>1281.7</v>
          </cell>
          <cell r="AV212">
            <v>1281.7</v>
          </cell>
          <cell r="AW212">
            <v>1281.7</v>
          </cell>
          <cell r="BC212">
            <v>0</v>
          </cell>
          <cell r="BD212">
            <v>0</v>
          </cell>
          <cell r="BE212">
            <v>0</v>
          </cell>
          <cell r="BF212">
            <v>12000</v>
          </cell>
          <cell r="BG212">
            <v>0</v>
          </cell>
          <cell r="BH212">
            <v>12000</v>
          </cell>
          <cell r="BI212">
            <v>0</v>
          </cell>
          <cell r="BJ212">
            <v>0</v>
          </cell>
        </row>
      </sheetData>
      <sheetData sheetId="23"/>
      <sheetData sheetId="24"/>
      <sheetData sheetId="25">
        <row r="621">
          <cell r="AL621">
            <v>0</v>
          </cell>
          <cell r="AM621">
            <v>0</v>
          </cell>
          <cell r="AN621">
            <v>0</v>
          </cell>
          <cell r="AO621">
            <v>192.54</v>
          </cell>
          <cell r="AQ621">
            <v>192.54</v>
          </cell>
          <cell r="AR621">
            <v>192.54</v>
          </cell>
          <cell r="AY621">
            <v>0</v>
          </cell>
          <cell r="AZ621">
            <v>0</v>
          </cell>
          <cell r="BA621">
            <v>0</v>
          </cell>
          <cell r="BB621">
            <v>-6.0686523028152806E-4</v>
          </cell>
          <cell r="BD621">
            <v>-6.0686523028152806E-4</v>
          </cell>
          <cell r="BE621">
            <v>-6.0686523028152806E-4</v>
          </cell>
        </row>
        <row r="622">
          <cell r="AL622">
            <v>0</v>
          </cell>
          <cell r="AM622">
            <v>0</v>
          </cell>
          <cell r="AN622">
            <v>0</v>
          </cell>
          <cell r="AO622">
            <v>1164.04</v>
          </cell>
          <cell r="AQ622">
            <v>1110.04</v>
          </cell>
          <cell r="AR622">
            <v>1554.04</v>
          </cell>
          <cell r="AY622">
            <v>211105</v>
          </cell>
          <cell r="AZ622">
            <v>28437.5</v>
          </cell>
          <cell r="BA622">
            <v>0</v>
          </cell>
          <cell r="BB622">
            <v>12569.003975417061</v>
          </cell>
          <cell r="BD622">
            <v>3.9754170627475105E-3</v>
          </cell>
          <cell r="BE622">
            <v>3.9754170627475105E-3</v>
          </cell>
        </row>
        <row r="623">
          <cell r="AL623">
            <v>0</v>
          </cell>
          <cell r="AM623">
            <v>0</v>
          </cell>
          <cell r="AN623">
            <v>0</v>
          </cell>
          <cell r="AO623">
            <v>1175.1500000000001</v>
          </cell>
          <cell r="AQ623">
            <v>455.15</v>
          </cell>
          <cell r="AR623">
            <v>1565.15</v>
          </cell>
          <cell r="AY623">
            <v>194413.33333333331</v>
          </cell>
          <cell r="AZ623">
            <v>111195</v>
          </cell>
          <cell r="BA623">
            <v>112000</v>
          </cell>
          <cell r="BB623">
            <v>12009.995074802489</v>
          </cell>
          <cell r="BD623">
            <v>-4.9251975107154067E-3</v>
          </cell>
          <cell r="BE623">
            <v>-4.9251975108290935E-3</v>
          </cell>
        </row>
        <row r="624">
          <cell r="AL624">
            <v>0</v>
          </cell>
          <cell r="AM624">
            <v>0</v>
          </cell>
          <cell r="AN624">
            <v>0</v>
          </cell>
          <cell r="AO624">
            <v>1186.52</v>
          </cell>
          <cell r="AQ624">
            <v>1132.52</v>
          </cell>
          <cell r="AR624">
            <v>1576.52</v>
          </cell>
          <cell r="AY624">
            <v>126148.33333333334</v>
          </cell>
          <cell r="AZ624">
            <v>83645</v>
          </cell>
          <cell r="BA624">
            <v>0</v>
          </cell>
          <cell r="BB624">
            <v>27525.003701672551</v>
          </cell>
          <cell r="BD624">
            <v>3.7016725514149584E-3</v>
          </cell>
          <cell r="BE624">
            <v>3.7016725514149584E-3</v>
          </cell>
        </row>
        <row r="625">
          <cell r="AL625">
            <v>0</v>
          </cell>
          <cell r="AM625">
            <v>0</v>
          </cell>
          <cell r="AN625">
            <v>0</v>
          </cell>
          <cell r="AO625">
            <v>1198.19</v>
          </cell>
          <cell r="AQ625">
            <v>478.19</v>
          </cell>
          <cell r="AR625">
            <v>1588.19</v>
          </cell>
          <cell r="AY625">
            <v>62880</v>
          </cell>
          <cell r="AZ625">
            <v>50540</v>
          </cell>
          <cell r="BA625">
            <v>112000</v>
          </cell>
          <cell r="BB625">
            <v>12009.996794214365</v>
          </cell>
          <cell r="BD625">
            <v>-3.2057856348046698E-3</v>
          </cell>
          <cell r="BE625">
            <v>-3.2057856349183567E-3</v>
          </cell>
        </row>
        <row r="626">
          <cell r="AL626">
            <v>0</v>
          </cell>
          <cell r="AM626">
            <v>0</v>
          </cell>
          <cell r="AN626">
            <v>0</v>
          </cell>
          <cell r="AO626">
            <v>1210.1400000000001</v>
          </cell>
          <cell r="AQ626">
            <v>1156.1400000000001</v>
          </cell>
          <cell r="AR626">
            <v>1600.14</v>
          </cell>
          <cell r="AY626">
            <v>8245</v>
          </cell>
          <cell r="AZ626">
            <v>0</v>
          </cell>
          <cell r="BA626">
            <v>0</v>
          </cell>
          <cell r="BB626">
            <v>12010.001464069725</v>
          </cell>
          <cell r="BD626">
            <v>1.4640697243066825E-3</v>
          </cell>
          <cell r="BE626">
            <v>1.4640697243066825E-3</v>
          </cell>
        </row>
        <row r="627">
          <cell r="AL627">
            <v>0</v>
          </cell>
          <cell r="AM627">
            <v>0</v>
          </cell>
          <cell r="AN627">
            <v>0</v>
          </cell>
          <cell r="AO627">
            <v>1036.32</v>
          </cell>
          <cell r="AQ627">
            <v>316.32</v>
          </cell>
          <cell r="AR627">
            <v>316.32</v>
          </cell>
          <cell r="AY627">
            <v>8245</v>
          </cell>
          <cell r="AZ627">
            <v>0</v>
          </cell>
          <cell r="BA627">
            <v>0</v>
          </cell>
          <cell r="BB627">
            <v>12010.002778200555</v>
          </cell>
          <cell r="BD627">
            <v>2.778200553507304E-3</v>
          </cell>
          <cell r="BE627">
            <v>2.778200553507304E-3</v>
          </cell>
        </row>
        <row r="628">
          <cell r="AL628">
            <v>0</v>
          </cell>
          <cell r="AM628">
            <v>0</v>
          </cell>
          <cell r="AN628">
            <v>0</v>
          </cell>
          <cell r="AO628">
            <v>0</v>
          </cell>
          <cell r="AQ628">
            <v>0</v>
          </cell>
          <cell r="AR628">
            <v>0</v>
          </cell>
          <cell r="AY628">
            <v>0</v>
          </cell>
          <cell r="AZ628">
            <v>0</v>
          </cell>
          <cell r="BA628">
            <v>0</v>
          </cell>
          <cell r="BB628">
            <v>0</v>
          </cell>
          <cell r="BD628">
            <v>0</v>
          </cell>
          <cell r="BE628">
            <v>0</v>
          </cell>
        </row>
      </sheetData>
      <sheetData sheetId="26"/>
      <sheetData sheetId="27">
        <row r="28">
          <cell r="AG28">
            <v>0</v>
          </cell>
          <cell r="AT28">
            <v>0</v>
          </cell>
          <cell r="AU28">
            <v>0</v>
          </cell>
        </row>
        <row r="29">
          <cell r="AG29">
            <v>0</v>
          </cell>
          <cell r="AT29">
            <v>0</v>
          </cell>
          <cell r="AU29">
            <v>0</v>
          </cell>
        </row>
        <row r="30">
          <cell r="AG30">
            <v>0</v>
          </cell>
          <cell r="AT30">
            <v>0</v>
          </cell>
          <cell r="AU30">
            <v>0</v>
          </cell>
        </row>
        <row r="31">
          <cell r="AG31">
            <v>0</v>
          </cell>
          <cell r="AT31">
            <v>0</v>
          </cell>
          <cell r="AU31">
            <v>0</v>
          </cell>
        </row>
        <row r="32">
          <cell r="AG32">
            <v>0</v>
          </cell>
          <cell r="AT32">
            <v>0</v>
          </cell>
          <cell r="AU32">
            <v>0</v>
          </cell>
        </row>
        <row r="33">
          <cell r="AG33">
            <v>0</v>
          </cell>
          <cell r="AT33">
            <v>0</v>
          </cell>
          <cell r="AU33">
            <v>0</v>
          </cell>
        </row>
        <row r="34">
          <cell r="AG34">
            <v>0</v>
          </cell>
          <cell r="AT34">
            <v>0</v>
          </cell>
          <cell r="AU34">
            <v>0</v>
          </cell>
        </row>
        <row r="35">
          <cell r="AG35">
            <v>0</v>
          </cell>
          <cell r="AT35">
            <v>0</v>
          </cell>
          <cell r="AU35">
            <v>0</v>
          </cell>
        </row>
      </sheetData>
      <sheetData sheetId="28">
        <row r="402">
          <cell r="AN402">
            <v>15125.46389154604</v>
          </cell>
          <cell r="AQ402">
            <v>110.78055593514858</v>
          </cell>
          <cell r="AS402">
            <v>296883.33333333331</v>
          </cell>
          <cell r="AT402">
            <v>13333.333333333332</v>
          </cell>
          <cell r="AU402">
            <v>13333.333333333332</v>
          </cell>
          <cell r="BA402">
            <v>67587.475000000006</v>
          </cell>
          <cell r="BB402">
            <v>0</v>
          </cell>
          <cell r="BD402">
            <v>0</v>
          </cell>
          <cell r="BE402">
            <v>0</v>
          </cell>
          <cell r="BF402">
            <v>251400.00000000006</v>
          </cell>
        </row>
        <row r="403">
          <cell r="AN403">
            <v>231332.77037373019</v>
          </cell>
          <cell r="AQ403">
            <v>54360.217196247169</v>
          </cell>
          <cell r="AS403">
            <v>63050</v>
          </cell>
          <cell r="BA403">
            <v>3186714.7756250016</v>
          </cell>
          <cell r="BB403">
            <v>18243</v>
          </cell>
          <cell r="BD403">
            <v>1311.1800000000003</v>
          </cell>
          <cell r="BE403">
            <v>106000</v>
          </cell>
          <cell r="BF403">
            <v>188909.74374999999</v>
          </cell>
        </row>
        <row r="404">
          <cell r="AN404">
            <v>432451.82857764594</v>
          </cell>
          <cell r="AQ404">
            <v>30241.321493235133</v>
          </cell>
          <cell r="AS404">
            <v>164650</v>
          </cell>
          <cell r="BA404">
            <v>762363.18015625014</v>
          </cell>
          <cell r="BB404">
            <v>10162</v>
          </cell>
          <cell r="BD404">
            <v>4638.1679218749996</v>
          </cell>
          <cell r="BE404">
            <v>306000</v>
          </cell>
          <cell r="BF404">
            <v>496833.76226562494</v>
          </cell>
        </row>
        <row r="405">
          <cell r="AN405">
            <v>371234.95227106172</v>
          </cell>
          <cell r="AQ405">
            <v>30641.931686044536</v>
          </cell>
          <cell r="AS405">
            <v>21450</v>
          </cell>
          <cell r="BA405">
            <v>1750350.318863672</v>
          </cell>
          <cell r="BB405">
            <v>9140</v>
          </cell>
          <cell r="BD405">
            <v>7104.1397640625037</v>
          </cell>
          <cell r="BE405">
            <v>312000</v>
          </cell>
          <cell r="BF405">
            <v>69735.357300781252</v>
          </cell>
        </row>
        <row r="406">
          <cell r="AN406">
            <v>245436.21867649254</v>
          </cell>
          <cell r="AQ406">
            <v>1928.2192905592078</v>
          </cell>
          <cell r="AS406">
            <v>39000</v>
          </cell>
          <cell r="BA406">
            <v>170851.6914121875</v>
          </cell>
          <cell r="BB406">
            <v>6785</v>
          </cell>
          <cell r="BD406">
            <v>4878.6322139843742</v>
          </cell>
          <cell r="BE406">
            <v>212000</v>
          </cell>
          <cell r="BF406">
            <v>121196.9647474121</v>
          </cell>
        </row>
        <row r="407">
          <cell r="AN407">
            <v>128858.23278485666</v>
          </cell>
          <cell r="AQ407">
            <v>1012.9176960718837</v>
          </cell>
          <cell r="AS407">
            <v>37050</v>
          </cell>
          <cell r="BA407">
            <v>25400.764939116954</v>
          </cell>
          <cell r="BB407">
            <v>0</v>
          </cell>
          <cell r="BD407">
            <v>0</v>
          </cell>
          <cell r="BE407">
            <v>112000</v>
          </cell>
          <cell r="BF407">
            <v>111150</v>
          </cell>
        </row>
        <row r="408">
          <cell r="AN408">
            <v>0</v>
          </cell>
          <cell r="AQ408">
            <v>0</v>
          </cell>
          <cell r="AS408">
            <v>38350</v>
          </cell>
          <cell r="BA408">
            <v>0</v>
          </cell>
          <cell r="BB408">
            <v>0</v>
          </cell>
          <cell r="BD408">
            <v>0</v>
          </cell>
          <cell r="BE408">
            <v>0</v>
          </cell>
          <cell r="BF408">
            <v>114400</v>
          </cell>
        </row>
        <row r="409">
          <cell r="AS409">
            <v>0</v>
          </cell>
          <cell r="BB409">
            <v>0</v>
          </cell>
          <cell r="BE409">
            <v>0</v>
          </cell>
        </row>
      </sheetData>
      <sheetData sheetId="29">
        <row r="88">
          <cell r="AH88">
            <v>223754.01</v>
          </cell>
          <cell r="AI88">
            <v>0</v>
          </cell>
          <cell r="AJ88">
            <v>0</v>
          </cell>
          <cell r="AK88">
            <v>0</v>
          </cell>
          <cell r="AL88">
            <v>1982.43</v>
          </cell>
          <cell r="AM88">
            <v>1982.43</v>
          </cell>
          <cell r="AN88">
            <v>0</v>
          </cell>
          <cell r="AO88">
            <v>0</v>
          </cell>
          <cell r="AU88">
            <v>0</v>
          </cell>
          <cell r="AV88">
            <v>0</v>
          </cell>
          <cell r="AW88">
            <v>0</v>
          </cell>
          <cell r="AX88">
            <v>0</v>
          </cell>
          <cell r="AY88">
            <v>0</v>
          </cell>
          <cell r="AZ88">
            <v>0</v>
          </cell>
          <cell r="BA88">
            <v>0</v>
          </cell>
          <cell r="BB88">
            <v>0</v>
          </cell>
        </row>
        <row r="89">
          <cell r="AH89">
            <v>27483.41</v>
          </cell>
          <cell r="AI89">
            <v>0</v>
          </cell>
          <cell r="AJ89">
            <v>0</v>
          </cell>
          <cell r="AK89">
            <v>0</v>
          </cell>
          <cell r="AL89">
            <v>248.82</v>
          </cell>
          <cell r="AM89">
            <v>248.82</v>
          </cell>
          <cell r="AN89">
            <v>0</v>
          </cell>
          <cell r="AO89">
            <v>0</v>
          </cell>
          <cell r="AU89">
            <v>182520</v>
          </cell>
          <cell r="AV89">
            <v>265160</v>
          </cell>
          <cell r="AW89">
            <v>0</v>
          </cell>
          <cell r="AX89">
            <v>45000</v>
          </cell>
          <cell r="AY89">
            <v>20250</v>
          </cell>
          <cell r="AZ89">
            <v>0</v>
          </cell>
          <cell r="BA89">
            <v>0</v>
          </cell>
          <cell r="BB89">
            <v>0</v>
          </cell>
        </row>
        <row r="90">
          <cell r="AH90">
            <v>160556.41</v>
          </cell>
          <cell r="AI90">
            <v>0</v>
          </cell>
          <cell r="AJ90">
            <v>0</v>
          </cell>
          <cell r="AK90">
            <v>0</v>
          </cell>
          <cell r="AL90">
            <v>1396.89</v>
          </cell>
          <cell r="AM90">
            <v>1396.89</v>
          </cell>
          <cell r="AN90">
            <v>0</v>
          </cell>
          <cell r="AO90">
            <v>0</v>
          </cell>
          <cell r="AU90">
            <v>0</v>
          </cell>
          <cell r="AV90">
            <v>169500</v>
          </cell>
          <cell r="AW90">
            <v>0</v>
          </cell>
          <cell r="AX90">
            <v>60000</v>
          </cell>
          <cell r="AY90">
            <v>60000</v>
          </cell>
          <cell r="AZ90">
            <v>0</v>
          </cell>
          <cell r="BA90">
            <v>0</v>
          </cell>
          <cell r="BB90">
            <v>0</v>
          </cell>
        </row>
        <row r="91">
          <cell r="AH91">
            <v>131808.46</v>
          </cell>
          <cell r="AI91">
            <v>0</v>
          </cell>
          <cell r="AJ91">
            <v>0</v>
          </cell>
          <cell r="AK91">
            <v>0</v>
          </cell>
          <cell r="AL91">
            <v>1200.5999999999999</v>
          </cell>
          <cell r="AM91">
            <v>1200.5999999999999</v>
          </cell>
          <cell r="AN91">
            <v>0</v>
          </cell>
          <cell r="AO91">
            <v>0</v>
          </cell>
          <cell r="AU91">
            <v>0</v>
          </cell>
          <cell r="AV91">
            <v>147000</v>
          </cell>
          <cell r="AW91">
            <v>0</v>
          </cell>
          <cell r="AX91">
            <v>45000</v>
          </cell>
          <cell r="AY91">
            <v>60000</v>
          </cell>
          <cell r="AZ91">
            <v>0</v>
          </cell>
          <cell r="BA91">
            <v>0</v>
          </cell>
          <cell r="BB91">
            <v>0</v>
          </cell>
        </row>
        <row r="92">
          <cell r="AH92">
            <v>77472.25</v>
          </cell>
          <cell r="AI92">
            <v>0</v>
          </cell>
          <cell r="AJ92">
            <v>0</v>
          </cell>
          <cell r="AK92">
            <v>0</v>
          </cell>
          <cell r="AL92">
            <v>748.02</v>
          </cell>
          <cell r="AM92">
            <v>748.02</v>
          </cell>
          <cell r="AN92">
            <v>0</v>
          </cell>
          <cell r="AO92">
            <v>0</v>
          </cell>
          <cell r="AU92">
            <v>0</v>
          </cell>
          <cell r="AV92">
            <v>138000</v>
          </cell>
          <cell r="AW92">
            <v>0</v>
          </cell>
          <cell r="AX92">
            <v>0</v>
          </cell>
          <cell r="AY92">
            <v>49500</v>
          </cell>
          <cell r="AZ92">
            <v>0</v>
          </cell>
          <cell r="BA92">
            <v>0</v>
          </cell>
          <cell r="BB92">
            <v>0</v>
          </cell>
        </row>
        <row r="93">
          <cell r="AH93">
            <v>40607.339999999997</v>
          </cell>
          <cell r="AI93">
            <v>0</v>
          </cell>
          <cell r="AJ93">
            <v>0</v>
          </cell>
          <cell r="AK93">
            <v>0</v>
          </cell>
          <cell r="AL93">
            <v>400.52</v>
          </cell>
          <cell r="AM93">
            <v>400.52</v>
          </cell>
          <cell r="AN93">
            <v>0</v>
          </cell>
          <cell r="AO93">
            <v>0</v>
          </cell>
          <cell r="AU93">
            <v>0</v>
          </cell>
          <cell r="AV93">
            <v>27000</v>
          </cell>
          <cell r="AW93">
            <v>0</v>
          </cell>
          <cell r="AX93">
            <v>0</v>
          </cell>
          <cell r="AY93">
            <v>24750</v>
          </cell>
          <cell r="AZ93">
            <v>0</v>
          </cell>
          <cell r="BA93">
            <v>0</v>
          </cell>
          <cell r="BB93">
            <v>0</v>
          </cell>
        </row>
        <row r="94">
          <cell r="AH94">
            <v>0</v>
          </cell>
          <cell r="AI94">
            <v>0</v>
          </cell>
          <cell r="AJ94">
            <v>0</v>
          </cell>
          <cell r="AK94">
            <v>0</v>
          </cell>
          <cell r="AL94">
            <v>0</v>
          </cell>
          <cell r="AM94">
            <v>0</v>
          </cell>
          <cell r="AN94">
            <v>0</v>
          </cell>
          <cell r="AO94">
            <v>0</v>
          </cell>
          <cell r="AU94">
            <v>0</v>
          </cell>
          <cell r="AV94">
            <v>0</v>
          </cell>
          <cell r="AW94">
            <v>0</v>
          </cell>
          <cell r="AX94">
            <v>0</v>
          </cell>
          <cell r="AY94">
            <v>0</v>
          </cell>
          <cell r="AZ94">
            <v>0</v>
          </cell>
          <cell r="BA94">
            <v>0</v>
          </cell>
          <cell r="BB94">
            <v>0</v>
          </cell>
        </row>
        <row r="95">
          <cell r="AH95">
            <v>0</v>
          </cell>
          <cell r="AI95">
            <v>0</v>
          </cell>
          <cell r="AJ95">
            <v>0</v>
          </cell>
          <cell r="AK95">
            <v>0</v>
          </cell>
          <cell r="AL95">
            <v>0</v>
          </cell>
          <cell r="AM95">
            <v>0</v>
          </cell>
          <cell r="AN95">
            <v>0</v>
          </cell>
          <cell r="AO95">
            <v>0</v>
          </cell>
          <cell r="AU95">
            <v>0</v>
          </cell>
          <cell r="AV95">
            <v>0</v>
          </cell>
          <cell r="AW95">
            <v>0</v>
          </cell>
          <cell r="AX95">
            <v>0</v>
          </cell>
          <cell r="AY95">
            <v>0</v>
          </cell>
          <cell r="AZ95">
            <v>0</v>
          </cell>
          <cell r="BA95">
            <v>0</v>
          </cell>
          <cell r="BB95">
            <v>0</v>
          </cell>
        </row>
      </sheetData>
      <sheetData sheetId="30">
        <row r="70">
          <cell r="AR70">
            <v>6372.65</v>
          </cell>
          <cell r="AS70">
            <v>1062.1099999999999</v>
          </cell>
          <cell r="AT70">
            <v>2124.2199999999998</v>
          </cell>
          <cell r="AU70">
            <v>0</v>
          </cell>
          <cell r="AV70">
            <v>0</v>
          </cell>
          <cell r="AW70">
            <v>0</v>
          </cell>
          <cell r="AX70">
            <v>0</v>
          </cell>
          <cell r="AY70">
            <v>0</v>
          </cell>
          <cell r="BE70">
            <v>0</v>
          </cell>
          <cell r="BF70">
            <v>0</v>
          </cell>
          <cell r="BG70">
            <v>0</v>
          </cell>
          <cell r="BH70">
            <v>0</v>
          </cell>
          <cell r="BI70">
            <v>0</v>
          </cell>
          <cell r="BJ70">
            <v>0</v>
          </cell>
          <cell r="BK70">
            <v>0</v>
          </cell>
          <cell r="BL70">
            <v>0</v>
          </cell>
        </row>
        <row r="71">
          <cell r="AR71">
            <v>57642.080000000002</v>
          </cell>
          <cell r="AS71">
            <v>607.01</v>
          </cell>
          <cell r="AT71">
            <v>36064.03</v>
          </cell>
          <cell r="AU71">
            <v>0</v>
          </cell>
          <cell r="AV71">
            <v>0</v>
          </cell>
          <cell r="AW71">
            <v>0</v>
          </cell>
          <cell r="AX71">
            <v>0</v>
          </cell>
          <cell r="AY71">
            <v>0</v>
          </cell>
          <cell r="BE71">
            <v>0</v>
          </cell>
          <cell r="BF71">
            <v>157325</v>
          </cell>
          <cell r="BG71">
            <v>0</v>
          </cell>
          <cell r="BH71">
            <v>109425</v>
          </cell>
          <cell r="BI71">
            <v>179350</v>
          </cell>
          <cell r="BJ71">
            <v>0</v>
          </cell>
          <cell r="BK71">
            <v>0</v>
          </cell>
          <cell r="BL71">
            <v>0</v>
          </cell>
        </row>
        <row r="72">
          <cell r="AR72">
            <v>212212.4</v>
          </cell>
          <cell r="AS72">
            <v>1818.73</v>
          </cell>
          <cell r="AT72">
            <v>74187.47</v>
          </cell>
          <cell r="AU72">
            <v>0</v>
          </cell>
          <cell r="AV72">
            <v>0</v>
          </cell>
          <cell r="AW72">
            <v>0</v>
          </cell>
          <cell r="AX72">
            <v>0</v>
          </cell>
          <cell r="AY72">
            <v>0</v>
          </cell>
          <cell r="BE72">
            <v>0</v>
          </cell>
          <cell r="BF72">
            <v>195600</v>
          </cell>
          <cell r="BG72">
            <v>0</v>
          </cell>
          <cell r="BH72">
            <v>89625</v>
          </cell>
          <cell r="BI72">
            <v>347650</v>
          </cell>
          <cell r="BJ72">
            <v>0</v>
          </cell>
          <cell r="BK72">
            <v>0</v>
          </cell>
          <cell r="BL72">
            <v>0</v>
          </cell>
        </row>
        <row r="73">
          <cell r="AR73">
            <v>224634.97</v>
          </cell>
          <cell r="AS73">
            <v>18189.16</v>
          </cell>
          <cell r="AT73">
            <v>76928.320000000007</v>
          </cell>
          <cell r="AU73">
            <v>0</v>
          </cell>
          <cell r="AV73">
            <v>0</v>
          </cell>
          <cell r="AW73">
            <v>0</v>
          </cell>
          <cell r="AX73">
            <v>0</v>
          </cell>
          <cell r="AY73">
            <v>0</v>
          </cell>
          <cell r="BE73">
            <v>0</v>
          </cell>
          <cell r="BF73">
            <v>207650</v>
          </cell>
          <cell r="BG73">
            <v>0</v>
          </cell>
          <cell r="BH73">
            <v>64950</v>
          </cell>
          <cell r="BI73">
            <v>257550</v>
          </cell>
          <cell r="BJ73">
            <v>0</v>
          </cell>
          <cell r="BK73">
            <v>0</v>
          </cell>
          <cell r="BL73">
            <v>0</v>
          </cell>
        </row>
        <row r="74">
          <cell r="AR74">
            <v>169879.12</v>
          </cell>
          <cell r="AS74">
            <v>2063.19</v>
          </cell>
          <cell r="AT74">
            <v>119726.37</v>
          </cell>
          <cell r="AU74">
            <v>0</v>
          </cell>
          <cell r="AV74">
            <v>0</v>
          </cell>
          <cell r="AW74">
            <v>0</v>
          </cell>
          <cell r="AX74">
            <v>0</v>
          </cell>
          <cell r="AY74">
            <v>0</v>
          </cell>
          <cell r="BE74">
            <v>0</v>
          </cell>
          <cell r="BF74">
            <v>84275</v>
          </cell>
          <cell r="BG74">
            <v>0</v>
          </cell>
          <cell r="BH74">
            <v>0</v>
          </cell>
          <cell r="BI74">
            <v>277950</v>
          </cell>
          <cell r="BJ74">
            <v>0</v>
          </cell>
          <cell r="BK74">
            <v>0</v>
          </cell>
          <cell r="BL74">
            <v>0</v>
          </cell>
        </row>
        <row r="75">
          <cell r="AR75">
            <v>73267.7</v>
          </cell>
          <cell r="AS75">
            <v>1411.28</v>
          </cell>
          <cell r="AT75">
            <v>118422.57</v>
          </cell>
          <cell r="AU75">
            <v>0</v>
          </cell>
          <cell r="AV75">
            <v>0</v>
          </cell>
          <cell r="AW75">
            <v>0</v>
          </cell>
          <cell r="AX75">
            <v>0</v>
          </cell>
          <cell r="AY75">
            <v>0</v>
          </cell>
          <cell r="BE75">
            <v>0</v>
          </cell>
          <cell r="BF75">
            <v>7150.0000000000009</v>
          </cell>
          <cell r="BG75">
            <v>0</v>
          </cell>
          <cell r="BH75">
            <v>0</v>
          </cell>
          <cell r="BI75">
            <v>122400</v>
          </cell>
          <cell r="BJ75">
            <v>0</v>
          </cell>
          <cell r="BK75">
            <v>0</v>
          </cell>
          <cell r="BL75">
            <v>0</v>
          </cell>
        </row>
        <row r="76">
          <cell r="AR76">
            <v>7390.32</v>
          </cell>
          <cell r="AS76">
            <v>1231.72</v>
          </cell>
          <cell r="AT76">
            <v>2463.44</v>
          </cell>
          <cell r="AU76">
            <v>0</v>
          </cell>
          <cell r="AV76">
            <v>0</v>
          </cell>
          <cell r="AW76">
            <v>0</v>
          </cell>
          <cell r="AX76">
            <v>0</v>
          </cell>
          <cell r="AY76">
            <v>0</v>
          </cell>
          <cell r="BE76">
            <v>0</v>
          </cell>
          <cell r="BF76">
            <v>0</v>
          </cell>
          <cell r="BG76">
            <v>0</v>
          </cell>
          <cell r="BH76">
            <v>0</v>
          </cell>
          <cell r="BI76">
            <v>0</v>
          </cell>
          <cell r="BJ76">
            <v>0</v>
          </cell>
          <cell r="BK76">
            <v>0</v>
          </cell>
          <cell r="BL76">
            <v>0</v>
          </cell>
        </row>
        <row r="77">
          <cell r="AR77">
            <v>0</v>
          </cell>
          <cell r="AS77">
            <v>0</v>
          </cell>
          <cell r="AT77">
            <v>0</v>
          </cell>
          <cell r="AU77">
            <v>0</v>
          </cell>
          <cell r="AV77">
            <v>0</v>
          </cell>
          <cell r="AW77">
            <v>0</v>
          </cell>
          <cell r="AX77">
            <v>0</v>
          </cell>
          <cell r="AY77">
            <v>0</v>
          </cell>
          <cell r="BE77">
            <v>0</v>
          </cell>
          <cell r="BF77">
            <v>0</v>
          </cell>
          <cell r="BG77">
            <v>0</v>
          </cell>
          <cell r="BH77">
            <v>0</v>
          </cell>
          <cell r="BI77">
            <v>0</v>
          </cell>
          <cell r="BJ77">
            <v>0</v>
          </cell>
          <cell r="BK77">
            <v>0</v>
          </cell>
          <cell r="BL77">
            <v>0</v>
          </cell>
        </row>
      </sheetData>
      <sheetData sheetId="31">
        <row r="368">
          <cell r="BJ368">
            <v>153793.73486445757</v>
          </cell>
          <cell r="BK368">
            <v>0</v>
          </cell>
          <cell r="BL368">
            <v>0</v>
          </cell>
          <cell r="BM368">
            <v>0</v>
          </cell>
          <cell r="BO368">
            <v>0</v>
          </cell>
          <cell r="BP368">
            <v>0</v>
          </cell>
          <cell r="BQ368">
            <v>0</v>
          </cell>
          <cell r="BX368">
            <v>0</v>
          </cell>
          <cell r="BZ368">
            <v>0</v>
          </cell>
          <cell r="CA368">
            <v>0</v>
          </cell>
          <cell r="CB368">
            <v>0</v>
          </cell>
          <cell r="CC368">
            <v>0</v>
          </cell>
          <cell r="CD368">
            <v>0</v>
          </cell>
        </row>
        <row r="369">
          <cell r="BJ369">
            <v>945614.4826147866</v>
          </cell>
          <cell r="BK369">
            <v>0</v>
          </cell>
          <cell r="BL369">
            <v>19589.910300183648</v>
          </cell>
          <cell r="BM369">
            <v>31293.953549814065</v>
          </cell>
          <cell r="BO369">
            <v>157672.45004452209</v>
          </cell>
          <cell r="BP369">
            <v>215165.9619026935</v>
          </cell>
          <cell r="BQ369">
            <v>17399.692900244863</v>
          </cell>
          <cell r="BX369">
            <v>127642.67275890651</v>
          </cell>
          <cell r="BZ369">
            <v>64047.419591660204</v>
          </cell>
          <cell r="CA369">
            <v>0</v>
          </cell>
          <cell r="CB369">
            <v>27285.164724929782</v>
          </cell>
          <cell r="CC369">
            <v>86403.02162894432</v>
          </cell>
          <cell r="CD369">
            <v>29617.914320209489</v>
          </cell>
        </row>
        <row r="370">
          <cell r="BJ370">
            <v>858732.70788290829</v>
          </cell>
          <cell r="BK370">
            <v>207661.2469232064</v>
          </cell>
          <cell r="BL370">
            <v>40159.316115376474</v>
          </cell>
          <cell r="BM370">
            <v>24132.158474230917</v>
          </cell>
          <cell r="BO370">
            <v>57600.534331537587</v>
          </cell>
          <cell r="BP370">
            <v>94728.76072994218</v>
          </cell>
          <cell r="BQ370">
            <v>17834.685222750984</v>
          </cell>
          <cell r="BX370">
            <v>99669.725356703362</v>
          </cell>
          <cell r="BZ370">
            <v>66080.939613025068</v>
          </cell>
          <cell r="CA370">
            <v>90009.572138650285</v>
          </cell>
          <cell r="CB370">
            <v>27967.293843053041</v>
          </cell>
          <cell r="CC370">
            <v>88563.097169667919</v>
          </cell>
          <cell r="CD370">
            <v>30358.362178214713</v>
          </cell>
        </row>
        <row r="371">
          <cell r="BJ371">
            <v>375374.92421909294</v>
          </cell>
          <cell r="BK371">
            <v>35234.54829821943</v>
          </cell>
          <cell r="BL371">
            <v>54884.398691014518</v>
          </cell>
          <cell r="BM371">
            <v>42735.964503839525</v>
          </cell>
          <cell r="BO371">
            <v>165654.61782802601</v>
          </cell>
          <cell r="BP371">
            <v>97096.979748190715</v>
          </cell>
          <cell r="BQ371">
            <v>18280.552353319759</v>
          </cell>
          <cell r="BX371">
            <v>159459.62058458052</v>
          </cell>
          <cell r="BZ371">
            <v>30887.908058138055</v>
          </cell>
          <cell r="CA371">
            <v>219446.48194809083</v>
          </cell>
          <cell r="CB371">
            <v>28666.476189129375</v>
          </cell>
          <cell r="CC371">
            <v>90777.174598909638</v>
          </cell>
          <cell r="CD371">
            <v>31117.321232670085</v>
          </cell>
        </row>
        <row r="372">
          <cell r="BJ372">
            <v>356415.04403627897</v>
          </cell>
          <cell r="BK372">
            <v>25437.703649442479</v>
          </cell>
          <cell r="BL372">
            <v>42192.381493717396</v>
          </cell>
          <cell r="BM372">
            <v>25353.848996988858</v>
          </cell>
          <cell r="BO372">
            <v>60516.561382071668</v>
          </cell>
          <cell r="BP372">
            <v>231710.20719211776</v>
          </cell>
          <cell r="BQ372">
            <v>18737.566162152751</v>
          </cell>
          <cell r="BX372">
            <v>64972.283637964298</v>
          </cell>
          <cell r="BZ372">
            <v>36132.791080424533</v>
          </cell>
          <cell r="CA372">
            <v>185755.12653831634</v>
          </cell>
          <cell r="CB372">
            <v>29383.138093857589</v>
          </cell>
          <cell r="CC372">
            <v>93046.603963882371</v>
          </cell>
          <cell r="CD372">
            <v>31895.254263486833</v>
          </cell>
        </row>
        <row r="373">
          <cell r="BJ373">
            <v>292029.08556670538</v>
          </cell>
          <cell r="BK373">
            <v>2544.480864552389</v>
          </cell>
          <cell r="BL373">
            <v>43247.191031060334</v>
          </cell>
          <cell r="BM373">
            <v>10356.803379941663</v>
          </cell>
          <cell r="BO373">
            <v>174040.8828555698</v>
          </cell>
          <cell r="BP373">
            <v>102012.51434794287</v>
          </cell>
          <cell r="BQ373">
            <v>19206.005316206567</v>
          </cell>
          <cell r="BX373">
            <v>14189.088209442354</v>
          </cell>
          <cell r="BZ373">
            <v>0</v>
          </cell>
          <cell r="CA373">
            <v>180359.76585303954</v>
          </cell>
          <cell r="CB373">
            <v>30117.716546204028</v>
          </cell>
          <cell r="CC373">
            <v>70274.671941142733</v>
          </cell>
          <cell r="CD373">
            <v>32692.635620074005</v>
          </cell>
        </row>
        <row r="374">
          <cell r="BJ374">
            <v>256704.70091431076</v>
          </cell>
          <cell r="BK374">
            <v>0</v>
          </cell>
          <cell r="BL374">
            <v>51716.43260797632</v>
          </cell>
          <cell r="BM374">
            <v>10615.723464440205</v>
          </cell>
          <cell r="BO374">
            <v>56192.150500899566</v>
          </cell>
          <cell r="BP374">
            <v>243440.53643121867</v>
          </cell>
          <cell r="BQ374">
            <v>19686.155449111731</v>
          </cell>
          <cell r="BX374">
            <v>0</v>
          </cell>
          <cell r="BZ374">
            <v>0</v>
          </cell>
          <cell r="CA374">
            <v>68483.06654642387</v>
          </cell>
          <cell r="CB374">
            <v>0</v>
          </cell>
          <cell r="CC374">
            <v>0</v>
          </cell>
          <cell r="CD374">
            <v>33509.951510575847</v>
          </cell>
        </row>
        <row r="375">
          <cell r="BJ375">
            <v>0</v>
          </cell>
          <cell r="BK375">
            <v>0</v>
          </cell>
          <cell r="BL375">
            <v>0</v>
          </cell>
          <cell r="BM375">
            <v>0</v>
          </cell>
          <cell r="BO375">
            <v>0</v>
          </cell>
          <cell r="BP375">
            <v>0</v>
          </cell>
          <cell r="BQ375">
            <v>0</v>
          </cell>
          <cell r="BX375">
            <v>0</v>
          </cell>
          <cell r="BZ375">
            <v>0</v>
          </cell>
          <cell r="CA375">
            <v>0</v>
          </cell>
          <cell r="CB375">
            <v>0</v>
          </cell>
          <cell r="CC375">
            <v>0</v>
          </cell>
          <cell r="CD375">
            <v>0</v>
          </cell>
        </row>
      </sheetData>
      <sheetData sheetId="32"/>
      <sheetData sheetId="33"/>
      <sheetData sheetId="34"/>
      <sheetData sheetId="35"/>
      <sheetData sheetId="36"/>
      <sheetData sheetId="37"/>
      <sheetData sheetId="38"/>
      <sheetData sheetId="39"/>
      <sheetData sheetId="40"/>
      <sheetData sheetId="4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mp B Summary"/>
      <sheetName val="Annex 4 template - CompB"/>
      <sheetName val="Comp A Summary"/>
      <sheetName val="Annex 4 template - CompA"/>
      <sheetName val="Annex 4 template - PMU"/>
      <sheetName val="A1-A8 labels"/>
      <sheetName val="SPC-FCR"/>
      <sheetName val="Salary Rates"/>
      <sheetName val="Log Frame"/>
    </sheetNames>
    <sheetDataSet>
      <sheetData sheetId="0"/>
      <sheetData sheetId="1">
        <row r="1">
          <cell r="D1" t="str">
            <v>Total</v>
          </cell>
        </row>
      </sheetData>
      <sheetData sheetId="2"/>
      <sheetData sheetId="3">
        <row r="2">
          <cell r="D2" t="str">
            <v>GCF</v>
          </cell>
          <cell r="E2" t="str">
            <v>SPC</v>
          </cell>
          <cell r="F2"/>
          <cell r="G2"/>
          <cell r="H2">
            <v>2026</v>
          </cell>
          <cell r="I2">
            <v>2027</v>
          </cell>
          <cell r="J2">
            <v>2028</v>
          </cell>
          <cell r="K2">
            <v>2029</v>
          </cell>
          <cell r="L2">
            <v>2030</v>
          </cell>
          <cell r="M2">
            <v>2031</v>
          </cell>
          <cell r="N2">
            <v>2032</v>
          </cell>
          <cell r="O2">
            <v>2033</v>
          </cell>
        </row>
        <row r="4">
          <cell r="C4" t="str">
            <v xml:space="preserve">
Activity 1.1: Provide technical and logistical support to strengthen National FAD programmes.
</v>
          </cell>
        </row>
        <row r="5">
          <cell r="C5" t="str">
            <v xml:space="preserve">1.1a. Audit progress towards requirements for scaling-up National FAD Programmes in the 14 Participating Countries. </v>
          </cell>
        </row>
        <row r="6">
          <cell r="D6">
            <v>51299.796222596429</v>
          </cell>
          <cell r="H6">
            <v>5514.6246947160907</v>
          </cell>
          <cell r="I6">
            <v>22609.961248335967</v>
          </cell>
          <cell r="J6">
            <v>23175.210279544368</v>
          </cell>
        </row>
        <row r="12">
          <cell r="D12">
            <v>46529.033877562419</v>
          </cell>
          <cell r="H12">
            <v>15436.223917798106</v>
          </cell>
          <cell r="I12">
            <v>15354.4740542046</v>
          </cell>
          <cell r="J12">
            <v>15738.335905559712</v>
          </cell>
        </row>
        <row r="18">
          <cell r="D18">
            <v>52164.082632617516</v>
          </cell>
          <cell r="H18">
            <v>5607.5337417487262</v>
          </cell>
          <cell r="I18">
            <v>22990.888341169775</v>
          </cell>
          <cell r="J18">
            <v>23565.660549699016</v>
          </cell>
        </row>
        <row r="24">
          <cell r="D24">
            <v>48273.51475549968</v>
          </cell>
          <cell r="E24"/>
          <cell r="F24"/>
          <cell r="G24"/>
          <cell r="H24">
            <v>5083.461238797533</v>
          </cell>
          <cell r="I24">
            <v>14210.584826638558</v>
          </cell>
          <cell r="J24">
            <v>28979.46869006359</v>
          </cell>
          <cell r="K24"/>
          <cell r="L24"/>
          <cell r="M24"/>
          <cell r="N24"/>
        </row>
        <row r="25">
          <cell r="D25"/>
        </row>
        <row r="26">
          <cell r="D26"/>
        </row>
        <row r="27">
          <cell r="D27"/>
        </row>
        <row r="28">
          <cell r="D28"/>
        </row>
        <row r="29">
          <cell r="D29"/>
        </row>
        <row r="30">
          <cell r="D30">
            <v>54330.381568504294</v>
          </cell>
          <cell r="I30">
            <v>17829.587768362064</v>
          </cell>
          <cell r="J30">
            <v>36500.79380014223</v>
          </cell>
        </row>
        <row r="36">
          <cell r="D36">
            <v>34102.558780987827</v>
          </cell>
          <cell r="H36">
            <v>8368.7260812240074</v>
          </cell>
          <cell r="I36">
            <v>25733.832699763821</v>
          </cell>
        </row>
        <row r="42">
          <cell r="D42">
            <v>33799.020683018425</v>
          </cell>
          <cell r="I42">
            <v>33799.020683018425</v>
          </cell>
        </row>
        <row r="48">
          <cell r="D48">
            <v>35169.571356343877</v>
          </cell>
          <cell r="J48">
            <v>35169.571356343877</v>
          </cell>
        </row>
        <row r="54">
          <cell r="D54">
            <v>45220.111001910554</v>
          </cell>
          <cell r="I54">
            <v>22330.919013289167</v>
          </cell>
          <cell r="J54">
            <v>22889.191988621387</v>
          </cell>
        </row>
        <row r="60">
          <cell r="D60">
            <v>31743.101516501451</v>
          </cell>
          <cell r="I60">
            <v>15675.605687161211</v>
          </cell>
          <cell r="J60">
            <v>16067.49582934024</v>
          </cell>
        </row>
        <row r="66">
          <cell r="D66">
            <v>9127.7500599828163</v>
          </cell>
          <cell r="H66">
            <v>981.21473367189651</v>
          </cell>
          <cell r="I66">
            <v>4022.9804080547756</v>
          </cell>
          <cell r="J66">
            <v>4123.5549182561444</v>
          </cell>
        </row>
        <row r="72">
          <cell r="D72">
            <v>39407.415144928375</v>
          </cell>
          <cell r="H72">
            <v>4236.2176989979444</v>
          </cell>
          <cell r="I72">
            <v>17368.492565891571</v>
          </cell>
          <cell r="J72">
            <v>17802.704880038858</v>
          </cell>
        </row>
        <row r="78">
          <cell r="D78">
            <v>3401.2274154515026</v>
          </cell>
          <cell r="H78">
            <v>660.98513963963887</v>
          </cell>
          <cell r="I78">
            <v>1353.2060621293153</v>
          </cell>
          <cell r="J78">
            <v>1387.0362136825481</v>
          </cell>
        </row>
        <row r="84">
          <cell r="D84">
            <v>11912.157554836082</v>
          </cell>
          <cell r="H84">
            <v>2656.211788126393</v>
          </cell>
          <cell r="I84">
            <v>4570.8374156591053</v>
          </cell>
          <cell r="J84">
            <v>4685.1083510505832</v>
          </cell>
        </row>
        <row r="90">
          <cell r="D90">
            <v>3122.9163181364129</v>
          </cell>
          <cell r="H90">
            <v>606.24437139265478</v>
          </cell>
          <cell r="I90">
            <v>1242.8009613549425</v>
          </cell>
          <cell r="J90">
            <v>1273.8709853888158</v>
          </cell>
        </row>
        <row r="98">
          <cell r="D98">
            <v>39382.073437500003</v>
          </cell>
          <cell r="H98">
            <v>4772.5</v>
          </cell>
          <cell r="I98">
            <v>19567.25</v>
          </cell>
          <cell r="J98">
            <v>15042.323437499999</v>
          </cell>
          <cell r="K98"/>
          <cell r="L98"/>
          <cell r="M98"/>
          <cell r="N98"/>
        </row>
        <row r="103">
          <cell r="D103">
            <v>47448.28125</v>
          </cell>
          <cell r="H103">
            <v>5750</v>
          </cell>
          <cell r="I103">
            <v>23575</v>
          </cell>
          <cell r="J103">
            <v>18123.28125</v>
          </cell>
          <cell r="K103"/>
          <cell r="L103"/>
        </row>
        <row r="108">
          <cell r="D108">
            <v>52193.109375</v>
          </cell>
          <cell r="H108">
            <v>6325</v>
          </cell>
          <cell r="I108">
            <v>25932.499999999996</v>
          </cell>
          <cell r="J108">
            <v>19935.609375</v>
          </cell>
          <cell r="K108"/>
          <cell r="L108"/>
        </row>
        <row r="113">
          <cell r="D113">
            <v>52193.109375</v>
          </cell>
          <cell r="H113">
            <v>6325</v>
          </cell>
          <cell r="I113">
            <v>25932.499999999996</v>
          </cell>
          <cell r="J113">
            <v>19935.609375</v>
          </cell>
          <cell r="K113"/>
          <cell r="L113"/>
        </row>
        <row r="118">
          <cell r="D118">
            <v>52193.109375</v>
          </cell>
          <cell r="H118">
            <v>6325</v>
          </cell>
          <cell r="I118">
            <v>25932.499999999996</v>
          </cell>
          <cell r="J118">
            <v>19935.609375</v>
          </cell>
          <cell r="K118"/>
          <cell r="L118"/>
        </row>
        <row r="123">
          <cell r="D123">
            <v>32264.831249999996</v>
          </cell>
          <cell r="H123">
            <v>3910</v>
          </cell>
          <cell r="I123">
            <v>16030.999999999998</v>
          </cell>
          <cell r="J123">
            <v>12323.831249999997</v>
          </cell>
          <cell r="K123"/>
          <cell r="L123"/>
        </row>
        <row r="128">
          <cell r="D128">
            <v>36060.693749999991</v>
          </cell>
          <cell r="H128">
            <v>4370</v>
          </cell>
          <cell r="I128">
            <v>17916.999999999996</v>
          </cell>
          <cell r="J128">
            <v>13773.693749999999</v>
          </cell>
          <cell r="K128"/>
          <cell r="L128"/>
        </row>
        <row r="133">
          <cell r="D133">
            <v>128110.359375</v>
          </cell>
          <cell r="H133">
            <v>15525</v>
          </cell>
          <cell r="I133">
            <v>63652.499999999993</v>
          </cell>
          <cell r="J133">
            <v>48932.859374999993</v>
          </cell>
          <cell r="K133"/>
          <cell r="L133"/>
        </row>
        <row r="138">
          <cell r="D138">
            <v>63580.696874999994</v>
          </cell>
          <cell r="H138">
            <v>7705</v>
          </cell>
          <cell r="I138">
            <v>31590.499999999996</v>
          </cell>
          <cell r="J138">
            <v>24285.196874999994</v>
          </cell>
          <cell r="K138"/>
          <cell r="L138"/>
        </row>
        <row r="143">
          <cell r="D143">
            <v>30960.003515624998</v>
          </cell>
          <cell r="H143">
            <v>3751.875</v>
          </cell>
          <cell r="I143">
            <v>15382.687499999998</v>
          </cell>
          <cell r="J143">
            <v>11825.441015624998</v>
          </cell>
          <cell r="K143"/>
          <cell r="L143"/>
        </row>
        <row r="148">
          <cell r="D148">
            <v>14234.484375</v>
          </cell>
          <cell r="H148">
            <v>1725</v>
          </cell>
          <cell r="I148">
            <v>7072.4999999999991</v>
          </cell>
          <cell r="J148">
            <v>5436.9843749999991</v>
          </cell>
          <cell r="K148"/>
          <cell r="L148"/>
        </row>
        <row r="153">
          <cell r="D153">
            <v>18504.829687499998</v>
          </cell>
          <cell r="H153">
            <v>2242.5</v>
          </cell>
          <cell r="I153">
            <v>9194.2499999999982</v>
          </cell>
          <cell r="J153">
            <v>7068.0796874999996</v>
          </cell>
          <cell r="K153"/>
          <cell r="L153"/>
        </row>
        <row r="158">
          <cell r="D158">
            <v>51718.626562499994</v>
          </cell>
          <cell r="H158">
            <v>6267.5</v>
          </cell>
          <cell r="I158">
            <v>25696.749999999996</v>
          </cell>
          <cell r="J158">
            <v>19754.376562500001</v>
          </cell>
          <cell r="K158"/>
          <cell r="L158"/>
        </row>
        <row r="163">
          <cell r="D163">
            <v>36653.797265624991</v>
          </cell>
          <cell r="H163">
            <v>4441.875</v>
          </cell>
          <cell r="I163">
            <v>18211.687499999996</v>
          </cell>
          <cell r="J163">
            <v>14000.234765624999</v>
          </cell>
          <cell r="K163"/>
          <cell r="L163"/>
        </row>
        <row r="176">
          <cell r="D176">
            <v>3618.4749999999999</v>
          </cell>
          <cell r="I176">
            <v>1809.09375</v>
          </cell>
          <cell r="J176">
            <v>1809.3812499999999</v>
          </cell>
        </row>
        <row r="197">
          <cell r="D197">
            <v>22311.916666666664</v>
          </cell>
          <cell r="H197">
            <v>4071</v>
          </cell>
          <cell r="I197">
            <v>18240.916666666664</v>
          </cell>
        </row>
        <row r="198">
          <cell r="D198"/>
        </row>
        <row r="199">
          <cell r="D199"/>
        </row>
        <row r="200">
          <cell r="D200"/>
        </row>
        <row r="201">
          <cell r="D201"/>
        </row>
        <row r="202">
          <cell r="D202"/>
        </row>
        <row r="203">
          <cell r="D203"/>
        </row>
        <row r="204">
          <cell r="D204"/>
        </row>
        <row r="205">
          <cell r="D205"/>
        </row>
        <row r="206">
          <cell r="D206"/>
        </row>
        <row r="207">
          <cell r="D207"/>
        </row>
        <row r="208">
          <cell r="D208"/>
        </row>
        <row r="209">
          <cell r="D209"/>
        </row>
        <row r="210">
          <cell r="D210"/>
        </row>
        <row r="211">
          <cell r="D211"/>
        </row>
        <row r="214">
          <cell r="D214">
            <v>51997.25</v>
          </cell>
          <cell r="H214">
            <v>17491.5</v>
          </cell>
          <cell r="I214">
            <v>34505.75</v>
          </cell>
        </row>
        <row r="237">
          <cell r="D237">
            <v>20125</v>
          </cell>
          <cell r="H237">
            <v>20125</v>
          </cell>
          <cell r="I237"/>
          <cell r="J237"/>
          <cell r="K237"/>
          <cell r="L237"/>
        </row>
        <row r="243">
          <cell r="D243">
            <v>40250</v>
          </cell>
          <cell r="H243">
            <v>40250</v>
          </cell>
          <cell r="I243"/>
          <cell r="J243"/>
          <cell r="K243"/>
          <cell r="L243"/>
        </row>
        <row r="248">
          <cell r="D248">
            <v>5432.109375</v>
          </cell>
          <cell r="H248">
            <v>656.25</v>
          </cell>
          <cell r="I248">
            <v>2017.96875</v>
          </cell>
          <cell r="J248">
            <v>2757.890625</v>
          </cell>
          <cell r="K248"/>
          <cell r="L248"/>
          <cell r="M248"/>
        </row>
        <row r="255">
          <cell r="D255">
            <v>13588.4765625</v>
          </cell>
          <cell r="H255">
            <v>1312.5</v>
          </cell>
          <cell r="I255">
            <v>5381.25</v>
          </cell>
          <cell r="J255">
            <v>6894.7265625</v>
          </cell>
          <cell r="K255"/>
          <cell r="L255"/>
          <cell r="M255"/>
        </row>
        <row r="261">
          <cell r="D261">
            <v>8929.5703125</v>
          </cell>
          <cell r="H261">
            <v>862.5</v>
          </cell>
          <cell r="I261">
            <v>3536.25</v>
          </cell>
          <cell r="J261">
            <v>4530.8203125</v>
          </cell>
          <cell r="K261"/>
          <cell r="L261"/>
          <cell r="M261"/>
        </row>
        <row r="266">
          <cell r="D266">
            <v>1413.4189453124998</v>
          </cell>
          <cell r="H266"/>
          <cell r="J266">
            <v>1413.4189453124998</v>
          </cell>
          <cell r="K266"/>
          <cell r="L266"/>
          <cell r="M266"/>
          <cell r="N266"/>
        </row>
        <row r="272">
          <cell r="D272">
            <v>928.8181640624997</v>
          </cell>
          <cell r="H272"/>
          <cell r="J272">
            <v>928.8181640624997</v>
          </cell>
          <cell r="K272"/>
          <cell r="L272"/>
          <cell r="M272"/>
          <cell r="N272"/>
        </row>
        <row r="277">
          <cell r="D277">
            <v>58639.6494140625</v>
          </cell>
          <cell r="H277"/>
          <cell r="I277">
            <v>28957.8515625</v>
          </cell>
          <cell r="J277">
            <v>29681.797851562496</v>
          </cell>
          <cell r="K277"/>
          <cell r="L277"/>
          <cell r="M277"/>
          <cell r="N277"/>
        </row>
        <row r="283">
          <cell r="D283">
            <v>16056.094482421875</v>
          </cell>
          <cell r="H283"/>
          <cell r="I283">
            <v>7928.935546875</v>
          </cell>
          <cell r="J283">
            <v>8127.1589355468741</v>
          </cell>
          <cell r="K283"/>
          <cell r="L283"/>
          <cell r="M283"/>
          <cell r="N283"/>
        </row>
        <row r="287">
          <cell r="D287">
            <v>7704.8569335937491</v>
          </cell>
          <cell r="H287"/>
          <cell r="I287">
            <v>2757.890625</v>
          </cell>
          <cell r="J287">
            <v>4946.9663085937491</v>
          </cell>
          <cell r="K287"/>
          <cell r="L287"/>
          <cell r="M287"/>
          <cell r="N287"/>
        </row>
        <row r="293">
          <cell r="D293">
            <v>2109.6632080078125</v>
          </cell>
          <cell r="H293"/>
          <cell r="I293">
            <v>755.13671875</v>
          </cell>
          <cell r="J293">
            <v>1354.5264892578123</v>
          </cell>
          <cell r="K293"/>
          <cell r="L293"/>
          <cell r="M293"/>
          <cell r="N293"/>
        </row>
        <row r="299">
          <cell r="D299">
            <v>64181.25</v>
          </cell>
          <cell r="H299">
            <v>15750</v>
          </cell>
          <cell r="I299">
            <v>48431.25</v>
          </cell>
          <cell r="J299"/>
        </row>
        <row r="300">
          <cell r="D300"/>
        </row>
        <row r="301">
          <cell r="D301"/>
        </row>
        <row r="302">
          <cell r="D302"/>
        </row>
        <row r="303">
          <cell r="D303"/>
        </row>
        <row r="304">
          <cell r="D304"/>
        </row>
        <row r="305">
          <cell r="D305">
            <v>25452.949999999997</v>
          </cell>
          <cell r="E305"/>
          <cell r="F305"/>
          <cell r="G305"/>
          <cell r="H305">
            <v>7913.15</v>
          </cell>
          <cell r="I305">
            <v>17539.8</v>
          </cell>
          <cell r="J305"/>
          <cell r="K305"/>
          <cell r="L305"/>
        </row>
        <row r="306">
          <cell r="D306"/>
        </row>
        <row r="307">
          <cell r="D307"/>
        </row>
        <row r="308">
          <cell r="D308"/>
        </row>
        <row r="309">
          <cell r="D309"/>
        </row>
        <row r="310">
          <cell r="D310"/>
        </row>
        <row r="311">
          <cell r="D311"/>
        </row>
        <row r="312">
          <cell r="D312"/>
        </row>
        <row r="313">
          <cell r="D313"/>
        </row>
        <row r="314">
          <cell r="D314"/>
        </row>
        <row r="315">
          <cell r="D315"/>
        </row>
        <row r="316">
          <cell r="D316"/>
        </row>
        <row r="317">
          <cell r="D317"/>
        </row>
        <row r="318">
          <cell r="D318"/>
        </row>
        <row r="319">
          <cell r="D319"/>
        </row>
        <row r="322">
          <cell r="D322"/>
        </row>
        <row r="323">
          <cell r="D323"/>
        </row>
        <row r="324">
          <cell r="D324">
            <v>17573.4375</v>
          </cell>
          <cell r="H324">
            <v>4312.5</v>
          </cell>
          <cell r="I324">
            <v>13260.9375</v>
          </cell>
          <cell r="J324"/>
        </row>
        <row r="328">
          <cell r="D328">
            <v>23572.7</v>
          </cell>
          <cell r="H328">
            <v>4889.8</v>
          </cell>
          <cell r="I328">
            <v>18682.900000000001</v>
          </cell>
          <cell r="J328"/>
        </row>
        <row r="352">
          <cell r="C352" t="str">
            <v>1.1b. Develop workplans for scaling-up National FAD Programmes based on the audit.</v>
          </cell>
        </row>
        <row r="353">
          <cell r="D353">
            <v>51299.796222596429</v>
          </cell>
          <cell r="H353">
            <v>5514.6246947160907</v>
          </cell>
          <cell r="I353">
            <v>22609.961248335967</v>
          </cell>
          <cell r="J353">
            <v>23175.210279544368</v>
          </cell>
        </row>
        <row r="359">
          <cell r="D359">
            <v>46529.033877562419</v>
          </cell>
          <cell r="H359">
            <v>15436.223917798106</v>
          </cell>
          <cell r="I359">
            <v>15354.4740542046</v>
          </cell>
          <cell r="J359">
            <v>15738.335905559712</v>
          </cell>
        </row>
        <row r="365">
          <cell r="D365">
            <v>52164.082632617516</v>
          </cell>
          <cell r="H365">
            <v>5607.5337417487262</v>
          </cell>
          <cell r="I365">
            <v>22990.888341169775</v>
          </cell>
          <cell r="J365">
            <v>23565.660549699016</v>
          </cell>
        </row>
        <row r="371">
          <cell r="D371">
            <v>48273.51475549968</v>
          </cell>
          <cell r="E371"/>
          <cell r="F371"/>
          <cell r="G371"/>
          <cell r="H371">
            <v>5083.461238797533</v>
          </cell>
          <cell r="I371">
            <v>14210.584826638558</v>
          </cell>
          <cell r="J371">
            <v>28979.46869006359</v>
          </cell>
          <cell r="K371"/>
          <cell r="L371"/>
          <cell r="M371"/>
          <cell r="N371"/>
        </row>
        <row r="372">
          <cell r="D372"/>
        </row>
        <row r="373">
          <cell r="D373"/>
        </row>
        <row r="374">
          <cell r="D374"/>
        </row>
        <row r="375">
          <cell r="D375"/>
        </row>
        <row r="376">
          <cell r="D376"/>
        </row>
        <row r="377">
          <cell r="D377">
            <v>54330.381568504294</v>
          </cell>
          <cell r="I377">
            <v>17829.587768362064</v>
          </cell>
          <cell r="J377">
            <v>36500.79380014223</v>
          </cell>
        </row>
        <row r="383">
          <cell r="D383">
            <v>34102.558780987827</v>
          </cell>
          <cell r="H383">
            <v>8368.7260812240074</v>
          </cell>
          <cell r="I383">
            <v>25733.832699763821</v>
          </cell>
        </row>
        <row r="389">
          <cell r="D389">
            <v>33799.020683018425</v>
          </cell>
          <cell r="I389">
            <v>33799.020683018425</v>
          </cell>
        </row>
        <row r="395">
          <cell r="D395">
            <v>35169.571356343877</v>
          </cell>
          <cell r="J395">
            <v>35169.571356343877</v>
          </cell>
        </row>
        <row r="401">
          <cell r="D401">
            <v>97807.654936157865</v>
          </cell>
          <cell r="H401">
            <v>10514.125765778861</v>
          </cell>
          <cell r="I401">
            <v>43107.915639693332</v>
          </cell>
          <cell r="J401">
            <v>44185.613530685667</v>
          </cell>
        </row>
        <row r="407">
          <cell r="D407">
            <v>15505.590449028712</v>
          </cell>
          <cell r="H407">
            <v>3010.0636639706308</v>
          </cell>
          <cell r="I407">
            <v>6170.6305111397933</v>
          </cell>
          <cell r="J407">
            <v>6324.896273918288</v>
          </cell>
        </row>
        <row r="413">
          <cell r="D413">
            <v>45220.111001910554</v>
          </cell>
          <cell r="I413">
            <v>22330.919013289167</v>
          </cell>
          <cell r="J413">
            <v>22889.191988621387</v>
          </cell>
        </row>
        <row r="419">
          <cell r="D419">
            <v>31743.101516501451</v>
          </cell>
          <cell r="I419">
            <v>15675.605687161211</v>
          </cell>
          <cell r="J419">
            <v>16067.49582934024</v>
          </cell>
        </row>
        <row r="425">
          <cell r="D425">
            <v>13760.602944362259</v>
          </cell>
          <cell r="H425">
            <v>4474.0834608777923</v>
          </cell>
          <cell r="I425">
            <v>4585.9355473997366</v>
          </cell>
          <cell r="J425">
            <v>4700.5839360847294</v>
          </cell>
        </row>
        <row r="431">
          <cell r="D431">
            <v>9127.7500599828163</v>
          </cell>
          <cell r="H431">
            <v>981.21473367189651</v>
          </cell>
          <cell r="I431">
            <v>4022.9804080547756</v>
          </cell>
          <cell r="J431">
            <v>4123.5549182561444</v>
          </cell>
        </row>
        <row r="437">
          <cell r="D437">
            <v>39407.415144928375</v>
          </cell>
          <cell r="H437">
            <v>4236.2176989979444</v>
          </cell>
          <cell r="I437">
            <v>17368.492565891571</v>
          </cell>
          <cell r="J437">
            <v>17802.704880038858</v>
          </cell>
        </row>
        <row r="443">
          <cell r="D443">
            <v>3401.2274154515026</v>
          </cell>
          <cell r="H443">
            <v>660.98513963963887</v>
          </cell>
          <cell r="I443">
            <v>1353.2060621293153</v>
          </cell>
          <cell r="J443">
            <v>1387.0362136825481</v>
          </cell>
        </row>
        <row r="449">
          <cell r="D449">
            <v>11912.157554836082</v>
          </cell>
          <cell r="H449">
            <v>2656.211788126393</v>
          </cell>
          <cell r="I449">
            <v>4570.8374156591053</v>
          </cell>
          <cell r="J449">
            <v>4685.1083510505832</v>
          </cell>
        </row>
        <row r="455">
          <cell r="D455">
            <v>3122.9163181364129</v>
          </cell>
          <cell r="H455">
            <v>606.24437139265478</v>
          </cell>
          <cell r="I455">
            <v>1242.8009613549425</v>
          </cell>
          <cell r="J455">
            <v>1273.8709853888158</v>
          </cell>
        </row>
        <row r="461">
          <cell r="D461">
            <v>4375.7859375000007</v>
          </cell>
          <cell r="H461">
            <v>530.27777777777771</v>
          </cell>
          <cell r="I461">
            <v>2174.1388888888891</v>
          </cell>
          <cell r="J461">
            <v>1671.3692708333333</v>
          </cell>
          <cell r="K461"/>
          <cell r="L461"/>
          <cell r="N461"/>
          <cell r="O461"/>
        </row>
        <row r="466">
          <cell r="D466">
            <v>5272.03125</v>
          </cell>
          <cell r="H466">
            <v>638.88888888888891</v>
          </cell>
          <cell r="I466">
            <v>2619.4444444444443</v>
          </cell>
          <cell r="J466">
            <v>2013.6979166666667</v>
          </cell>
          <cell r="K466"/>
          <cell r="L466"/>
        </row>
        <row r="471">
          <cell r="D471">
            <v>5799.234375</v>
          </cell>
          <cell r="H471">
            <v>702.77777777777771</v>
          </cell>
          <cell r="I471">
            <v>2881.3888888888887</v>
          </cell>
          <cell r="J471">
            <v>2215.067708333333</v>
          </cell>
          <cell r="K471"/>
          <cell r="L471"/>
        </row>
        <row r="476">
          <cell r="D476">
            <v>5799.234375</v>
          </cell>
          <cell r="H476">
            <v>702.77777777777771</v>
          </cell>
          <cell r="I476">
            <v>2881.3888888888887</v>
          </cell>
          <cell r="J476">
            <v>2215.067708333333</v>
          </cell>
          <cell r="K476"/>
          <cell r="L476"/>
        </row>
        <row r="481">
          <cell r="D481">
            <v>5799.234375</v>
          </cell>
          <cell r="H481">
            <v>702.77777777777771</v>
          </cell>
          <cell r="I481">
            <v>2881.3888888888887</v>
          </cell>
          <cell r="J481">
            <v>2215.067708333333</v>
          </cell>
          <cell r="K481"/>
          <cell r="L481"/>
        </row>
        <row r="486">
          <cell r="D486">
            <v>3584.9812499999998</v>
          </cell>
          <cell r="H486">
            <v>434.44444444444446</v>
          </cell>
          <cell r="I486">
            <v>1781.2222222222219</v>
          </cell>
          <cell r="J486">
            <v>1369.3145833333331</v>
          </cell>
          <cell r="K486"/>
          <cell r="L486"/>
        </row>
        <row r="491">
          <cell r="D491">
            <v>4006.7437499999996</v>
          </cell>
          <cell r="H491">
            <v>485.55555555555554</v>
          </cell>
          <cell r="I491">
            <v>1990.7777777777774</v>
          </cell>
          <cell r="J491">
            <v>1530.4104166666666</v>
          </cell>
          <cell r="K491"/>
          <cell r="L491"/>
        </row>
        <row r="496">
          <cell r="D496">
            <v>14234.484375</v>
          </cell>
          <cell r="H496">
            <v>1725</v>
          </cell>
          <cell r="I496">
            <v>7072.4999999999991</v>
          </cell>
          <cell r="J496">
            <v>5436.9843749999991</v>
          </cell>
          <cell r="K496"/>
          <cell r="L496"/>
        </row>
        <row r="501">
          <cell r="D501">
            <v>7064.5218749999985</v>
          </cell>
          <cell r="H501">
            <v>856.11111111111109</v>
          </cell>
          <cell r="I501">
            <v>3510.0555555555547</v>
          </cell>
          <cell r="J501">
            <v>2698.3552083333329</v>
          </cell>
          <cell r="K501"/>
          <cell r="L501"/>
        </row>
        <row r="506">
          <cell r="D506">
            <v>3440.0003906249995</v>
          </cell>
          <cell r="H506">
            <v>416.875</v>
          </cell>
          <cell r="I506">
            <v>1709.1874999999998</v>
          </cell>
          <cell r="J506">
            <v>1313.9378906249997</v>
          </cell>
          <cell r="K506"/>
          <cell r="L506"/>
        </row>
        <row r="511">
          <cell r="D511">
            <v>1581.6093749999998</v>
          </cell>
          <cell r="H511">
            <v>191.66666666666666</v>
          </cell>
          <cell r="I511">
            <v>785.83333333333326</v>
          </cell>
          <cell r="J511">
            <v>604.10937499999989</v>
          </cell>
          <cell r="K511"/>
          <cell r="L511"/>
        </row>
        <row r="516">
          <cell r="D516">
            <v>2056.0921874999999</v>
          </cell>
          <cell r="H516">
            <v>249.16666666666666</v>
          </cell>
          <cell r="I516">
            <v>1021.5833333333333</v>
          </cell>
          <cell r="J516">
            <v>785.34218750000002</v>
          </cell>
          <cell r="K516"/>
          <cell r="L516"/>
        </row>
        <row r="521">
          <cell r="D521">
            <v>5746.5140625000004</v>
          </cell>
          <cell r="H521">
            <v>696.38888888888891</v>
          </cell>
          <cell r="I521">
            <v>2855.1944444444439</v>
          </cell>
          <cell r="J521">
            <v>2194.9307291666669</v>
          </cell>
          <cell r="K521"/>
          <cell r="L521"/>
        </row>
        <row r="526">
          <cell r="D526">
            <v>4072.6441406249992</v>
          </cell>
          <cell r="H526">
            <v>493.54166666666669</v>
          </cell>
          <cell r="I526">
            <v>2023.520833333333</v>
          </cell>
          <cell r="J526">
            <v>1555.5816406249996</v>
          </cell>
          <cell r="K526"/>
          <cell r="L526"/>
        </row>
        <row r="535">
          <cell r="D535">
            <v>14889.05</v>
          </cell>
          <cell r="I535">
            <v>14889.05</v>
          </cell>
          <cell r="O535"/>
        </row>
        <row r="536">
          <cell r="D536"/>
        </row>
        <row r="537">
          <cell r="D537"/>
        </row>
        <row r="538">
          <cell r="D538"/>
        </row>
        <row r="539">
          <cell r="D539"/>
        </row>
        <row r="540">
          <cell r="D540"/>
        </row>
        <row r="541">
          <cell r="D541"/>
        </row>
        <row r="542">
          <cell r="D542"/>
        </row>
        <row r="543">
          <cell r="D543"/>
        </row>
        <row r="544">
          <cell r="D544"/>
        </row>
        <row r="545">
          <cell r="D545"/>
        </row>
        <row r="546">
          <cell r="D546"/>
        </row>
        <row r="547">
          <cell r="D547"/>
        </row>
        <row r="548">
          <cell r="D548"/>
        </row>
        <row r="549">
          <cell r="D549"/>
        </row>
        <row r="552">
          <cell r="D552">
            <v>32326.5</v>
          </cell>
          <cell r="I552">
            <v>32326.5</v>
          </cell>
          <cell r="O552"/>
        </row>
        <row r="571">
          <cell r="D571">
            <v>3895.05</v>
          </cell>
          <cell r="J571">
            <v>3895.05</v>
          </cell>
          <cell r="O571"/>
        </row>
        <row r="572">
          <cell r="D572"/>
        </row>
        <row r="573">
          <cell r="D573"/>
        </row>
        <row r="576">
          <cell r="D576">
            <v>3984.75</v>
          </cell>
          <cell r="J576">
            <v>3984.75</v>
          </cell>
          <cell r="O576"/>
        </row>
        <row r="584">
          <cell r="D584">
            <v>3618.4749999999999</v>
          </cell>
          <cell r="I584">
            <v>1809.09375</v>
          </cell>
          <cell r="J584">
            <v>1809.3812499999999</v>
          </cell>
        </row>
        <row r="603">
          <cell r="D603">
            <v>20125</v>
          </cell>
          <cell r="H603">
            <v>20125</v>
          </cell>
          <cell r="I603"/>
          <cell r="J603"/>
          <cell r="K603"/>
          <cell r="L603"/>
        </row>
        <row r="609">
          <cell r="D609">
            <v>40250</v>
          </cell>
          <cell r="H609">
            <v>40250</v>
          </cell>
          <cell r="I609"/>
          <cell r="J609"/>
          <cell r="K609"/>
          <cell r="L609"/>
        </row>
        <row r="614">
          <cell r="D614">
            <v>5432.109375</v>
          </cell>
          <cell r="H614">
            <v>656.25</v>
          </cell>
          <cell r="I614">
            <v>2017.96875</v>
          </cell>
          <cell r="J614">
            <v>2757.890625</v>
          </cell>
          <cell r="K614"/>
          <cell r="L614"/>
          <cell r="M614"/>
        </row>
        <row r="621">
          <cell r="D621">
            <v>13588.4765625</v>
          </cell>
          <cell r="H621">
            <v>1312.5</v>
          </cell>
          <cell r="I621">
            <v>5381.25</v>
          </cell>
          <cell r="J621">
            <v>6894.7265625</v>
          </cell>
          <cell r="K621"/>
          <cell r="L621"/>
          <cell r="M621"/>
        </row>
        <row r="627">
          <cell r="D627">
            <v>8929.5703125</v>
          </cell>
          <cell r="H627">
            <v>862.5</v>
          </cell>
          <cell r="I627">
            <v>3536.25</v>
          </cell>
          <cell r="J627">
            <v>4530.8203125</v>
          </cell>
          <cell r="K627"/>
          <cell r="L627"/>
          <cell r="M627"/>
        </row>
        <row r="632">
          <cell r="D632">
            <v>1413.4189453124998</v>
          </cell>
          <cell r="H632"/>
          <cell r="J632">
            <v>1413.4189453124998</v>
          </cell>
          <cell r="K632"/>
          <cell r="L632"/>
          <cell r="M632"/>
          <cell r="N632"/>
        </row>
        <row r="638">
          <cell r="D638">
            <v>928.8181640624997</v>
          </cell>
          <cell r="H638"/>
          <cell r="J638">
            <v>928.8181640624997</v>
          </cell>
          <cell r="K638"/>
          <cell r="L638"/>
          <cell r="M638"/>
          <cell r="N638"/>
        </row>
        <row r="643">
          <cell r="D643">
            <v>58639.6494140625</v>
          </cell>
          <cell r="H643"/>
          <cell r="I643">
            <v>28957.8515625</v>
          </cell>
          <cell r="J643">
            <v>29681.797851562496</v>
          </cell>
          <cell r="K643"/>
          <cell r="L643"/>
          <cell r="M643"/>
          <cell r="N643"/>
        </row>
        <row r="649">
          <cell r="D649">
            <v>16056.094482421875</v>
          </cell>
          <cell r="H649"/>
          <cell r="I649">
            <v>7928.935546875</v>
          </cell>
          <cell r="J649">
            <v>8127.1589355468741</v>
          </cell>
          <cell r="K649"/>
          <cell r="L649"/>
          <cell r="M649"/>
          <cell r="N649"/>
        </row>
        <row r="653">
          <cell r="D653">
            <v>7704.8569335937491</v>
          </cell>
          <cell r="H653"/>
          <cell r="I653">
            <v>2757.890625</v>
          </cell>
          <cell r="J653">
            <v>4946.9663085937491</v>
          </cell>
          <cell r="K653"/>
          <cell r="L653"/>
          <cell r="M653"/>
          <cell r="N653"/>
          <cell r="O653"/>
        </row>
        <row r="659">
          <cell r="D659">
            <v>2109.6632080078125</v>
          </cell>
          <cell r="H659"/>
          <cell r="I659">
            <v>755.13671875</v>
          </cell>
          <cell r="J659">
            <v>1354.5264892578123</v>
          </cell>
          <cell r="K659"/>
          <cell r="L659"/>
          <cell r="M659"/>
          <cell r="N659"/>
          <cell r="O659"/>
        </row>
        <row r="664">
          <cell r="D664">
            <v>64844.0625</v>
          </cell>
          <cell r="H664"/>
          <cell r="I664">
            <v>53812.5</v>
          </cell>
          <cell r="J664">
            <v>11031.5625</v>
          </cell>
          <cell r="O664"/>
        </row>
        <row r="665">
          <cell r="D665"/>
        </row>
        <row r="666">
          <cell r="D666"/>
        </row>
        <row r="667">
          <cell r="D667"/>
        </row>
        <row r="668">
          <cell r="D668"/>
        </row>
        <row r="669">
          <cell r="D669"/>
        </row>
        <row r="670">
          <cell r="D670">
            <v>26363.75</v>
          </cell>
          <cell r="E670"/>
          <cell r="F670"/>
          <cell r="G670"/>
          <cell r="H670"/>
          <cell r="I670">
            <v>25458.7</v>
          </cell>
          <cell r="J670">
            <v>905.05</v>
          </cell>
          <cell r="O670"/>
        </row>
        <row r="687">
          <cell r="D687"/>
        </row>
        <row r="694">
          <cell r="C694" t="str">
            <v xml:space="preserve">1.1c. Review national policies and regulations to identify barriers to the equitable and sustainable use of FADs. </v>
          </cell>
        </row>
        <row r="695">
          <cell r="D695">
            <v>51299.796222596429</v>
          </cell>
          <cell r="H695">
            <v>5514.6246947160907</v>
          </cell>
          <cell r="I695">
            <v>22609.961248335967</v>
          </cell>
          <cell r="J695">
            <v>23175.210279544368</v>
          </cell>
        </row>
        <row r="701">
          <cell r="D701">
            <v>15305.523369531762</v>
          </cell>
          <cell r="H701">
            <v>2974.4331283783749</v>
          </cell>
          <cell r="I701">
            <v>6089.4272795819197</v>
          </cell>
          <cell r="J701">
            <v>6241.6629615714664</v>
          </cell>
        </row>
        <row r="707">
          <cell r="D707">
            <v>26082.041316308758</v>
          </cell>
          <cell r="H707">
            <v>2803.7668708743631</v>
          </cell>
          <cell r="I707">
            <v>11495.444170584888</v>
          </cell>
          <cell r="J707">
            <v>11782.830274849508</v>
          </cell>
        </row>
        <row r="713">
          <cell r="D713">
            <v>48273.51475549968</v>
          </cell>
          <cell r="E713"/>
          <cell r="F713"/>
          <cell r="G713"/>
          <cell r="H713">
            <v>5083.461238797533</v>
          </cell>
          <cell r="I713">
            <v>14210.584826638558</v>
          </cell>
          <cell r="J713">
            <v>28979.46869006359</v>
          </cell>
        </row>
        <row r="714">
          <cell r="D714"/>
        </row>
        <row r="715">
          <cell r="D715"/>
        </row>
        <row r="716">
          <cell r="D716"/>
        </row>
        <row r="717">
          <cell r="D717"/>
        </row>
        <row r="718">
          <cell r="D718"/>
        </row>
        <row r="719">
          <cell r="D719">
            <v>27165.190784252147</v>
          </cell>
          <cell r="I719">
            <v>8914.7938841810319</v>
          </cell>
          <cell r="J719">
            <v>18250.396900071115</v>
          </cell>
        </row>
        <row r="725">
          <cell r="D725">
            <v>34102.558780987827</v>
          </cell>
          <cell r="H725">
            <v>8368.7260812240074</v>
          </cell>
          <cell r="I725">
            <v>25733.832699763821</v>
          </cell>
        </row>
        <row r="731">
          <cell r="D731">
            <v>33799.020683018425</v>
          </cell>
          <cell r="I731">
            <v>33799.020683018425</v>
          </cell>
        </row>
        <row r="737">
          <cell r="D737">
            <v>35169.571356343877</v>
          </cell>
          <cell r="J737">
            <v>35169.571356343877</v>
          </cell>
        </row>
        <row r="743">
          <cell r="D743">
            <v>97807.654936157865</v>
          </cell>
          <cell r="H743">
            <v>10514.125765778861</v>
          </cell>
          <cell r="I743">
            <v>43107.915639693332</v>
          </cell>
          <cell r="J743">
            <v>44185.613530685667</v>
          </cell>
        </row>
        <row r="749">
          <cell r="D749">
            <v>15505.590449028712</v>
          </cell>
          <cell r="H749">
            <v>3010.0636639706308</v>
          </cell>
          <cell r="I749">
            <v>6170.6305111397933</v>
          </cell>
          <cell r="J749">
            <v>6324.896273918288</v>
          </cell>
        </row>
        <row r="755">
          <cell r="D755">
            <v>43134.122822786318</v>
          </cell>
          <cell r="H755">
            <v>14549.864913423715</v>
          </cell>
          <cell r="I755">
            <v>14115.682918203751</v>
          </cell>
          <cell r="J755">
            <v>14468.574991158846</v>
          </cell>
        </row>
        <row r="761">
          <cell r="D761">
            <v>45220.111001910554</v>
          </cell>
          <cell r="I761">
            <v>22330.919013289167</v>
          </cell>
          <cell r="J761">
            <v>22889.191988621387</v>
          </cell>
        </row>
        <row r="767">
          <cell r="D767">
            <v>31743.101516501451</v>
          </cell>
          <cell r="I767">
            <v>15675.605687161211</v>
          </cell>
          <cell r="J767">
            <v>16067.49582934024</v>
          </cell>
        </row>
        <row r="773">
          <cell r="D773">
            <v>13760.602944362259</v>
          </cell>
          <cell r="H773">
            <v>4474.0834608777923</v>
          </cell>
          <cell r="I773">
            <v>4585.9355473997366</v>
          </cell>
          <cell r="J773">
            <v>4700.5839360847294</v>
          </cell>
        </row>
        <row r="779">
          <cell r="D779">
            <v>8113.9754008370383</v>
          </cell>
          <cell r="H779">
            <v>2638.154976902918</v>
          </cell>
          <cell r="I779">
            <v>2704.1088513254913</v>
          </cell>
          <cell r="J779">
            <v>2771.7115726086281</v>
          </cell>
        </row>
        <row r="785">
          <cell r="D785">
            <v>9127.7500599828163</v>
          </cell>
          <cell r="H785">
            <v>981.21473367189651</v>
          </cell>
          <cell r="I785">
            <v>4022.9804080547756</v>
          </cell>
          <cell r="J785">
            <v>4123.5549182561444</v>
          </cell>
        </row>
        <row r="791">
          <cell r="D791">
            <v>39407.415144928375</v>
          </cell>
          <cell r="H791">
            <v>4236.2176989979444</v>
          </cell>
          <cell r="I791">
            <v>17368.492565891571</v>
          </cell>
          <cell r="J791">
            <v>17802.704880038858</v>
          </cell>
        </row>
        <row r="797">
          <cell r="D797">
            <v>3401.2274154515026</v>
          </cell>
          <cell r="H797">
            <v>660.98513963963887</v>
          </cell>
          <cell r="I797">
            <v>1353.2060621293153</v>
          </cell>
          <cell r="J797">
            <v>1387.0362136825481</v>
          </cell>
        </row>
        <row r="803">
          <cell r="D803">
            <v>11912.157554836082</v>
          </cell>
          <cell r="H803">
            <v>2656.211788126393</v>
          </cell>
          <cell r="I803">
            <v>4570.8374156591053</v>
          </cell>
          <cell r="J803">
            <v>4685.1083510505832</v>
          </cell>
        </row>
        <row r="809">
          <cell r="D809">
            <v>3122.9163181364129</v>
          </cell>
          <cell r="H809">
            <v>606.24437139265478</v>
          </cell>
          <cell r="I809">
            <v>1242.8009613549425</v>
          </cell>
          <cell r="J809">
            <v>1273.8709853888158</v>
          </cell>
        </row>
        <row r="815">
          <cell r="D815">
            <v>4375.7859375000007</v>
          </cell>
          <cell r="H815">
            <v>530.27777777777771</v>
          </cell>
          <cell r="I815">
            <v>2174.1388888888891</v>
          </cell>
          <cell r="J815">
            <v>1671.3692708333333</v>
          </cell>
        </row>
        <row r="820">
          <cell r="D820">
            <v>2636.015625</v>
          </cell>
          <cell r="H820">
            <v>319.44444444444446</v>
          </cell>
          <cell r="I820">
            <v>1309.7222222222222</v>
          </cell>
          <cell r="J820">
            <v>1006.8489583333334</v>
          </cell>
        </row>
        <row r="825">
          <cell r="D825">
            <v>5799.234375</v>
          </cell>
          <cell r="H825">
            <v>702.77777777777771</v>
          </cell>
          <cell r="I825">
            <v>2881.3888888888887</v>
          </cell>
          <cell r="J825">
            <v>2215.067708333333</v>
          </cell>
        </row>
        <row r="830">
          <cell r="D830">
            <v>5799.234375</v>
          </cell>
          <cell r="H830">
            <v>702.77777777777771</v>
          </cell>
          <cell r="I830">
            <v>2881.3888888888887</v>
          </cell>
          <cell r="J830">
            <v>2215.067708333333</v>
          </cell>
        </row>
        <row r="835">
          <cell r="D835">
            <v>5799.234375</v>
          </cell>
          <cell r="H835">
            <v>702.77777777777771</v>
          </cell>
          <cell r="I835">
            <v>2881.3888888888887</v>
          </cell>
          <cell r="J835">
            <v>2215.067708333333</v>
          </cell>
        </row>
        <row r="840">
          <cell r="D840">
            <v>1792.4906249999999</v>
          </cell>
          <cell r="H840">
            <v>217.22222222222223</v>
          </cell>
          <cell r="I840">
            <v>890.61111111111097</v>
          </cell>
          <cell r="J840">
            <v>684.65729166666654</v>
          </cell>
        </row>
        <row r="845">
          <cell r="D845">
            <v>4006.7437499999996</v>
          </cell>
          <cell r="H845">
            <v>485.55555555555554</v>
          </cell>
          <cell r="I845">
            <v>1990.7777777777774</v>
          </cell>
          <cell r="J845">
            <v>1530.4104166666666</v>
          </cell>
        </row>
        <row r="850">
          <cell r="D850">
            <v>14234.484375</v>
          </cell>
          <cell r="H850">
            <v>1725</v>
          </cell>
          <cell r="I850">
            <v>7072.4999999999991</v>
          </cell>
          <cell r="J850">
            <v>5436.9843749999991</v>
          </cell>
        </row>
        <row r="855">
          <cell r="D855">
            <v>7064.5218749999985</v>
          </cell>
          <cell r="H855">
            <v>856.11111111111109</v>
          </cell>
          <cell r="I855">
            <v>3510.0555555555547</v>
          </cell>
          <cell r="J855">
            <v>2698.3552083333329</v>
          </cell>
        </row>
        <row r="860">
          <cell r="D860">
            <v>3440.0003906249995</v>
          </cell>
          <cell r="H860">
            <v>416.875</v>
          </cell>
          <cell r="I860">
            <v>1709.1874999999998</v>
          </cell>
          <cell r="J860">
            <v>1313.9378906249997</v>
          </cell>
        </row>
        <row r="865">
          <cell r="D865">
            <v>790.80468749999989</v>
          </cell>
          <cell r="H865">
            <v>95.833333333333329</v>
          </cell>
          <cell r="I865">
            <v>392.91666666666663</v>
          </cell>
          <cell r="J865">
            <v>302.05468749999994</v>
          </cell>
        </row>
        <row r="870">
          <cell r="D870">
            <v>395.40234374999994</v>
          </cell>
          <cell r="H870">
            <v>47.916666666666664</v>
          </cell>
          <cell r="I870">
            <v>196.45833333333331</v>
          </cell>
          <cell r="J870">
            <v>151.02734374999997</v>
          </cell>
        </row>
        <row r="875">
          <cell r="D875">
            <v>2873.2570312500002</v>
          </cell>
          <cell r="H875">
            <v>348.19444444444446</v>
          </cell>
          <cell r="I875">
            <v>1427.5972222222219</v>
          </cell>
          <cell r="J875">
            <v>1097.4653645833334</v>
          </cell>
        </row>
        <row r="880">
          <cell r="D880">
            <v>2036.3220703124996</v>
          </cell>
          <cell r="H880">
            <v>246.77083333333334</v>
          </cell>
          <cell r="I880">
            <v>1011.7604166666665</v>
          </cell>
          <cell r="J880">
            <v>777.79082031249982</v>
          </cell>
        </row>
        <row r="886">
          <cell r="D886">
            <v>209392</v>
          </cell>
          <cell r="H886"/>
          <cell r="I886">
            <v>209392</v>
          </cell>
        </row>
        <row r="907">
          <cell r="D907">
            <v>3618.4749999999999</v>
          </cell>
          <cell r="I907">
            <v>1809.09375</v>
          </cell>
          <cell r="J907">
            <v>1809.3812499999999</v>
          </cell>
        </row>
        <row r="925">
          <cell r="D925">
            <v>17754.921875</v>
          </cell>
          <cell r="H925"/>
          <cell r="I925">
            <v>14734.375</v>
          </cell>
          <cell r="J925">
            <v>3020.546875</v>
          </cell>
        </row>
        <row r="929">
          <cell r="D929">
            <v>29897.7</v>
          </cell>
          <cell r="H929"/>
          <cell r="I929">
            <v>23584.2</v>
          </cell>
          <cell r="J929">
            <v>6313.5</v>
          </cell>
        </row>
        <row r="946">
          <cell r="D946">
            <v>88713.3</v>
          </cell>
          <cell r="H946">
            <v>18952</v>
          </cell>
          <cell r="I946">
            <v>69761.3</v>
          </cell>
          <cell r="J946"/>
        </row>
        <row r="963">
          <cell r="D963">
            <v>72413.2</v>
          </cell>
          <cell r="H963"/>
          <cell r="I963">
            <v>72413.2</v>
          </cell>
          <cell r="J963"/>
        </row>
        <row r="981">
          <cell r="D981">
            <v>41400</v>
          </cell>
          <cell r="H981">
            <v>10350</v>
          </cell>
          <cell r="I981">
            <v>31050</v>
          </cell>
        </row>
        <row r="986">
          <cell r="D986">
            <v>5750</v>
          </cell>
          <cell r="J986">
            <v>5750</v>
          </cell>
        </row>
        <row r="997">
          <cell r="C997" t="str">
            <v>1.1d Design and implement capacity development activities to augment the skills of national staff to implement national FAD programmes.</v>
          </cell>
        </row>
        <row r="998">
          <cell r="D998">
            <v>218927.22620954967</v>
          </cell>
          <cell r="H998">
            <v>5514.6246947160907</v>
          </cell>
          <cell r="I998">
            <v>22609.961248335967</v>
          </cell>
          <cell r="J998">
            <v>23175.210279544368</v>
          </cell>
          <cell r="K998">
            <v>35631.885804799458</v>
          </cell>
          <cell r="L998">
            <v>36522.682949919443</v>
          </cell>
          <cell r="M998">
            <v>37435.750023667424</v>
          </cell>
          <cell r="N998">
            <v>38371.643774259108</v>
          </cell>
          <cell r="O998">
            <v>19665.46743430779</v>
          </cell>
        </row>
        <row r="1004">
          <cell r="D1004">
            <v>144717.71166698655</v>
          </cell>
          <cell r="H1004">
            <v>15436.223917798106</v>
          </cell>
          <cell r="I1004">
            <v>15354.4740542046</v>
          </cell>
          <cell r="J1004">
            <v>15738.335905559712</v>
          </cell>
          <cell r="K1004">
            <v>23301.480660175897</v>
          </cell>
          <cell r="L1004">
            <v>23884.017676680294</v>
          </cell>
          <cell r="M1004">
            <v>24481.118118597304</v>
          </cell>
          <cell r="N1004">
            <v>25093.146071562234</v>
          </cell>
          <cell r="O1004">
            <v>1428.9152624084047</v>
          </cell>
        </row>
        <row r="1010">
          <cell r="D1010">
            <v>169075.92920841189</v>
          </cell>
          <cell r="H1010">
            <v>5607.5337417487262</v>
          </cell>
          <cell r="I1010">
            <v>22990.888341169775</v>
          </cell>
          <cell r="J1010">
            <v>23565.660549699016</v>
          </cell>
          <cell r="K1010">
            <v>36115.57580203723</v>
          </cell>
          <cell r="L1010">
            <v>37018.465197088168</v>
          </cell>
          <cell r="M1010">
            <v>37943.92682701537</v>
          </cell>
          <cell r="N1010">
            <v>5833.8787496536124</v>
          </cell>
          <cell r="O1010"/>
        </row>
        <row r="1016">
          <cell r="D1016">
            <v>131072.78248350541</v>
          </cell>
          <cell r="E1016"/>
          <cell r="F1016"/>
          <cell r="G1016"/>
          <cell r="H1016">
            <v>5083.461238797533</v>
          </cell>
          <cell r="I1016">
            <v>14210.584826638558</v>
          </cell>
          <cell r="J1016">
            <v>28979.46869006359</v>
          </cell>
          <cell r="K1016">
            <v>54743.317506119478</v>
          </cell>
          <cell r="L1016">
            <v>28055.950221886236</v>
          </cell>
          <cell r="M1016"/>
          <cell r="N1016"/>
          <cell r="O1016"/>
        </row>
        <row r="1017">
          <cell r="D1017"/>
        </row>
        <row r="1018">
          <cell r="D1018"/>
        </row>
        <row r="1019">
          <cell r="D1019"/>
        </row>
        <row r="1020">
          <cell r="D1020"/>
        </row>
        <row r="1021">
          <cell r="D1021"/>
        </row>
        <row r="1022">
          <cell r="D1022">
            <v>158216.09979350097</v>
          </cell>
          <cell r="I1022">
            <v>17829.587768362064</v>
          </cell>
          <cell r="J1022">
            <v>36500.79380014223</v>
          </cell>
          <cell r="K1022">
            <v>68684.772380163093</v>
          </cell>
          <cell r="L1022">
            <v>35200.945844833572</v>
          </cell>
          <cell r="O1022"/>
        </row>
        <row r="1028">
          <cell r="D1028">
            <v>19027.75899086658</v>
          </cell>
          <cell r="H1028"/>
          <cell r="I1028"/>
          <cell r="J1028"/>
          <cell r="K1028">
            <v>19027.75899086658</v>
          </cell>
          <cell r="L1028"/>
          <cell r="M1028"/>
          <cell r="N1028"/>
          <cell r="O1028"/>
        </row>
        <row r="1034">
          <cell r="D1034">
            <v>19503.45296563824</v>
          </cell>
          <cell r="H1034"/>
          <cell r="I1034"/>
          <cell r="J1034"/>
          <cell r="L1034">
            <v>19503.45296563824</v>
          </cell>
          <cell r="M1034"/>
          <cell r="N1034"/>
          <cell r="O1034"/>
        </row>
        <row r="1040">
          <cell r="D1040">
            <v>19991.039289779197</v>
          </cell>
          <cell r="H1040"/>
          <cell r="I1040"/>
          <cell r="J1040"/>
          <cell r="K1040"/>
          <cell r="L1040"/>
          <cell r="M1040">
            <v>19991.039289779197</v>
          </cell>
          <cell r="N1040"/>
          <cell r="O1040"/>
        </row>
        <row r="1046">
          <cell r="D1046">
            <v>22170.018543755272</v>
          </cell>
          <cell r="H1046"/>
          <cell r="I1046"/>
          <cell r="J1046"/>
          <cell r="K1046"/>
          <cell r="L1046">
            <v>22170.018543755272</v>
          </cell>
          <cell r="M1046"/>
          <cell r="N1046"/>
          <cell r="O1046"/>
        </row>
        <row r="1052">
          <cell r="D1052">
            <v>22495.337358908746</v>
          </cell>
          <cell r="H1052"/>
          <cell r="I1052"/>
          <cell r="J1052">
            <v>22495.337358908746</v>
          </cell>
          <cell r="K1052"/>
          <cell r="L1052"/>
          <cell r="M1052"/>
          <cell r="N1052"/>
          <cell r="O1052"/>
        </row>
        <row r="1058">
          <cell r="D1058">
            <v>265920.23571346281</v>
          </cell>
          <cell r="H1058">
            <v>10514.125765778861</v>
          </cell>
          <cell r="I1058">
            <v>43107.915639693332</v>
          </cell>
          <cell r="J1058">
            <v>44185.613530685667</v>
          </cell>
          <cell r="K1058">
            <v>48315.724235359048</v>
          </cell>
          <cell r="L1058">
            <v>49523.617341243022</v>
          </cell>
          <cell r="M1058">
            <v>50761.707774774084</v>
          </cell>
          <cell r="N1058">
            <v>19511.531425928792</v>
          </cell>
          <cell r="O1058"/>
        </row>
        <row r="1064">
          <cell r="D1064">
            <v>99405.33797715632</v>
          </cell>
          <cell r="H1064">
            <v>5948.8662567567499</v>
          </cell>
          <cell r="I1064">
            <v>12178.854559163839</v>
          </cell>
          <cell r="J1064">
            <v>12483.325923142933</v>
          </cell>
          <cell r="K1064">
            <v>14623.324652824576</v>
          </cell>
          <cell r="L1064">
            <v>14988.907769145189</v>
          </cell>
          <cell r="M1064">
            <v>15363.630463373816</v>
          </cell>
          <cell r="N1064">
            <v>15747.721224958161</v>
          </cell>
          <cell r="O1064">
            <v>8070.7071277910563</v>
          </cell>
        </row>
        <row r="1070">
          <cell r="D1070">
            <v>148786.99579953466</v>
          </cell>
          <cell r="H1070">
            <v>9093.6655708898215</v>
          </cell>
          <cell r="I1070">
            <v>37284.028840648265</v>
          </cell>
          <cell r="J1070">
            <v>38216.129561664464</v>
          </cell>
          <cell r="K1070">
            <v>19585.766400353037</v>
          </cell>
          <cell r="L1070">
            <v>20075.410560361866</v>
          </cell>
          <cell r="M1070">
            <v>20577.295824370907</v>
          </cell>
          <cell r="N1070">
            <v>3954.6990412462842</v>
          </cell>
          <cell r="O1070"/>
        </row>
        <row r="1076">
          <cell r="D1076">
            <v>50046.845964730521</v>
          </cell>
          <cell r="H1076">
            <v>3010.0636639706308</v>
          </cell>
          <cell r="I1076">
            <v>6170.6305111397933</v>
          </cell>
          <cell r="J1076">
            <v>6324.896273918288</v>
          </cell>
          <cell r="K1076">
            <v>10805.031134610403</v>
          </cell>
          <cell r="L1076">
            <v>11075.156912975664</v>
          </cell>
          <cell r="M1076">
            <v>11352.035835800056</v>
          </cell>
          <cell r="N1076">
            <v>1309.0316323156935</v>
          </cell>
          <cell r="O1076"/>
        </row>
        <row r="1082">
          <cell r="D1082">
            <v>22842.817807360723</v>
          </cell>
          <cell r="H1082">
            <v>2638.154976902918</v>
          </cell>
          <cell r="I1082">
            <v>2704.1088513254913</v>
          </cell>
          <cell r="J1082">
            <v>2771.7115726086281</v>
          </cell>
          <cell r="K1082">
            <v>3546.9685695700873</v>
          </cell>
          <cell r="L1082">
            <v>3635.6427838093391</v>
          </cell>
          <cell r="M1082">
            <v>3726.5338534045723</v>
          </cell>
          <cell r="N1082">
            <v>3819.6971997396859</v>
          </cell>
          <cell r="O1082"/>
        </row>
        <row r="1088">
          <cell r="D1088">
            <v>13433.728221006702</v>
          </cell>
          <cell r="H1088">
            <v>660.98513963963887</v>
          </cell>
          <cell r="I1088">
            <v>1353.2060621293153</v>
          </cell>
          <cell r="J1088">
            <v>1387.0362136825481</v>
          </cell>
          <cell r="K1088">
            <v>2132.568178536917</v>
          </cell>
          <cell r="L1088">
            <v>2185.8823830003403</v>
          </cell>
          <cell r="M1088">
            <v>2240.5294425753486</v>
          </cell>
          <cell r="N1088">
            <v>2296.542678639732</v>
          </cell>
          <cell r="O1088">
            <v>1176.9781228028628</v>
          </cell>
        </row>
        <row r="1094">
          <cell r="D1094">
            <v>42619.313474889357</v>
          </cell>
          <cell r="H1094">
            <v>2656.211788126393</v>
          </cell>
          <cell r="I1094">
            <v>4570.8374156591053</v>
          </cell>
          <cell r="J1094">
            <v>4685.1083510505832</v>
          </cell>
          <cell r="K1094">
            <v>7203.35408974027</v>
          </cell>
          <cell r="L1094">
            <v>7383.4379419837769</v>
          </cell>
          <cell r="M1094">
            <v>7568.0238905333708</v>
          </cell>
          <cell r="N1094">
            <v>7757.2244877967032</v>
          </cell>
          <cell r="O1094">
            <v>795.11550999916187</v>
          </cell>
        </row>
        <row r="1100">
          <cell r="D1100">
            <v>136947.80528240016</v>
          </cell>
          <cell r="H1100">
            <v>12016.143732318698</v>
          </cell>
          <cell r="I1100">
            <v>24633.094651253326</v>
          </cell>
          <cell r="J1100">
            <v>25248.922017534656</v>
          </cell>
          <cell r="K1100">
            <v>19326.289694143619</v>
          </cell>
          <cell r="L1100">
            <v>19809.446936497206</v>
          </cell>
          <cell r="M1100">
            <v>20304.683109909638</v>
          </cell>
          <cell r="N1100">
            <v>15609.22514074303</v>
          </cell>
          <cell r="O1100"/>
        </row>
        <row r="1106">
          <cell r="D1106">
            <v>38953.624562077224</v>
          </cell>
          <cell r="H1106">
            <v>981.21473367189651</v>
          </cell>
          <cell r="I1106">
            <v>4022.9804080547756</v>
          </cell>
          <cell r="J1106">
            <v>4123.5549182561444</v>
          </cell>
          <cell r="K1106">
            <v>6339.9656868188222</v>
          </cell>
          <cell r="L1106">
            <v>6498.4648289892921</v>
          </cell>
          <cell r="M1106">
            <v>6660.9264497140239</v>
          </cell>
          <cell r="N1106">
            <v>6827.4496109568736</v>
          </cell>
          <cell r="O1106">
            <v>3499.0679256153981</v>
          </cell>
        </row>
        <row r="1112">
          <cell r="D1112">
            <v>145699.58512370964</v>
          </cell>
          <cell r="H1112">
            <v>4236.2176989979444</v>
          </cell>
          <cell r="I1112">
            <v>17368.492565891571</v>
          </cell>
          <cell r="J1112">
            <v>17802.704880038858</v>
          </cell>
          <cell r="K1112">
            <v>27371.658753059739</v>
          </cell>
          <cell r="L1112">
            <v>28055.950221886236</v>
          </cell>
          <cell r="M1112">
            <v>28757.34897743339</v>
          </cell>
          <cell r="N1112">
            <v>22107.212026401918</v>
          </cell>
          <cell r="O1112"/>
        </row>
        <row r="1118">
          <cell r="D1118">
            <v>239361.52743520975</v>
          </cell>
          <cell r="I1118">
            <v>31351.211374322422</v>
          </cell>
          <cell r="J1118">
            <v>32134.991658680479</v>
          </cell>
          <cell r="K1118">
            <v>45290.253868952794</v>
          </cell>
          <cell r="L1118">
            <v>46422.510215676615</v>
          </cell>
          <cell r="M1118">
            <v>47583.072971068526</v>
          </cell>
          <cell r="N1118">
            <v>36579.487346508926</v>
          </cell>
          <cell r="O1118"/>
        </row>
        <row r="1124">
          <cell r="D1124">
            <v>33459.079309797329</v>
          </cell>
          <cell r="H1124"/>
          <cell r="I1124">
            <v>4474.0834608777923</v>
          </cell>
          <cell r="J1124">
            <v>4585.9355473997366</v>
          </cell>
          <cell r="K1124">
            <v>5875.7299201059113</v>
          </cell>
          <cell r="L1124">
            <v>6022.6231681085592</v>
          </cell>
          <cell r="M1124">
            <v>6173.1887473112729</v>
          </cell>
          <cell r="N1124">
            <v>6327.5184659940542</v>
          </cell>
          <cell r="O1124"/>
        </row>
        <row r="1130">
          <cell r="D1130">
            <v>12336.887489916997</v>
          </cell>
          <cell r="H1130">
            <v>606.24437139265478</v>
          </cell>
          <cell r="I1130">
            <v>1242.8009613549425</v>
          </cell>
          <cell r="J1130">
            <v>1273.8709853888158</v>
          </cell>
          <cell r="K1130">
            <v>1958.5766400353036</v>
          </cell>
          <cell r="L1130">
            <v>2007.5410560361861</v>
          </cell>
          <cell r="M1130">
            <v>2057.7295824370908</v>
          </cell>
          <cell r="N1130">
            <v>2109.1728219980178</v>
          </cell>
          <cell r="O1130">
            <v>1080.9510712739841</v>
          </cell>
        </row>
        <row r="1137">
          <cell r="D1137">
            <v>6966.9306101888023</v>
          </cell>
          <cell r="H1137">
            <v>530.27777777777771</v>
          </cell>
          <cell r="I1137">
            <v>2174.1388888888891</v>
          </cell>
          <cell r="J1137">
            <v>1671.3692708333333</v>
          </cell>
          <cell r="K1137">
            <v>1713.1535026041665</v>
          </cell>
          <cell r="L1137">
            <v>877.9911700846352</v>
          </cell>
        </row>
        <row r="1142">
          <cell r="D1142">
            <v>8393.8923014322918</v>
          </cell>
          <cell r="H1142">
            <v>638.88888888888891</v>
          </cell>
          <cell r="I1142">
            <v>2619.4444444444443</v>
          </cell>
          <cell r="J1142">
            <v>2013.6979166666667</v>
          </cell>
          <cell r="K1142">
            <v>2064.040364583333</v>
          </cell>
          <cell r="L1142">
            <v>1057.8206868489581</v>
          </cell>
        </row>
        <row r="1147">
          <cell r="D1147">
            <v>9233.2815315755197</v>
          </cell>
          <cell r="H1147">
            <v>702.77777777777771</v>
          </cell>
          <cell r="I1147">
            <v>2881.3888888888887</v>
          </cell>
          <cell r="J1147">
            <v>2215.067708333333</v>
          </cell>
          <cell r="K1147">
            <v>2270.4444010416664</v>
          </cell>
          <cell r="L1147">
            <v>1163.6027555338537</v>
          </cell>
        </row>
        <row r="1152">
          <cell r="D1152">
            <v>8785.3623372395832</v>
          </cell>
          <cell r="H1152">
            <v>702.77777777777771</v>
          </cell>
          <cell r="I1152">
            <v>2881.3888888888887</v>
          </cell>
          <cell r="J1152">
            <v>2215.067708333333</v>
          </cell>
          <cell r="K1152">
            <v>1974.2994791666663</v>
          </cell>
          <cell r="L1152">
            <v>1011.8284830729164</v>
          </cell>
        </row>
        <row r="1157">
          <cell r="D1157">
            <v>9233.2815315755197</v>
          </cell>
          <cell r="H1157">
            <v>702.77777777777771</v>
          </cell>
          <cell r="I1157">
            <v>2881.3888888888887</v>
          </cell>
          <cell r="J1157">
            <v>2215.067708333333</v>
          </cell>
          <cell r="K1157">
            <v>2270.4444010416664</v>
          </cell>
          <cell r="L1157">
            <v>1163.6027555338537</v>
          </cell>
        </row>
        <row r="1162">
          <cell r="D1162">
            <v>5707.8467649739578</v>
          </cell>
          <cell r="H1162">
            <v>434.44444444444446</v>
          </cell>
          <cell r="I1162">
            <v>1781.2222222222219</v>
          </cell>
          <cell r="J1162">
            <v>1369.3145833333331</v>
          </cell>
          <cell r="K1162">
            <v>1403.5474479166664</v>
          </cell>
          <cell r="L1162">
            <v>719.3180670572915</v>
          </cell>
        </row>
        <row r="1167">
          <cell r="D1167">
            <v>6379.3581490885408</v>
          </cell>
          <cell r="H1167">
            <v>485.55555555555554</v>
          </cell>
          <cell r="I1167">
            <v>1990.7777777777774</v>
          </cell>
          <cell r="J1167">
            <v>1530.4104166666666</v>
          </cell>
          <cell r="K1167">
            <v>1568.670677083333</v>
          </cell>
          <cell r="L1167">
            <v>803.94372200520809</v>
          </cell>
        </row>
        <row r="1172">
          <cell r="D1172">
            <v>22663.509213867183</v>
          </cell>
          <cell r="H1172">
            <v>1725</v>
          </cell>
          <cell r="I1172">
            <v>7072.4999999999991</v>
          </cell>
          <cell r="J1172">
            <v>5436.9843749999991</v>
          </cell>
          <cell r="K1172">
            <v>5572.9089843749989</v>
          </cell>
          <cell r="L1172">
            <v>2856.1158544921868</v>
          </cell>
        </row>
        <row r="1177">
          <cell r="D1177">
            <v>11247.815683919269</v>
          </cell>
          <cell r="H1177">
            <v>856.11111111111109</v>
          </cell>
          <cell r="I1177">
            <v>3510.0555555555547</v>
          </cell>
          <cell r="J1177">
            <v>2698.3552083333329</v>
          </cell>
          <cell r="K1177">
            <v>2765.8140885416665</v>
          </cell>
          <cell r="L1177">
            <v>1417.4797203776038</v>
          </cell>
        </row>
        <row r="1182">
          <cell r="D1182">
            <v>5477.0147266845697</v>
          </cell>
          <cell r="H1182">
            <v>416.875</v>
          </cell>
          <cell r="I1182">
            <v>1709.1874999999998</v>
          </cell>
          <cell r="J1182">
            <v>1313.9378906249997</v>
          </cell>
          <cell r="K1182">
            <v>1346.786337890625</v>
          </cell>
          <cell r="L1182">
            <v>690.22799816894508</v>
          </cell>
        </row>
        <row r="1187">
          <cell r="D1187">
            <v>2518.1676904296874</v>
          </cell>
          <cell r="H1187">
            <v>191.66666666666666</v>
          </cell>
          <cell r="I1187">
            <v>785.83333333333326</v>
          </cell>
          <cell r="J1187">
            <v>604.10937499999989</v>
          </cell>
          <cell r="K1187">
            <v>619.21210937499984</v>
          </cell>
          <cell r="L1187">
            <v>317.3462060546874</v>
          </cell>
        </row>
        <row r="1192">
          <cell r="D1192">
            <v>3273.6179975585933</v>
          </cell>
          <cell r="H1192">
            <v>249.16666666666666</v>
          </cell>
          <cell r="I1192">
            <v>1021.5833333333333</v>
          </cell>
          <cell r="J1192">
            <v>785.34218750000002</v>
          </cell>
          <cell r="K1192">
            <v>804.97574218749992</v>
          </cell>
          <cell r="L1192">
            <v>412.55006787109369</v>
          </cell>
        </row>
        <row r="1197">
          <cell r="D1197">
            <v>9149.3426085611973</v>
          </cell>
          <cell r="H1197">
            <v>696.38888888888891</v>
          </cell>
          <cell r="I1197">
            <v>2855.1944444444439</v>
          </cell>
          <cell r="J1197">
            <v>2194.9307291666669</v>
          </cell>
          <cell r="K1197">
            <v>2249.803997395833</v>
          </cell>
          <cell r="L1197">
            <v>1153.0245486653644</v>
          </cell>
        </row>
        <row r="1202">
          <cell r="D1202">
            <v>6484.2818028564443</v>
          </cell>
          <cell r="H1202">
            <v>493.54166666666669</v>
          </cell>
          <cell r="I1202">
            <v>2023.520833333333</v>
          </cell>
          <cell r="J1202">
            <v>1555.5816406249996</v>
          </cell>
          <cell r="K1202">
            <v>1594.4711816406248</v>
          </cell>
          <cell r="L1202">
            <v>817.16648059082024</v>
          </cell>
        </row>
        <row r="1207">
          <cell r="D1207">
            <v>110400</v>
          </cell>
          <cell r="I1207">
            <v>13800</v>
          </cell>
          <cell r="J1207">
            <v>41400</v>
          </cell>
          <cell r="K1207">
            <v>41400</v>
          </cell>
          <cell r="L1207">
            <v>13800</v>
          </cell>
        </row>
        <row r="1212">
          <cell r="D1212">
            <v>69000</v>
          </cell>
          <cell r="I1212">
            <v>13800</v>
          </cell>
          <cell r="J1212">
            <v>41400</v>
          </cell>
          <cell r="K1212">
            <v>13800</v>
          </cell>
          <cell r="O1212"/>
        </row>
        <row r="1217">
          <cell r="D1217">
            <v>41400</v>
          </cell>
          <cell r="J1217">
            <v>27600</v>
          </cell>
          <cell r="K1217">
            <v>13800</v>
          </cell>
          <cell r="O1217"/>
        </row>
        <row r="1222">
          <cell r="D1222">
            <v>126500</v>
          </cell>
          <cell r="J1222">
            <v>34500</v>
          </cell>
          <cell r="K1222">
            <v>34500</v>
          </cell>
          <cell r="L1222">
            <v>34500</v>
          </cell>
          <cell r="M1222">
            <v>23000</v>
          </cell>
          <cell r="O1222"/>
        </row>
        <row r="1227">
          <cell r="D1227">
            <v>92000</v>
          </cell>
          <cell r="J1227">
            <v>17250</v>
          </cell>
          <cell r="K1227">
            <v>28750</v>
          </cell>
          <cell r="L1227">
            <v>28750</v>
          </cell>
          <cell r="M1227">
            <v>17250</v>
          </cell>
          <cell r="O1227"/>
        </row>
        <row r="1233">
          <cell r="D1233">
            <v>108864.75</v>
          </cell>
          <cell r="I1233">
            <v>39353</v>
          </cell>
          <cell r="J1233">
            <v>29428.5</v>
          </cell>
          <cell r="K1233">
            <v>23736</v>
          </cell>
          <cell r="L1233">
            <v>16347.25</v>
          </cell>
        </row>
        <row r="1250">
          <cell r="D1250">
            <v>109590.39999999999</v>
          </cell>
          <cell r="I1250">
            <v>6849.4</v>
          </cell>
          <cell r="J1250">
            <v>27397.599999999999</v>
          </cell>
          <cell r="K1250">
            <v>27397.599999999999</v>
          </cell>
          <cell r="L1250">
            <v>27397.599999999999</v>
          </cell>
          <cell r="M1250">
            <v>20548.2</v>
          </cell>
        </row>
        <row r="1270">
          <cell r="D1270">
            <v>82268.7</v>
          </cell>
          <cell r="I1270">
            <v>82268.7</v>
          </cell>
          <cell r="O1270"/>
        </row>
        <row r="1288">
          <cell r="D1288">
            <v>188857.59999999998</v>
          </cell>
          <cell r="I1288">
            <v>38216.800000000003</v>
          </cell>
          <cell r="J1288">
            <v>85163.25</v>
          </cell>
          <cell r="K1288">
            <v>56350</v>
          </cell>
          <cell r="L1288">
            <v>9127.5499999999993</v>
          </cell>
        </row>
        <row r="1324">
          <cell r="D1324">
            <v>20125</v>
          </cell>
          <cell r="E1324"/>
          <cell r="F1324"/>
          <cell r="G1324"/>
          <cell r="H1324">
            <v>20125</v>
          </cell>
          <cell r="I1324"/>
          <cell r="J1324"/>
          <cell r="K1324"/>
          <cell r="L1324"/>
        </row>
        <row r="1325">
          <cell r="D1325"/>
        </row>
        <row r="1326">
          <cell r="D1326"/>
        </row>
        <row r="1327">
          <cell r="D1327"/>
        </row>
        <row r="1328">
          <cell r="D1328"/>
        </row>
        <row r="1329">
          <cell r="D1329"/>
        </row>
        <row r="1330">
          <cell r="D1330">
            <v>5031.25</v>
          </cell>
          <cell r="E1330"/>
          <cell r="F1330"/>
          <cell r="G1330"/>
          <cell r="H1330">
            <v>5031.25</v>
          </cell>
          <cell r="I1330"/>
          <cell r="J1330"/>
          <cell r="K1330"/>
          <cell r="L1330"/>
        </row>
        <row r="1331">
          <cell r="D1331"/>
        </row>
        <row r="1332">
          <cell r="D1332"/>
        </row>
        <row r="1333">
          <cell r="D1333"/>
        </row>
        <row r="1334">
          <cell r="D1334"/>
        </row>
        <row r="1335">
          <cell r="D1335">
            <v>14705.55107519531</v>
          </cell>
          <cell r="E1335"/>
          <cell r="F1335"/>
          <cell r="G1335"/>
          <cell r="H1335">
            <v>656.25</v>
          </cell>
          <cell r="I1335">
            <v>2017.96875</v>
          </cell>
          <cell r="J1335">
            <v>2757.890625</v>
          </cell>
          <cell r="K1335">
            <v>2261.4703124999996</v>
          </cell>
          <cell r="L1335">
            <v>4636.0141406249995</v>
          </cell>
          <cell r="M1335">
            <v>2375.9572470703115</v>
          </cell>
        </row>
        <row r="1336">
          <cell r="D1336"/>
        </row>
        <row r="1337">
          <cell r="D1337"/>
        </row>
        <row r="1338">
          <cell r="D1338"/>
        </row>
        <row r="1339">
          <cell r="D1339"/>
        </row>
        <row r="1340">
          <cell r="D1340"/>
        </row>
        <row r="1341">
          <cell r="D1341"/>
        </row>
        <row r="1342">
          <cell r="D1342">
            <v>36772.080812988272</v>
          </cell>
          <cell r="E1342"/>
          <cell r="F1342"/>
          <cell r="G1342"/>
          <cell r="H1342">
            <v>1312.5</v>
          </cell>
          <cell r="I1342">
            <v>5381.25</v>
          </cell>
          <cell r="J1342">
            <v>6894.7265625</v>
          </cell>
          <cell r="K1342">
            <v>5653.6757812499991</v>
          </cell>
          <cell r="L1342">
            <v>11590.035351562497</v>
          </cell>
          <cell r="M1342">
            <v>5939.8931176757787</v>
          </cell>
        </row>
        <row r="1343">
          <cell r="D1343"/>
        </row>
        <row r="1344">
          <cell r="D1344"/>
        </row>
        <row r="1345">
          <cell r="D1345"/>
        </row>
        <row r="1346">
          <cell r="D1346"/>
        </row>
        <row r="1347">
          <cell r="D1347"/>
        </row>
        <row r="1348">
          <cell r="D1348">
            <v>24164.510248535153</v>
          </cell>
          <cell r="E1348"/>
          <cell r="F1348"/>
          <cell r="G1348"/>
          <cell r="H1348">
            <v>862.5</v>
          </cell>
          <cell r="I1348">
            <v>3536.25</v>
          </cell>
          <cell r="J1348">
            <v>4530.8203125</v>
          </cell>
          <cell r="K1348">
            <v>3715.2726562499988</v>
          </cell>
          <cell r="L1348">
            <v>7616.3089453124985</v>
          </cell>
          <cell r="M1348">
            <v>3903.3583344726544</v>
          </cell>
        </row>
        <row r="1349">
          <cell r="D1349"/>
        </row>
        <row r="1350">
          <cell r="D1350"/>
        </row>
        <row r="1351">
          <cell r="D1351"/>
        </row>
        <row r="1352">
          <cell r="D1352"/>
        </row>
        <row r="1353">
          <cell r="D1353">
            <v>18168.30001927551</v>
          </cell>
          <cell r="E1353"/>
          <cell r="F1353"/>
          <cell r="G1353"/>
          <cell r="H1353"/>
          <cell r="J1353">
            <v>1413.4189453124998</v>
          </cell>
          <cell r="K1353">
            <v>4636.0141406249995</v>
          </cell>
          <cell r="L1353">
            <v>4751.914494140623</v>
          </cell>
          <cell r="M1353">
            <v>4870.7123564941394</v>
          </cell>
          <cell r="N1353">
            <v>2496.2400827032461</v>
          </cell>
        </row>
        <row r="1354">
          <cell r="D1354"/>
        </row>
        <row r="1355">
          <cell r="D1355"/>
        </row>
        <row r="1356">
          <cell r="D1356"/>
        </row>
        <row r="1357">
          <cell r="D1357"/>
        </row>
        <row r="1358">
          <cell r="D1358"/>
        </row>
        <row r="1359">
          <cell r="D1359">
            <v>11939.168584095332</v>
          </cell>
          <cell r="E1359"/>
          <cell r="F1359"/>
          <cell r="G1359"/>
          <cell r="H1359"/>
          <cell r="J1359">
            <v>928.8181640624997</v>
          </cell>
          <cell r="K1359">
            <v>3046.5235781249994</v>
          </cell>
          <cell r="L1359">
            <v>3122.6866675781234</v>
          </cell>
          <cell r="M1359">
            <v>3200.7538342675771</v>
          </cell>
          <cell r="N1359">
            <v>1640.3863400621333</v>
          </cell>
        </row>
        <row r="1360">
          <cell r="D1360"/>
        </row>
        <row r="1361">
          <cell r="D1361"/>
        </row>
        <row r="1362">
          <cell r="D1362"/>
        </row>
        <row r="1363">
          <cell r="D1363"/>
        </row>
        <row r="1364">
          <cell r="D1364">
            <v>260776.42155905816</v>
          </cell>
          <cell r="E1364"/>
          <cell r="F1364"/>
          <cell r="G1364"/>
          <cell r="H1364"/>
          <cell r="I1364">
            <v>28957.8515625</v>
          </cell>
          <cell r="J1364">
            <v>29681.797851562496</v>
          </cell>
          <cell r="K1364">
            <v>48678.148476562499</v>
          </cell>
          <cell r="L1364">
            <v>49895.102188476543</v>
          </cell>
          <cell r="M1364">
            <v>51142.479743188458</v>
          </cell>
          <cell r="N1364">
            <v>52421.041736768173</v>
          </cell>
        </row>
        <row r="1365">
          <cell r="D1365"/>
        </row>
        <row r="1366">
          <cell r="D1366"/>
        </row>
        <row r="1367">
          <cell r="D1367"/>
        </row>
        <row r="1368">
          <cell r="D1368"/>
        </row>
        <row r="1369">
          <cell r="D1369"/>
        </row>
        <row r="1370">
          <cell r="D1370">
            <v>71403.06780783736</v>
          </cell>
          <cell r="E1370"/>
          <cell r="F1370"/>
          <cell r="G1370"/>
          <cell r="H1370"/>
          <cell r="I1370">
            <v>7928.935546875</v>
          </cell>
          <cell r="J1370">
            <v>8127.1589355468741</v>
          </cell>
          <cell r="K1370">
            <v>13328.54065429687</v>
          </cell>
          <cell r="L1370">
            <v>13661.754170654291</v>
          </cell>
          <cell r="M1370">
            <v>14003.298024920648</v>
          </cell>
          <cell r="N1370">
            <v>14353.380475543667</v>
          </cell>
        </row>
        <row r="1371">
          <cell r="D1371"/>
        </row>
        <row r="1372">
          <cell r="D1372"/>
        </row>
        <row r="1373">
          <cell r="D1373"/>
        </row>
        <row r="1374">
          <cell r="D1374">
            <v>31500.684483630976</v>
          </cell>
          <cell r="E1374"/>
          <cell r="F1374"/>
          <cell r="G1374"/>
          <cell r="H1374"/>
          <cell r="I1374">
            <v>2757.890625</v>
          </cell>
          <cell r="J1374">
            <v>4946.9663085937491</v>
          </cell>
          <cell r="K1374">
            <v>8113.0247460937489</v>
          </cell>
          <cell r="L1374">
            <v>8315.8503647460911</v>
          </cell>
          <cell r="M1374">
            <v>4870.7123564941394</v>
          </cell>
          <cell r="N1374">
            <v>2496.2400827032461</v>
          </cell>
        </row>
        <row r="1375">
          <cell r="D1375"/>
        </row>
        <row r="1376">
          <cell r="D1376"/>
        </row>
        <row r="1377">
          <cell r="D1377"/>
        </row>
        <row r="1378">
          <cell r="D1378"/>
        </row>
        <row r="1379">
          <cell r="D1379"/>
        </row>
        <row r="1380">
          <cell r="D1380">
            <v>8625.1874181370513</v>
          </cell>
          <cell r="E1380"/>
          <cell r="F1380"/>
          <cell r="G1380"/>
          <cell r="H1380"/>
          <cell r="I1380">
            <v>755.13671875</v>
          </cell>
          <cell r="J1380">
            <v>1354.5264892578123</v>
          </cell>
          <cell r="K1380">
            <v>2221.4234423828116</v>
          </cell>
          <cell r="L1380">
            <v>2276.9590284423821</v>
          </cell>
          <cell r="M1380">
            <v>1333.6474309448238</v>
          </cell>
          <cell r="N1380">
            <v>683.49430835922226</v>
          </cell>
          <cell r="O1380"/>
        </row>
        <row r="1381">
          <cell r="D1381"/>
        </row>
        <row r="1382">
          <cell r="D1382"/>
        </row>
        <row r="1383">
          <cell r="D1383"/>
        </row>
        <row r="1384">
          <cell r="D1384">
            <v>59193.75</v>
          </cell>
          <cell r="H1384"/>
          <cell r="I1384">
            <v>59193.75</v>
          </cell>
          <cell r="J1384"/>
          <cell r="K1384"/>
          <cell r="O1384"/>
        </row>
        <row r="1386">
          <cell r="D1386"/>
        </row>
        <row r="1387">
          <cell r="D1387"/>
        </row>
        <row r="1388">
          <cell r="D1388"/>
        </row>
        <row r="1389">
          <cell r="D1389"/>
        </row>
        <row r="1390">
          <cell r="D1390">
            <v>38898.75</v>
          </cell>
          <cell r="I1390">
            <v>38898.75</v>
          </cell>
          <cell r="J1390"/>
          <cell r="K1390"/>
        </row>
        <row r="1394">
          <cell r="D1394">
            <v>137150.15</v>
          </cell>
          <cell r="H1394"/>
          <cell r="I1394">
            <v>137150.15</v>
          </cell>
          <cell r="J1394"/>
          <cell r="K1394"/>
        </row>
        <row r="1412">
          <cell r="D1412">
            <v>80611.55</v>
          </cell>
          <cell r="I1412">
            <v>13649.35</v>
          </cell>
          <cell r="J1412">
            <v>38773.4</v>
          </cell>
          <cell r="K1412">
            <v>23933.8</v>
          </cell>
          <cell r="L1412">
            <v>4255</v>
          </cell>
        </row>
        <row r="1430">
          <cell r="D1430">
            <v>799347.75</v>
          </cell>
          <cell r="H1430"/>
          <cell r="I1430">
            <v>280939.25</v>
          </cell>
          <cell r="J1430">
            <v>207868.25</v>
          </cell>
          <cell r="K1430">
            <v>177962.5</v>
          </cell>
          <cell r="L1430">
            <v>132577.75</v>
          </cell>
        </row>
        <row r="1447">
          <cell r="D1447">
            <v>154269.04999999999</v>
          </cell>
          <cell r="H1447"/>
          <cell r="I1447">
            <v>18286.150000000001</v>
          </cell>
          <cell r="J1447">
            <v>36572.300000000003</v>
          </cell>
          <cell r="K1447">
            <v>36572.300000000003</v>
          </cell>
          <cell r="L1447">
            <v>36572.300000000003</v>
          </cell>
          <cell r="M1447">
            <v>26266</v>
          </cell>
        </row>
        <row r="1464">
          <cell r="D1464">
            <v>192964.25</v>
          </cell>
          <cell r="H1464"/>
          <cell r="I1464">
            <v>60685.5</v>
          </cell>
          <cell r="J1464">
            <v>63997.5</v>
          </cell>
          <cell r="K1464">
            <v>17963</v>
          </cell>
          <cell r="L1464">
            <v>50318.25</v>
          </cell>
          <cell r="M1464"/>
        </row>
        <row r="1481">
          <cell r="D1481">
            <v>849160</v>
          </cell>
          <cell r="H1481"/>
          <cell r="I1481"/>
          <cell r="J1481">
            <v>222352.5</v>
          </cell>
          <cell r="K1481">
            <v>222352.5</v>
          </cell>
          <cell r="L1481">
            <v>222352.5</v>
          </cell>
          <cell r="M1481">
            <v>182102.5</v>
          </cell>
        </row>
        <row r="1498">
          <cell r="D1498">
            <v>438897.5</v>
          </cell>
          <cell r="H1498"/>
          <cell r="I1498"/>
          <cell r="J1498">
            <v>221605</v>
          </cell>
          <cell r="K1498">
            <v>217292.5</v>
          </cell>
          <cell r="L1498"/>
          <cell r="M1498"/>
        </row>
        <row r="1515">
          <cell r="D1515">
            <v>451720</v>
          </cell>
          <cell r="H1515"/>
          <cell r="I1515"/>
          <cell r="J1515">
            <v>117530</v>
          </cell>
          <cell r="K1515">
            <v>117530</v>
          </cell>
          <cell r="L1515">
            <v>117530</v>
          </cell>
          <cell r="M1515">
            <v>99130</v>
          </cell>
        </row>
        <row r="1532">
          <cell r="D1532">
            <v>61333.333333333343</v>
          </cell>
          <cell r="J1532">
            <v>11500</v>
          </cell>
          <cell r="K1532">
            <v>15333.333333333334</v>
          </cell>
          <cell r="L1532">
            <v>15333.333333333334</v>
          </cell>
          <cell r="M1532">
            <v>15333.333333333334</v>
          </cell>
          <cell r="N1532">
            <v>3833.3333333333335</v>
          </cell>
          <cell r="O1532"/>
        </row>
        <row r="1538">
          <cell r="D1538">
            <v>34500</v>
          </cell>
          <cell r="J1538">
            <v>5750</v>
          </cell>
          <cell r="K1538">
            <v>8625</v>
          </cell>
          <cell r="L1538">
            <v>8625</v>
          </cell>
          <cell r="M1538">
            <v>8625</v>
          </cell>
          <cell r="N1538">
            <v>2875</v>
          </cell>
          <cell r="O1538"/>
        </row>
        <row r="1544">
          <cell r="D1544">
            <v>318420.625</v>
          </cell>
          <cell r="J1544">
            <v>66326.25</v>
          </cell>
          <cell r="K1544">
            <v>79608.75</v>
          </cell>
          <cell r="L1544">
            <v>79608.75</v>
          </cell>
          <cell r="M1544">
            <v>79608.75</v>
          </cell>
          <cell r="N1544">
            <v>13268.125</v>
          </cell>
          <cell r="O1544"/>
        </row>
        <row r="1555">
          <cell r="C1555" t="str">
            <v xml:space="preserve">1.1e. Design and implement a gender-responsive stakeholder engagement strategy for fisheries agencies and communities to identify suitable FAD sites.
</v>
          </cell>
        </row>
        <row r="1556">
          <cell r="D1556">
            <v>218927.22620954967</v>
          </cell>
          <cell r="H1556">
            <v>5514.6246947160907</v>
          </cell>
          <cell r="I1556">
            <v>22609.961248335967</v>
          </cell>
          <cell r="J1556">
            <v>23175.210279544368</v>
          </cell>
          <cell r="K1556">
            <v>35631.885804799458</v>
          </cell>
          <cell r="L1556">
            <v>36522.682949919443</v>
          </cell>
          <cell r="M1556">
            <v>37435.750023667424</v>
          </cell>
          <cell r="N1556">
            <v>38371.643774259108</v>
          </cell>
          <cell r="O1556">
            <v>19665.46743430779</v>
          </cell>
        </row>
        <row r="1565">
          <cell r="D1565">
            <v>144717.71166698655</v>
          </cell>
          <cell r="H1565">
            <v>15436.223917798106</v>
          </cell>
          <cell r="I1565">
            <v>15354.4740542046</v>
          </cell>
          <cell r="J1565">
            <v>15738.335905559712</v>
          </cell>
          <cell r="K1565">
            <v>23301.480660175897</v>
          </cell>
          <cell r="L1565">
            <v>23884.017676680294</v>
          </cell>
          <cell r="M1565">
            <v>24481.118118597304</v>
          </cell>
          <cell r="N1565">
            <v>25093.146071562234</v>
          </cell>
          <cell r="O1565">
            <v>1428.9152624084047</v>
          </cell>
        </row>
        <row r="1573">
          <cell r="D1573">
            <v>169075.92920841189</v>
          </cell>
          <cell r="H1573">
            <v>5607.5337417487262</v>
          </cell>
          <cell r="I1573">
            <v>22990.888341169775</v>
          </cell>
          <cell r="J1573">
            <v>23565.660549699016</v>
          </cell>
          <cell r="K1573">
            <v>36115.57580203723</v>
          </cell>
          <cell r="L1573">
            <v>37018.465197088168</v>
          </cell>
          <cell r="M1573">
            <v>37943.92682701537</v>
          </cell>
          <cell r="N1573">
            <v>5833.8787496536124</v>
          </cell>
          <cell r="O1573"/>
        </row>
        <row r="1579">
          <cell r="D1579">
            <v>131072.78248350541</v>
          </cell>
          <cell r="E1579"/>
          <cell r="F1579"/>
          <cell r="G1579"/>
          <cell r="H1579">
            <v>5083.461238797533</v>
          </cell>
          <cell r="I1579">
            <v>14210.584826638558</v>
          </cell>
          <cell r="J1579">
            <v>28979.46869006359</v>
          </cell>
          <cell r="K1579">
            <v>54743.317506119478</v>
          </cell>
          <cell r="L1579">
            <v>28055.950221886236</v>
          </cell>
          <cell r="M1579"/>
          <cell r="N1579"/>
          <cell r="O1579"/>
        </row>
        <row r="1580">
          <cell r="D1580"/>
        </row>
        <row r="1581">
          <cell r="D1581"/>
        </row>
        <row r="1582">
          <cell r="D1582"/>
        </row>
        <row r="1583">
          <cell r="D1583"/>
        </row>
        <row r="1584">
          <cell r="D1584"/>
        </row>
        <row r="1586">
          <cell r="D1586">
            <v>158216.09979350097</v>
          </cell>
          <cell r="I1586">
            <v>17829.587768362064</v>
          </cell>
          <cell r="J1586">
            <v>36500.79380014223</v>
          </cell>
          <cell r="K1586">
            <v>68684.772380163093</v>
          </cell>
          <cell r="L1586">
            <v>35200.945844833572</v>
          </cell>
          <cell r="O1586"/>
        </row>
        <row r="1592">
          <cell r="D1592">
            <v>19027.75899086658</v>
          </cell>
          <cell r="H1592"/>
          <cell r="I1592"/>
          <cell r="J1592"/>
          <cell r="K1592">
            <v>19027.75899086658</v>
          </cell>
          <cell r="L1592"/>
          <cell r="M1592"/>
          <cell r="N1592"/>
          <cell r="O1592"/>
        </row>
        <row r="1598">
          <cell r="D1598">
            <v>19503.45296563824</v>
          </cell>
          <cell r="H1598"/>
          <cell r="I1598"/>
          <cell r="J1598"/>
          <cell r="L1598">
            <v>19503.45296563824</v>
          </cell>
          <cell r="M1598"/>
          <cell r="N1598"/>
          <cell r="O1598"/>
        </row>
        <row r="1604">
          <cell r="D1604">
            <v>19991.039289779197</v>
          </cell>
          <cell r="H1604"/>
          <cell r="I1604"/>
          <cell r="J1604"/>
          <cell r="K1604"/>
          <cell r="L1604"/>
          <cell r="M1604">
            <v>19991.039289779197</v>
          </cell>
          <cell r="N1604"/>
          <cell r="O1604"/>
        </row>
        <row r="1610">
          <cell r="D1610">
            <v>22170.018543755272</v>
          </cell>
          <cell r="H1610"/>
          <cell r="I1610"/>
          <cell r="J1610"/>
          <cell r="K1610"/>
          <cell r="L1610">
            <v>22170.018543755272</v>
          </cell>
          <cell r="M1610"/>
          <cell r="N1610"/>
          <cell r="O1610"/>
        </row>
        <row r="1616">
          <cell r="D1616">
            <v>22495.337358908746</v>
          </cell>
          <cell r="H1616"/>
          <cell r="I1616"/>
          <cell r="J1616">
            <v>22495.337358908746</v>
          </cell>
          <cell r="K1616"/>
          <cell r="L1616"/>
          <cell r="M1616"/>
          <cell r="N1616"/>
          <cell r="O1616"/>
        </row>
        <row r="1622">
          <cell r="D1622">
            <v>22842.817807360723</v>
          </cell>
          <cell r="H1622">
            <v>2638.154976902918</v>
          </cell>
          <cell r="I1622">
            <v>2704.1088513254913</v>
          </cell>
          <cell r="J1622">
            <v>2771.7115726086281</v>
          </cell>
          <cell r="K1622">
            <v>3546.9685695700873</v>
          </cell>
          <cell r="L1622">
            <v>3635.6427838093391</v>
          </cell>
          <cell r="M1622">
            <v>3726.5338534045723</v>
          </cell>
          <cell r="N1622">
            <v>3819.6971997396859</v>
          </cell>
          <cell r="O1622"/>
        </row>
        <row r="1628">
          <cell r="D1628">
            <v>13433.728221006702</v>
          </cell>
          <cell r="H1628">
            <v>660.98513963963887</v>
          </cell>
          <cell r="I1628">
            <v>1353.2060621293153</v>
          </cell>
          <cell r="J1628">
            <v>1387.0362136825481</v>
          </cell>
          <cell r="K1628">
            <v>2132.568178536917</v>
          </cell>
          <cell r="L1628">
            <v>2185.8823830003403</v>
          </cell>
          <cell r="M1628">
            <v>2240.5294425753486</v>
          </cell>
          <cell r="N1628">
            <v>2296.542678639732</v>
          </cell>
          <cell r="O1628">
            <v>1176.9781228028628</v>
          </cell>
        </row>
        <row r="1634">
          <cell r="D1634">
            <v>42619.313474889357</v>
          </cell>
          <cell r="H1634">
            <v>2656.211788126393</v>
          </cell>
          <cell r="I1634">
            <v>4570.8374156591053</v>
          </cell>
          <cell r="J1634">
            <v>4685.1083510505832</v>
          </cell>
          <cell r="K1634">
            <v>7203.35408974027</v>
          </cell>
          <cell r="L1634">
            <v>7383.4379419837769</v>
          </cell>
          <cell r="M1634">
            <v>7568.0238905333708</v>
          </cell>
          <cell r="N1634">
            <v>7757.2244877967032</v>
          </cell>
          <cell r="O1634">
            <v>795.11550999916187</v>
          </cell>
        </row>
        <row r="1640">
          <cell r="D1640">
            <v>211997.45016369366</v>
          </cell>
          <cell r="H1640">
            <v>12016.143732318698</v>
          </cell>
          <cell r="I1640">
            <v>24633.094651253326</v>
          </cell>
          <cell r="J1640">
            <v>25248.922017534656</v>
          </cell>
          <cell r="K1640">
            <v>38652.579388287239</v>
          </cell>
          <cell r="L1640">
            <v>39618.893872994413</v>
          </cell>
          <cell r="M1640">
            <v>40609.366219819276</v>
          </cell>
          <cell r="N1640">
            <v>31218.450281486061</v>
          </cell>
          <cell r="O1640"/>
        </row>
        <row r="1646">
          <cell r="D1646">
            <v>38953.624562077224</v>
          </cell>
          <cell r="H1646">
            <v>981.21473367189651</v>
          </cell>
          <cell r="I1646">
            <v>4022.9804080547756</v>
          </cell>
          <cell r="J1646">
            <v>4123.5549182561444</v>
          </cell>
          <cell r="K1646">
            <v>6339.9656868188222</v>
          </cell>
          <cell r="L1646">
            <v>6498.4648289892921</v>
          </cell>
          <cell r="M1646">
            <v>6660.9264497140239</v>
          </cell>
          <cell r="N1646">
            <v>6827.4496109568736</v>
          </cell>
          <cell r="O1646">
            <v>3499.0679256153981</v>
          </cell>
        </row>
        <row r="1652">
          <cell r="D1652">
            <v>145699.58512370964</v>
          </cell>
          <cell r="H1652">
            <v>4236.2176989979444</v>
          </cell>
          <cell r="I1652">
            <v>17368.492565891571</v>
          </cell>
          <cell r="J1652">
            <v>17802.704880038858</v>
          </cell>
          <cell r="K1652">
            <v>27371.658753059739</v>
          </cell>
          <cell r="L1652">
            <v>28055.950221886236</v>
          </cell>
          <cell r="M1652">
            <v>28757.34897743339</v>
          </cell>
          <cell r="N1652">
            <v>22107.212026401918</v>
          </cell>
          <cell r="O1652"/>
        </row>
        <row r="1658">
          <cell r="D1658">
            <v>239361.52743520975</v>
          </cell>
          <cell r="I1658">
            <v>31351.211374322422</v>
          </cell>
          <cell r="J1658">
            <v>32134.991658680479</v>
          </cell>
          <cell r="K1658">
            <v>45290.253868952794</v>
          </cell>
          <cell r="L1658">
            <v>46422.510215676615</v>
          </cell>
          <cell r="M1658">
            <v>47583.072971068526</v>
          </cell>
          <cell r="N1658">
            <v>36579.487346508926</v>
          </cell>
          <cell r="O1658"/>
        </row>
        <row r="1664">
          <cell r="D1664">
            <v>12336.887489916997</v>
          </cell>
          <cell r="H1664">
            <v>606.24437139265478</v>
          </cell>
          <cell r="I1664">
            <v>1242.8009613549425</v>
          </cell>
          <cell r="J1664">
            <v>1273.8709853888158</v>
          </cell>
          <cell r="K1664">
            <v>1958.5766400353036</v>
          </cell>
          <cell r="L1664">
            <v>2007.5410560361861</v>
          </cell>
          <cell r="M1664">
            <v>2057.7295824370908</v>
          </cell>
          <cell r="N1664">
            <v>2109.1728219980178</v>
          </cell>
          <cell r="O1664">
            <v>1080.9510712739841</v>
          </cell>
        </row>
        <row r="1671">
          <cell r="D1671">
            <v>6966.9306101888023</v>
          </cell>
          <cell r="H1671">
            <v>530.27777777777771</v>
          </cell>
          <cell r="I1671">
            <v>2174.1388888888891</v>
          </cell>
          <cell r="J1671">
            <v>1671.3692708333333</v>
          </cell>
          <cell r="K1671">
            <v>1713.1535026041665</v>
          </cell>
          <cell r="L1671">
            <v>877.9911700846352</v>
          </cell>
        </row>
        <row r="1676">
          <cell r="D1676">
            <v>8393.8923014322918</v>
          </cell>
          <cell r="H1676">
            <v>638.88888888888891</v>
          </cell>
          <cell r="I1676">
            <v>2619.4444444444443</v>
          </cell>
          <cell r="J1676">
            <v>2013.6979166666667</v>
          </cell>
          <cell r="K1676">
            <v>2064.040364583333</v>
          </cell>
          <cell r="L1676">
            <v>1057.8206868489581</v>
          </cell>
        </row>
        <row r="1681">
          <cell r="D1681">
            <v>9233.2815315755197</v>
          </cell>
          <cell r="H1681">
            <v>702.77777777777771</v>
          </cell>
          <cell r="I1681">
            <v>2881.3888888888887</v>
          </cell>
          <cell r="J1681">
            <v>2215.067708333333</v>
          </cell>
          <cell r="K1681">
            <v>2270.4444010416664</v>
          </cell>
          <cell r="L1681">
            <v>1163.6027555338537</v>
          </cell>
        </row>
        <row r="1686">
          <cell r="D1686">
            <v>8785.3623372395832</v>
          </cell>
          <cell r="H1686">
            <v>702.77777777777771</v>
          </cell>
          <cell r="I1686">
            <v>2881.3888888888887</v>
          </cell>
          <cell r="J1686">
            <v>2215.067708333333</v>
          </cell>
          <cell r="K1686">
            <v>1974.2994791666663</v>
          </cell>
          <cell r="L1686">
            <v>1011.8284830729164</v>
          </cell>
        </row>
        <row r="1691">
          <cell r="D1691">
            <v>9233.2815315755197</v>
          </cell>
          <cell r="H1691">
            <v>702.77777777777771</v>
          </cell>
          <cell r="I1691">
            <v>2881.3888888888887</v>
          </cell>
          <cell r="J1691">
            <v>2215.067708333333</v>
          </cell>
          <cell r="K1691">
            <v>2270.4444010416664</v>
          </cell>
          <cell r="L1691">
            <v>1163.6027555338537</v>
          </cell>
        </row>
        <row r="1696">
          <cell r="D1696">
            <v>5707.8467649739578</v>
          </cell>
          <cell r="H1696">
            <v>434.44444444444446</v>
          </cell>
          <cell r="I1696">
            <v>1781.2222222222219</v>
          </cell>
          <cell r="J1696">
            <v>1369.3145833333331</v>
          </cell>
          <cell r="K1696">
            <v>1403.5474479166664</v>
          </cell>
          <cell r="L1696">
            <v>719.3180670572915</v>
          </cell>
        </row>
        <row r="1701">
          <cell r="D1701">
            <v>6379.3581490885408</v>
          </cell>
          <cell r="H1701">
            <v>485.55555555555554</v>
          </cell>
          <cell r="I1701">
            <v>1990.7777777777774</v>
          </cell>
          <cell r="J1701">
            <v>1530.4104166666666</v>
          </cell>
          <cell r="K1701">
            <v>1568.670677083333</v>
          </cell>
          <cell r="L1701">
            <v>803.94372200520809</v>
          </cell>
        </row>
        <row r="1706">
          <cell r="D1706">
            <v>22663.509213867183</v>
          </cell>
          <cell r="H1706">
            <v>1725</v>
          </cell>
          <cell r="I1706">
            <v>7072.4999999999991</v>
          </cell>
          <cell r="J1706">
            <v>5436.9843749999991</v>
          </cell>
          <cell r="K1706">
            <v>5572.9089843749989</v>
          </cell>
          <cell r="L1706">
            <v>2856.1158544921868</v>
          </cell>
        </row>
        <row r="1711">
          <cell r="D1711">
            <v>11247.815683919269</v>
          </cell>
          <cell r="H1711">
            <v>856.11111111111109</v>
          </cell>
          <cell r="I1711">
            <v>3510.0555555555547</v>
          </cell>
          <cell r="J1711">
            <v>2698.3552083333329</v>
          </cell>
          <cell r="K1711">
            <v>2765.8140885416665</v>
          </cell>
          <cell r="L1711">
            <v>1417.4797203776038</v>
          </cell>
        </row>
        <row r="1716">
          <cell r="D1716">
            <v>5477.0147266845697</v>
          </cell>
          <cell r="H1716">
            <v>416.875</v>
          </cell>
          <cell r="I1716">
            <v>1709.1874999999998</v>
          </cell>
          <cell r="J1716">
            <v>1313.9378906249997</v>
          </cell>
          <cell r="K1716">
            <v>1346.786337890625</v>
          </cell>
          <cell r="L1716">
            <v>690.22799816894508</v>
          </cell>
        </row>
        <row r="1721">
          <cell r="D1721">
            <v>2518.1676904296874</v>
          </cell>
          <cell r="H1721">
            <v>191.66666666666666</v>
          </cell>
          <cell r="I1721">
            <v>785.83333333333326</v>
          </cell>
          <cell r="J1721">
            <v>604.10937499999989</v>
          </cell>
          <cell r="K1721">
            <v>619.21210937499984</v>
          </cell>
          <cell r="L1721">
            <v>317.3462060546874</v>
          </cell>
        </row>
        <row r="1726">
          <cell r="D1726">
            <v>3273.6179975585933</v>
          </cell>
          <cell r="H1726">
            <v>249.16666666666666</v>
          </cell>
          <cell r="I1726">
            <v>1021.5833333333333</v>
          </cell>
          <cell r="J1726">
            <v>785.34218750000002</v>
          </cell>
          <cell r="K1726">
            <v>804.97574218749992</v>
          </cell>
          <cell r="L1726">
            <v>412.55006787109369</v>
          </cell>
        </row>
        <row r="1731">
          <cell r="D1731">
            <v>9149.3426085611973</v>
          </cell>
          <cell r="H1731">
            <v>696.38888888888891</v>
          </cell>
          <cell r="I1731">
            <v>2855.1944444444439</v>
          </cell>
          <cell r="J1731">
            <v>2194.9307291666669</v>
          </cell>
          <cell r="K1731">
            <v>2249.803997395833</v>
          </cell>
          <cell r="L1731">
            <v>1153.0245486653644</v>
          </cell>
        </row>
        <row r="1736">
          <cell r="D1736">
            <v>6484.2818028564443</v>
          </cell>
          <cell r="H1736">
            <v>493.54166666666669</v>
          </cell>
          <cell r="I1736">
            <v>2023.520833333333</v>
          </cell>
          <cell r="J1736">
            <v>1555.5816406249996</v>
          </cell>
          <cell r="K1736">
            <v>1594.4711816406248</v>
          </cell>
          <cell r="L1736">
            <v>817.16648059082024</v>
          </cell>
        </row>
        <row r="1741">
          <cell r="D1741">
            <v>314392.64320312499</v>
          </cell>
          <cell r="J1741">
            <v>30000</v>
          </cell>
          <cell r="K1741">
            <v>67107.478124999994</v>
          </cell>
          <cell r="L1741">
            <v>97285.165078124992</v>
          </cell>
          <cell r="M1741">
            <v>90000</v>
          </cell>
          <cell r="N1741">
            <v>30000</v>
          </cell>
        </row>
        <row r="1750">
          <cell r="D1750">
            <v>15264.378135416666</v>
          </cell>
          <cell r="J1750">
            <v>4963.0166666666664</v>
          </cell>
          <cell r="K1750">
            <v>5087.092083333333</v>
          </cell>
          <cell r="L1750">
            <v>5214.2693854166664</v>
          </cell>
          <cell r="O1750"/>
        </row>
        <row r="1767">
          <cell r="D1767">
            <v>33141.397187499999</v>
          </cell>
          <cell r="J1767">
            <v>10775.5</v>
          </cell>
          <cell r="K1767">
            <v>11044.887500000001</v>
          </cell>
          <cell r="L1767">
            <v>11321.009687499998</v>
          </cell>
          <cell r="O1767"/>
        </row>
        <row r="1785">
          <cell r="D1785">
            <v>3983.1388020833333</v>
          </cell>
          <cell r="J1785">
            <v>1767.9333333333334</v>
          </cell>
          <cell r="K1785">
            <v>1503.165</v>
          </cell>
          <cell r="L1785">
            <v>712.04046874999995</v>
          </cell>
          <cell r="O1785"/>
        </row>
        <row r="1795">
          <cell r="D1795">
            <v>12389.49984375</v>
          </cell>
          <cell r="J1795">
            <v>4542.5</v>
          </cell>
          <cell r="K1795">
            <v>3830.65</v>
          </cell>
          <cell r="L1795">
            <v>4016.3498437499993</v>
          </cell>
          <cell r="O1795"/>
        </row>
        <row r="1806">
          <cell r="D1806">
            <v>791.2</v>
          </cell>
          <cell r="J1806">
            <v>638.25</v>
          </cell>
          <cell r="K1806">
            <v>152.94999999999999</v>
          </cell>
          <cell r="L1806">
            <v>0</v>
          </cell>
          <cell r="O1806"/>
        </row>
        <row r="1813">
          <cell r="D1813">
            <v>4028.45</v>
          </cell>
          <cell r="J1813">
            <v>3415.5</v>
          </cell>
          <cell r="K1813">
            <v>612.95000000000005</v>
          </cell>
          <cell r="L1813">
            <v>0</v>
          </cell>
          <cell r="O1813"/>
        </row>
        <row r="1821">
          <cell r="D1821">
            <v>12303.045</v>
          </cell>
          <cell r="I1821">
            <v>1809.09375</v>
          </cell>
          <cell r="J1821">
            <v>1809.3812499999999</v>
          </cell>
          <cell r="K1821">
            <v>2894.5500000000006</v>
          </cell>
          <cell r="L1821">
            <v>2895.24</v>
          </cell>
          <cell r="M1821">
            <v>2894.78</v>
          </cell>
          <cell r="O1821"/>
        </row>
        <row r="1838">
          <cell r="D1838">
            <v>20125</v>
          </cell>
          <cell r="E1838"/>
          <cell r="F1838"/>
          <cell r="G1838"/>
          <cell r="H1838">
            <v>20125</v>
          </cell>
          <cell r="I1838"/>
          <cell r="J1838"/>
          <cell r="K1838"/>
          <cell r="L1838"/>
        </row>
        <row r="1839">
          <cell r="D1839"/>
        </row>
        <row r="1840">
          <cell r="D1840"/>
        </row>
        <row r="1841">
          <cell r="D1841"/>
        </row>
        <row r="1842">
          <cell r="D1842"/>
        </row>
        <row r="1843">
          <cell r="D1843"/>
        </row>
        <row r="1844">
          <cell r="D1844">
            <v>5031.25</v>
          </cell>
          <cell r="E1844"/>
          <cell r="F1844"/>
          <cell r="G1844"/>
          <cell r="H1844">
            <v>5031.25</v>
          </cell>
          <cell r="I1844"/>
          <cell r="J1844"/>
          <cell r="K1844"/>
          <cell r="L1844"/>
        </row>
        <row r="1845">
          <cell r="D1845"/>
        </row>
        <row r="1846">
          <cell r="D1846"/>
        </row>
        <row r="1847">
          <cell r="D1847"/>
        </row>
        <row r="1848">
          <cell r="D1848"/>
        </row>
        <row r="1849">
          <cell r="D1849">
            <v>14705.55107519531</v>
          </cell>
          <cell r="E1849"/>
          <cell r="F1849"/>
          <cell r="G1849"/>
          <cell r="H1849">
            <v>656.25</v>
          </cell>
          <cell r="I1849">
            <v>2017.96875</v>
          </cell>
          <cell r="J1849">
            <v>2757.890625</v>
          </cell>
          <cell r="K1849">
            <v>2261.4703124999996</v>
          </cell>
          <cell r="L1849">
            <v>4636.0141406249995</v>
          </cell>
          <cell r="M1849">
            <v>2375.9572470703115</v>
          </cell>
        </row>
        <row r="1850">
          <cell r="D1850"/>
        </row>
        <row r="1851">
          <cell r="D1851"/>
        </row>
        <row r="1852">
          <cell r="D1852"/>
        </row>
        <row r="1853">
          <cell r="D1853"/>
        </row>
        <row r="1854">
          <cell r="D1854"/>
        </row>
        <row r="1855">
          <cell r="D1855"/>
        </row>
        <row r="1856">
          <cell r="D1856">
            <v>36772.080812988272</v>
          </cell>
          <cell r="E1856"/>
          <cell r="F1856"/>
          <cell r="G1856"/>
          <cell r="H1856">
            <v>1312.5</v>
          </cell>
          <cell r="I1856">
            <v>5381.25</v>
          </cell>
          <cell r="J1856">
            <v>6894.7265625</v>
          </cell>
          <cell r="K1856">
            <v>5653.6757812499991</v>
          </cell>
          <cell r="L1856">
            <v>11590.035351562497</v>
          </cell>
          <cell r="M1856">
            <v>5939.8931176757787</v>
          </cell>
        </row>
        <row r="1857">
          <cell r="D1857"/>
        </row>
        <row r="1858">
          <cell r="D1858"/>
        </row>
        <row r="1859">
          <cell r="D1859"/>
        </row>
        <row r="1860">
          <cell r="D1860"/>
        </row>
        <row r="1861">
          <cell r="D1861"/>
        </row>
        <row r="1862">
          <cell r="D1862">
            <v>24164.510248535153</v>
          </cell>
          <cell r="E1862"/>
          <cell r="F1862"/>
          <cell r="G1862"/>
          <cell r="H1862">
            <v>862.5</v>
          </cell>
          <cell r="I1862">
            <v>3536.25</v>
          </cell>
          <cell r="J1862">
            <v>4530.8203125</v>
          </cell>
          <cell r="K1862">
            <v>3715.2726562499988</v>
          </cell>
          <cell r="L1862">
            <v>7616.3089453124985</v>
          </cell>
          <cell r="M1862">
            <v>3903.3583344726544</v>
          </cell>
        </row>
        <row r="1863">
          <cell r="D1863"/>
        </row>
        <row r="1864">
          <cell r="D1864"/>
        </row>
        <row r="1865">
          <cell r="D1865"/>
        </row>
        <row r="1866">
          <cell r="D1866"/>
        </row>
        <row r="1867">
          <cell r="D1867">
            <v>18168.30001927551</v>
          </cell>
          <cell r="E1867"/>
          <cell r="F1867"/>
          <cell r="G1867"/>
          <cell r="H1867"/>
          <cell r="J1867">
            <v>1413.4189453124998</v>
          </cell>
          <cell r="K1867">
            <v>4636.0141406249995</v>
          </cell>
          <cell r="L1867">
            <v>4751.914494140623</v>
          </cell>
          <cell r="M1867">
            <v>4870.7123564941394</v>
          </cell>
          <cell r="N1867">
            <v>2496.2400827032461</v>
          </cell>
        </row>
        <row r="1868">
          <cell r="D1868"/>
        </row>
        <row r="1869">
          <cell r="D1869"/>
        </row>
        <row r="1870">
          <cell r="D1870"/>
        </row>
        <row r="1871">
          <cell r="D1871"/>
        </row>
        <row r="1872">
          <cell r="D1872"/>
        </row>
        <row r="1873">
          <cell r="D1873">
            <v>11939.168584095332</v>
          </cell>
          <cell r="E1873"/>
          <cell r="F1873"/>
          <cell r="G1873"/>
          <cell r="H1873"/>
          <cell r="J1873">
            <v>928.8181640624997</v>
          </cell>
          <cell r="K1873">
            <v>3046.5235781249994</v>
          </cell>
          <cell r="L1873">
            <v>3122.6866675781234</v>
          </cell>
          <cell r="M1873">
            <v>3200.7538342675771</v>
          </cell>
          <cell r="N1873">
            <v>1640.3863400621333</v>
          </cell>
        </row>
        <row r="1874">
          <cell r="D1874"/>
        </row>
        <row r="1875">
          <cell r="D1875"/>
        </row>
        <row r="1876">
          <cell r="D1876"/>
        </row>
        <row r="1877">
          <cell r="D1877"/>
        </row>
        <row r="1878">
          <cell r="D1878">
            <v>260776.42155905816</v>
          </cell>
          <cell r="E1878"/>
          <cell r="F1878"/>
          <cell r="G1878"/>
          <cell r="H1878"/>
          <cell r="I1878">
            <v>28957.8515625</v>
          </cell>
          <cell r="J1878">
            <v>29681.797851562496</v>
          </cell>
          <cell r="K1878">
            <v>48678.148476562499</v>
          </cell>
          <cell r="L1878">
            <v>49895.102188476543</v>
          </cell>
          <cell r="M1878">
            <v>51142.479743188458</v>
          </cell>
          <cell r="N1878">
            <v>52421.041736768173</v>
          </cell>
        </row>
        <row r="1879">
          <cell r="D1879"/>
        </row>
        <row r="1880">
          <cell r="D1880"/>
        </row>
        <row r="1881">
          <cell r="D1881"/>
        </row>
        <row r="1882">
          <cell r="D1882"/>
        </row>
        <row r="1883">
          <cell r="D1883"/>
        </row>
        <row r="1884">
          <cell r="D1884">
            <v>71403.06780783736</v>
          </cell>
          <cell r="E1884"/>
          <cell r="F1884"/>
          <cell r="G1884"/>
          <cell r="H1884"/>
          <cell r="I1884">
            <v>7928.935546875</v>
          </cell>
          <cell r="J1884">
            <v>8127.1589355468741</v>
          </cell>
          <cell r="K1884">
            <v>13328.54065429687</v>
          </cell>
          <cell r="L1884">
            <v>13661.754170654291</v>
          </cell>
          <cell r="M1884">
            <v>14003.298024920648</v>
          </cell>
          <cell r="N1884">
            <v>14353.380475543667</v>
          </cell>
        </row>
        <row r="1885">
          <cell r="D1885"/>
        </row>
        <row r="1886">
          <cell r="D1886"/>
        </row>
        <row r="1887">
          <cell r="D1887"/>
        </row>
        <row r="1888">
          <cell r="D1888">
            <v>31500.684483630976</v>
          </cell>
          <cell r="E1888"/>
          <cell r="F1888"/>
          <cell r="G1888"/>
          <cell r="H1888"/>
          <cell r="I1888">
            <v>2757.890625</v>
          </cell>
          <cell r="J1888">
            <v>4946.9663085937491</v>
          </cell>
          <cell r="K1888">
            <v>8113.0247460937489</v>
          </cell>
          <cell r="L1888">
            <v>8315.8503647460911</v>
          </cell>
          <cell r="M1888">
            <v>4870.7123564941394</v>
          </cell>
          <cell r="N1888">
            <v>2496.2400827032461</v>
          </cell>
        </row>
        <row r="1889">
          <cell r="D1889"/>
        </row>
        <row r="1890">
          <cell r="D1890"/>
        </row>
        <row r="1891">
          <cell r="D1891"/>
        </row>
        <row r="1892">
          <cell r="D1892"/>
        </row>
        <row r="1893">
          <cell r="D1893"/>
        </row>
        <row r="1894">
          <cell r="D1894">
            <v>8625.1874181370513</v>
          </cell>
          <cell r="E1894"/>
          <cell r="F1894"/>
          <cell r="G1894"/>
          <cell r="H1894"/>
          <cell r="I1894">
            <v>755.13671875</v>
          </cell>
          <cell r="J1894">
            <v>1354.5264892578123</v>
          </cell>
          <cell r="K1894">
            <v>2221.4234423828116</v>
          </cell>
          <cell r="L1894">
            <v>2276.9590284423821</v>
          </cell>
          <cell r="M1894">
            <v>1333.6474309448238</v>
          </cell>
          <cell r="N1894">
            <v>683.49430835922226</v>
          </cell>
          <cell r="O1894" t="str">
            <v>divide 5</v>
          </cell>
        </row>
        <row r="1895">
          <cell r="D1895"/>
        </row>
        <row r="1896">
          <cell r="D1896"/>
        </row>
        <row r="1897">
          <cell r="D1897"/>
        </row>
        <row r="1903">
          <cell r="C1903" t="str">
            <v>1.1f. Procure materials to maintain the national FAD programme.</v>
          </cell>
        </row>
        <row r="1904">
          <cell r="D1904">
            <v>223816.05298129914</v>
          </cell>
          <cell r="H1904">
            <v>5514.6246947160907</v>
          </cell>
          <cell r="I1904">
            <v>25024.196691175232</v>
          </cell>
          <cell r="J1904">
            <v>25649.801608454614</v>
          </cell>
          <cell r="K1904">
            <v>35631.885804799458</v>
          </cell>
          <cell r="L1904">
            <v>36522.682949919443</v>
          </cell>
          <cell r="M1904">
            <v>37435.750023667424</v>
          </cell>
          <cell r="N1904">
            <v>38371.643774259108</v>
          </cell>
          <cell r="O1904">
            <v>19665.46743430779</v>
          </cell>
        </row>
        <row r="1910">
          <cell r="D1910">
            <v>144717.71166698655</v>
          </cell>
          <cell r="H1910">
            <v>15436.223917798106</v>
          </cell>
          <cell r="I1910">
            <v>15354.4740542046</v>
          </cell>
          <cell r="J1910">
            <v>15738.335905559712</v>
          </cell>
          <cell r="K1910">
            <v>23301.480660175897</v>
          </cell>
          <cell r="L1910">
            <v>23884.017676680294</v>
          </cell>
          <cell r="M1910">
            <v>24481.118118597304</v>
          </cell>
          <cell r="N1910">
            <v>25093.146071562234</v>
          </cell>
          <cell r="O1910">
            <v>1428.9152624084047</v>
          </cell>
        </row>
        <row r="1916">
          <cell r="D1916">
            <v>169075.92920841189</v>
          </cell>
          <cell r="H1916">
            <v>5607.5337417487262</v>
          </cell>
          <cell r="I1916">
            <v>22990.888341169775</v>
          </cell>
          <cell r="J1916">
            <v>23565.660549699016</v>
          </cell>
          <cell r="K1916">
            <v>36115.57580203723</v>
          </cell>
          <cell r="L1916">
            <v>37018.465197088168</v>
          </cell>
          <cell r="M1916">
            <v>37943.92682701537</v>
          </cell>
          <cell r="N1916">
            <v>5833.8787496536124</v>
          </cell>
          <cell r="O1916"/>
        </row>
        <row r="1922">
          <cell r="D1922">
            <v>131072.78248350541</v>
          </cell>
          <cell r="E1922"/>
          <cell r="F1922"/>
          <cell r="G1922"/>
          <cell r="H1922">
            <v>5083.461238797533</v>
          </cell>
          <cell r="I1922">
            <v>14210.584826638558</v>
          </cell>
          <cell r="J1922">
            <v>28979.46869006359</v>
          </cell>
          <cell r="K1922">
            <v>54743.317506119478</v>
          </cell>
          <cell r="L1922">
            <v>28055.950221886236</v>
          </cell>
          <cell r="M1922"/>
          <cell r="N1922"/>
          <cell r="O1922"/>
        </row>
        <row r="1923">
          <cell r="D1923"/>
        </row>
        <row r="1924">
          <cell r="D1924"/>
        </row>
        <row r="1925">
          <cell r="D1925"/>
        </row>
        <row r="1926">
          <cell r="D1926"/>
        </row>
        <row r="1927">
          <cell r="D1927"/>
        </row>
        <row r="1928">
          <cell r="D1928">
            <v>158216.09979350097</v>
          </cell>
          <cell r="I1928">
            <v>17829.587768362064</v>
          </cell>
          <cell r="J1928">
            <v>36500.79380014223</v>
          </cell>
          <cell r="K1928">
            <v>68684.772380163093</v>
          </cell>
          <cell r="L1928">
            <v>35200.945844833572</v>
          </cell>
          <cell r="O1928"/>
        </row>
        <row r="1934">
          <cell r="D1934">
            <v>19027.75899086658</v>
          </cell>
          <cell r="H1934"/>
          <cell r="I1934"/>
          <cell r="J1934"/>
          <cell r="K1934">
            <v>19027.75899086658</v>
          </cell>
          <cell r="L1934"/>
          <cell r="M1934"/>
        </row>
        <row r="1940">
          <cell r="D1940">
            <v>19503.45296563824</v>
          </cell>
          <cell r="H1940"/>
          <cell r="I1940"/>
          <cell r="J1940"/>
          <cell r="L1940">
            <v>19503.45296563824</v>
          </cell>
          <cell r="M1940"/>
        </row>
        <row r="1946">
          <cell r="D1946">
            <v>19991.039289779197</v>
          </cell>
          <cell r="H1946"/>
          <cell r="I1946"/>
          <cell r="J1946"/>
          <cell r="K1946"/>
          <cell r="L1946"/>
          <cell r="M1946">
            <v>19991.039289779197</v>
          </cell>
        </row>
        <row r="1952">
          <cell r="D1952">
            <v>22170.018543755272</v>
          </cell>
          <cell r="H1952"/>
          <cell r="I1952"/>
          <cell r="J1952"/>
          <cell r="K1952"/>
          <cell r="L1952">
            <v>22170.018543755272</v>
          </cell>
          <cell r="M1952"/>
        </row>
        <row r="1958">
          <cell r="D1958">
            <v>22495.337358908746</v>
          </cell>
          <cell r="H1958"/>
          <cell r="I1958"/>
          <cell r="J1958">
            <v>22495.337358908746</v>
          </cell>
          <cell r="K1958"/>
          <cell r="L1958"/>
          <cell r="M1958"/>
        </row>
        <row r="1964">
          <cell r="D1964">
            <v>99405.33797715632</v>
          </cell>
          <cell r="H1964">
            <v>5948.8662567567499</v>
          </cell>
          <cell r="I1964">
            <v>12178.854559163839</v>
          </cell>
          <cell r="J1964">
            <v>12483.325923142933</v>
          </cell>
          <cell r="K1964">
            <v>14623.324652824576</v>
          </cell>
          <cell r="L1964">
            <v>14988.907769145189</v>
          </cell>
          <cell r="M1964">
            <v>15363.630463373816</v>
          </cell>
          <cell r="N1964">
            <v>15747.721224958161</v>
          </cell>
          <cell r="O1964">
            <v>8070.7071277910563</v>
          </cell>
        </row>
        <row r="1970">
          <cell r="D1970">
            <v>13433.728221006702</v>
          </cell>
          <cell r="H1970">
            <v>660.98513963963887</v>
          </cell>
          <cell r="I1970">
            <v>1353.2060621293153</v>
          </cell>
          <cell r="J1970">
            <v>1387.0362136825481</v>
          </cell>
          <cell r="K1970">
            <v>2132.568178536917</v>
          </cell>
          <cell r="L1970">
            <v>2185.8823830003403</v>
          </cell>
          <cell r="M1970">
            <v>2240.5294425753486</v>
          </cell>
          <cell r="N1970">
            <v>2296.542678639732</v>
          </cell>
          <cell r="O1970">
            <v>1176.9781228028628</v>
          </cell>
        </row>
        <row r="1977">
          <cell r="D1977">
            <v>42619.313474889357</v>
          </cell>
          <cell r="H1977">
            <v>2656.211788126393</v>
          </cell>
          <cell r="I1977">
            <v>4570.8374156591053</v>
          </cell>
          <cell r="J1977">
            <v>4685.1083510505832</v>
          </cell>
          <cell r="K1977">
            <v>7203.35408974027</v>
          </cell>
          <cell r="L1977">
            <v>7383.4379419837769</v>
          </cell>
          <cell r="M1977">
            <v>7568.0238905333708</v>
          </cell>
          <cell r="N1977">
            <v>7757.2244877967032</v>
          </cell>
          <cell r="O1977">
            <v>795.11550999916187</v>
          </cell>
        </row>
        <row r="1983">
          <cell r="D1983">
            <v>38953.624562077224</v>
          </cell>
          <cell r="H1983">
            <v>981.21473367189651</v>
          </cell>
          <cell r="I1983">
            <v>4022.9804080547756</v>
          </cell>
          <cell r="J1983">
            <v>4123.5549182561444</v>
          </cell>
          <cell r="K1983">
            <v>6339.9656868188222</v>
          </cell>
          <cell r="L1983">
            <v>6498.4648289892921</v>
          </cell>
          <cell r="M1983">
            <v>6660.9264497140239</v>
          </cell>
          <cell r="N1983">
            <v>6827.4496109568736</v>
          </cell>
          <cell r="O1983">
            <v>3499.0679256153981</v>
          </cell>
        </row>
        <row r="1989">
          <cell r="D1989">
            <v>145699.58512370964</v>
          </cell>
          <cell r="H1989">
            <v>4236.2176989979444</v>
          </cell>
          <cell r="I1989">
            <v>17368.492565891571</v>
          </cell>
          <cell r="J1989">
            <v>17802.704880038858</v>
          </cell>
          <cell r="K1989">
            <v>27371.658753059739</v>
          </cell>
          <cell r="L1989">
            <v>28055.950221886236</v>
          </cell>
          <cell r="M1989">
            <v>28757.34897743339</v>
          </cell>
          <cell r="N1989">
            <v>22107.212026401918</v>
          </cell>
          <cell r="O1989"/>
        </row>
        <row r="1995">
          <cell r="D1995">
            <v>954293.79688606178</v>
          </cell>
          <cell r="H1995"/>
          <cell r="I1995">
            <v>156316.43309302416</v>
          </cell>
          <cell r="J1995">
            <v>160224.34392034975</v>
          </cell>
          <cell r="K1995">
            <v>164229.95251835848</v>
          </cell>
          <cell r="L1995">
            <v>168335.70133131742</v>
          </cell>
          <cell r="M1995">
            <v>172544.09386460035</v>
          </cell>
          <cell r="N1995">
            <v>132643.27215841151</v>
          </cell>
          <cell r="O1995"/>
        </row>
        <row r="2001">
          <cell r="D2001">
            <v>12336.887489916997</v>
          </cell>
          <cell r="H2001">
            <v>606.24437139265478</v>
          </cell>
          <cell r="I2001">
            <v>1242.8009613549425</v>
          </cell>
          <cell r="J2001">
            <v>1273.8709853888158</v>
          </cell>
          <cell r="K2001">
            <v>1958.5766400353036</v>
          </cell>
          <cell r="L2001">
            <v>2007.5410560361861</v>
          </cell>
          <cell r="M2001">
            <v>2057.7295824370908</v>
          </cell>
          <cell r="N2001">
            <v>2109.1728219980178</v>
          </cell>
          <cell r="O2001">
            <v>1080.9510712739841</v>
          </cell>
        </row>
        <row r="2008">
          <cell r="D2008">
            <v>6966.9306101888023</v>
          </cell>
          <cell r="H2008">
            <v>530.27777777777771</v>
          </cell>
          <cell r="I2008">
            <v>2174.1388888888891</v>
          </cell>
          <cell r="J2008">
            <v>1671.3692708333333</v>
          </cell>
          <cell r="K2008">
            <v>1713.1535026041665</v>
          </cell>
          <cell r="L2008">
            <v>877.9911700846352</v>
          </cell>
        </row>
        <row r="2013">
          <cell r="D2013">
            <v>8393.8923014322918</v>
          </cell>
          <cell r="H2013">
            <v>638.88888888888891</v>
          </cell>
          <cell r="I2013">
            <v>2619.4444444444443</v>
          </cell>
          <cell r="J2013">
            <v>2013.6979166666667</v>
          </cell>
          <cell r="K2013">
            <v>2064.040364583333</v>
          </cell>
          <cell r="L2013">
            <v>1057.8206868489581</v>
          </cell>
        </row>
        <row r="2018">
          <cell r="D2018">
            <v>9233.2815315755197</v>
          </cell>
          <cell r="H2018">
            <v>702.77777777777771</v>
          </cell>
          <cell r="I2018">
            <v>2881.3888888888887</v>
          </cell>
          <cell r="J2018">
            <v>2215.067708333333</v>
          </cell>
          <cell r="K2018">
            <v>2270.4444010416664</v>
          </cell>
          <cell r="L2018">
            <v>1163.6027555338537</v>
          </cell>
        </row>
        <row r="2023">
          <cell r="D2023">
            <v>8785.3623372395832</v>
          </cell>
          <cell r="H2023">
            <v>702.77777777777771</v>
          </cell>
          <cell r="I2023">
            <v>2881.3888888888887</v>
          </cell>
          <cell r="J2023">
            <v>2215.067708333333</v>
          </cell>
          <cell r="K2023">
            <v>1974.2994791666663</v>
          </cell>
          <cell r="L2023">
            <v>1011.8284830729164</v>
          </cell>
        </row>
        <row r="2028">
          <cell r="D2028">
            <v>9233.2815315755197</v>
          </cell>
          <cell r="H2028">
            <v>702.77777777777771</v>
          </cell>
          <cell r="I2028">
            <v>2881.3888888888887</v>
          </cell>
          <cell r="J2028">
            <v>2215.067708333333</v>
          </cell>
          <cell r="K2028">
            <v>2270.4444010416664</v>
          </cell>
          <cell r="L2028">
            <v>1163.6027555338537</v>
          </cell>
        </row>
        <row r="2033">
          <cell r="D2033">
            <v>5707.8467649739578</v>
          </cell>
          <cell r="H2033">
            <v>434.44444444444446</v>
          </cell>
          <cell r="I2033">
            <v>1781.2222222222219</v>
          </cell>
          <cell r="J2033">
            <v>1369.3145833333331</v>
          </cell>
          <cell r="K2033">
            <v>1403.5474479166664</v>
          </cell>
          <cell r="L2033">
            <v>719.3180670572915</v>
          </cell>
        </row>
        <row r="2038">
          <cell r="D2038">
            <v>6379.3581490885408</v>
          </cell>
          <cell r="H2038">
            <v>485.55555555555554</v>
          </cell>
          <cell r="I2038">
            <v>1990.7777777777774</v>
          </cell>
          <cell r="J2038">
            <v>1530.4104166666666</v>
          </cell>
          <cell r="K2038">
            <v>1568.670677083333</v>
          </cell>
          <cell r="L2038">
            <v>803.94372200520809</v>
          </cell>
        </row>
        <row r="2043">
          <cell r="D2043">
            <v>22663.509213867183</v>
          </cell>
          <cell r="H2043">
            <v>1725</v>
          </cell>
          <cell r="I2043">
            <v>7072.4999999999991</v>
          </cell>
          <cell r="J2043">
            <v>5436.9843749999991</v>
          </cell>
          <cell r="K2043">
            <v>5572.9089843749989</v>
          </cell>
          <cell r="L2043">
            <v>2856.1158544921868</v>
          </cell>
        </row>
        <row r="2048">
          <cell r="D2048">
            <v>11247.815683919269</v>
          </cell>
          <cell r="H2048">
            <v>856.11111111111109</v>
          </cell>
          <cell r="I2048">
            <v>3510.0555555555547</v>
          </cell>
          <cell r="J2048">
            <v>2698.3552083333329</v>
          </cell>
          <cell r="K2048">
            <v>2765.8140885416665</v>
          </cell>
          <cell r="L2048">
            <v>1417.4797203776038</v>
          </cell>
        </row>
        <row r="2053">
          <cell r="D2053">
            <v>5477.0147266845697</v>
          </cell>
          <cell r="H2053">
            <v>416.875</v>
          </cell>
          <cell r="I2053">
            <v>1709.1874999999998</v>
          </cell>
          <cell r="J2053">
            <v>1313.9378906249997</v>
          </cell>
          <cell r="K2053">
            <v>1346.786337890625</v>
          </cell>
          <cell r="L2053">
            <v>690.22799816894508</v>
          </cell>
        </row>
        <row r="2058">
          <cell r="D2058">
            <v>2518.1676904296874</v>
          </cell>
          <cell r="H2058">
            <v>191.66666666666666</v>
          </cell>
          <cell r="I2058">
            <v>785.83333333333326</v>
          </cell>
          <cell r="J2058">
            <v>604.10937499999989</v>
          </cell>
          <cell r="K2058">
            <v>619.21210937499984</v>
          </cell>
          <cell r="L2058">
            <v>317.3462060546874</v>
          </cell>
        </row>
        <row r="2063">
          <cell r="D2063">
            <v>3273.6179975585933</v>
          </cell>
          <cell r="H2063">
            <v>249.16666666666666</v>
          </cell>
          <cell r="I2063">
            <v>1021.5833333333333</v>
          </cell>
          <cell r="J2063">
            <v>785.34218750000002</v>
          </cell>
          <cell r="K2063">
            <v>804.97574218749992</v>
          </cell>
          <cell r="L2063">
            <v>412.55006787109369</v>
          </cell>
        </row>
        <row r="2068">
          <cell r="D2068">
            <v>9149.3426085611973</v>
          </cell>
          <cell r="H2068">
            <v>696.38888888888891</v>
          </cell>
          <cell r="I2068">
            <v>2855.1944444444439</v>
          </cell>
          <cell r="J2068">
            <v>2194.9307291666669</v>
          </cell>
          <cell r="K2068">
            <v>2249.803997395833</v>
          </cell>
          <cell r="L2068">
            <v>1153.0245486653644</v>
          </cell>
        </row>
        <row r="2073">
          <cell r="D2073">
            <v>6484.2818028564443</v>
          </cell>
          <cell r="H2073">
            <v>493.54166666666669</v>
          </cell>
          <cell r="I2073">
            <v>2023.520833333333</v>
          </cell>
          <cell r="J2073">
            <v>1555.5816406249996</v>
          </cell>
          <cell r="K2073">
            <v>1594.4711816406248</v>
          </cell>
          <cell r="L2073">
            <v>817.16648059082024</v>
          </cell>
        </row>
        <row r="2079">
          <cell r="D2079">
            <v>396750</v>
          </cell>
          <cell r="I2079">
            <v>396750</v>
          </cell>
          <cell r="J2079">
            <v>0</v>
          </cell>
        </row>
        <row r="2081">
          <cell r="D2081"/>
        </row>
        <row r="2095">
          <cell r="D2095"/>
        </row>
        <row r="2096">
          <cell r="D2096"/>
        </row>
        <row r="2099">
          <cell r="D2099">
            <v>31050</v>
          </cell>
          <cell r="I2099">
            <v>31050</v>
          </cell>
        </row>
        <row r="2100">
          <cell r="D2100"/>
        </row>
        <row r="2114">
          <cell r="D2114"/>
        </row>
        <row r="2118">
          <cell r="D2118">
            <v>3337300</v>
          </cell>
          <cell r="I2118">
            <v>1929700</v>
          </cell>
          <cell r="J2118">
            <v>132250</v>
          </cell>
          <cell r="K2118">
            <v>1170700</v>
          </cell>
          <cell r="L2118">
            <v>104650</v>
          </cell>
          <cell r="M2118">
            <v>0</v>
          </cell>
          <cell r="N2118">
            <v>0</v>
          </cell>
          <cell r="O2118">
            <v>0</v>
          </cell>
        </row>
        <row r="2119">
          <cell r="D2119"/>
        </row>
        <row r="2133">
          <cell r="D2133"/>
        </row>
        <row r="2134">
          <cell r="D2134"/>
        </row>
        <row r="2137">
          <cell r="D2137">
            <v>230000</v>
          </cell>
          <cell r="I2137">
            <v>230000</v>
          </cell>
        </row>
        <row r="2146">
          <cell r="D2146"/>
        </row>
        <row r="2149">
          <cell r="D2149">
            <v>107551.40000000002</v>
          </cell>
          <cell r="I2149">
            <v>107551.40000000002</v>
          </cell>
          <cell r="J2149"/>
          <cell r="K2149"/>
          <cell r="L2149"/>
          <cell r="M2149"/>
          <cell r="N2149"/>
          <cell r="O2149"/>
        </row>
        <row r="2166">
          <cell r="D2166">
            <v>426051.60000000009</v>
          </cell>
          <cell r="I2166">
            <v>426051.60000000009</v>
          </cell>
          <cell r="J2166"/>
          <cell r="K2166"/>
          <cell r="L2166"/>
          <cell r="M2166"/>
          <cell r="N2166"/>
          <cell r="O2166"/>
        </row>
        <row r="2190">
          <cell r="D2190">
            <v>96600</v>
          </cell>
          <cell r="H2190">
            <v>6900</v>
          </cell>
          <cell r="I2190">
            <v>69000</v>
          </cell>
          <cell r="J2190">
            <v>20700</v>
          </cell>
          <cell r="O2190"/>
        </row>
        <row r="2199">
          <cell r="C2199" t="str">
            <v>1.1g. Strengthen the skills of small-scale fishers to catch tuna and other large pelagic fish around FADs.</v>
          </cell>
        </row>
        <row r="2200">
          <cell r="D2200">
            <v>215262.00935311744</v>
          </cell>
          <cell r="H2200">
            <v>5514.6246947160907</v>
          </cell>
          <cell r="I2200">
            <v>20799.977615529933</v>
          </cell>
          <cell r="J2200">
            <v>21319.977055918185</v>
          </cell>
          <cell r="K2200">
            <v>35631.885804799458</v>
          </cell>
          <cell r="L2200">
            <v>36522.682949919443</v>
          </cell>
          <cell r="M2200">
            <v>37435.750023667424</v>
          </cell>
          <cell r="N2200">
            <v>38371.643774259108</v>
          </cell>
          <cell r="O2200">
            <v>19665.46743430779</v>
          </cell>
        </row>
        <row r="2206">
          <cell r="D2206">
            <v>144717.71166698655</v>
          </cell>
          <cell r="H2206">
            <v>15436.223917798106</v>
          </cell>
          <cell r="I2206">
            <v>15354.4740542046</v>
          </cell>
          <cell r="J2206">
            <v>15738.335905559712</v>
          </cell>
          <cell r="K2206">
            <v>23301.480660175897</v>
          </cell>
          <cell r="L2206">
            <v>23884.017676680294</v>
          </cell>
          <cell r="M2206">
            <v>24481.118118597304</v>
          </cell>
          <cell r="N2206">
            <v>25093.146071562234</v>
          </cell>
          <cell r="O2206">
            <v>1428.9152624084047</v>
          </cell>
        </row>
        <row r="2212">
          <cell r="D2212">
            <v>169075.92920841189</v>
          </cell>
          <cell r="H2212">
            <v>5607.5337417487262</v>
          </cell>
          <cell r="I2212">
            <v>22990.888341169775</v>
          </cell>
          <cell r="J2212">
            <v>23565.660549699016</v>
          </cell>
          <cell r="K2212">
            <v>36115.57580203723</v>
          </cell>
          <cell r="L2212">
            <v>37018.465197088168</v>
          </cell>
          <cell r="M2212">
            <v>37943.92682701537</v>
          </cell>
          <cell r="N2212">
            <v>5833.8787496536124</v>
          </cell>
          <cell r="O2212"/>
        </row>
        <row r="2218">
          <cell r="D2218">
            <v>19027.75899086658</v>
          </cell>
          <cell r="H2218"/>
          <cell r="I2218"/>
          <cell r="J2218"/>
          <cell r="K2218">
            <v>19027.75899086658</v>
          </cell>
          <cell r="L2218"/>
          <cell r="M2218"/>
          <cell r="N2218"/>
          <cell r="O2218"/>
        </row>
        <row r="2224">
          <cell r="D2224">
            <v>19503.45296563824</v>
          </cell>
          <cell r="H2224"/>
          <cell r="I2224"/>
          <cell r="J2224"/>
          <cell r="L2224">
            <v>19503.45296563824</v>
          </cell>
          <cell r="M2224"/>
          <cell r="N2224"/>
          <cell r="O2224"/>
        </row>
        <row r="2230">
          <cell r="D2230">
            <v>19991.039289779197</v>
          </cell>
          <cell r="H2230"/>
          <cell r="I2230"/>
          <cell r="J2230"/>
          <cell r="K2230"/>
          <cell r="L2230"/>
          <cell r="M2230">
            <v>19991.039289779197</v>
          </cell>
          <cell r="N2230"/>
          <cell r="O2230"/>
        </row>
        <row r="2236">
          <cell r="D2236">
            <v>22170.018543755272</v>
          </cell>
          <cell r="H2236"/>
          <cell r="I2236"/>
          <cell r="J2236"/>
          <cell r="K2236"/>
          <cell r="L2236">
            <v>22170.018543755272</v>
          </cell>
          <cell r="M2236"/>
          <cell r="N2236"/>
          <cell r="O2236"/>
        </row>
        <row r="2242">
          <cell r="D2242">
            <v>22495.337358908746</v>
          </cell>
          <cell r="H2242"/>
          <cell r="I2242"/>
          <cell r="J2242">
            <v>22495.337358908746</v>
          </cell>
          <cell r="K2242"/>
          <cell r="L2242"/>
          <cell r="M2242"/>
          <cell r="O2242"/>
        </row>
        <row r="2248">
          <cell r="D2248">
            <v>99405.33797715632</v>
          </cell>
          <cell r="H2248">
            <v>5948.8662567567499</v>
          </cell>
          <cell r="I2248">
            <v>12178.854559163839</v>
          </cell>
          <cell r="J2248">
            <v>12483.325923142933</v>
          </cell>
          <cell r="K2248">
            <v>14623.324652824576</v>
          </cell>
          <cell r="L2248">
            <v>14988.907769145189</v>
          </cell>
          <cell r="M2248">
            <v>15363.630463373816</v>
          </cell>
          <cell r="N2248">
            <v>15747.721224958161</v>
          </cell>
          <cell r="O2248">
            <v>8070.7071277910563</v>
          </cell>
        </row>
        <row r="2254">
          <cell r="D2254">
            <v>13433.728221006702</v>
          </cell>
          <cell r="H2254">
            <v>660.98513963963887</v>
          </cell>
          <cell r="I2254">
            <v>1353.2060621293153</v>
          </cell>
          <cell r="J2254">
            <v>1387.0362136825481</v>
          </cell>
          <cell r="K2254">
            <v>2132.568178536917</v>
          </cell>
          <cell r="L2254">
            <v>2185.8823830003403</v>
          </cell>
          <cell r="M2254">
            <v>2240.5294425753486</v>
          </cell>
          <cell r="N2254">
            <v>2296.542678639732</v>
          </cell>
          <cell r="O2254">
            <v>1176.9781228028628</v>
          </cell>
        </row>
        <row r="2260">
          <cell r="D2260">
            <v>42619.313474889357</v>
          </cell>
          <cell r="H2260">
            <v>2656.211788126393</v>
          </cell>
          <cell r="I2260">
            <v>4570.8374156591053</v>
          </cell>
          <cell r="J2260">
            <v>4685.1083510505832</v>
          </cell>
          <cell r="K2260">
            <v>7203.35408974027</v>
          </cell>
          <cell r="L2260">
            <v>7383.4379419837769</v>
          </cell>
          <cell r="M2260">
            <v>7568.0238905333708</v>
          </cell>
          <cell r="N2260">
            <v>7757.2244877967032</v>
          </cell>
          <cell r="O2260">
            <v>795.11550999916187</v>
          </cell>
        </row>
        <row r="2266">
          <cell r="D2266">
            <v>38953.624562077224</v>
          </cell>
          <cell r="H2266">
            <v>981.21473367189651</v>
          </cell>
          <cell r="I2266">
            <v>4022.9804080547756</v>
          </cell>
          <cell r="J2266">
            <v>4123.5549182561444</v>
          </cell>
          <cell r="K2266">
            <v>6339.9656868188222</v>
          </cell>
          <cell r="L2266">
            <v>6498.4648289892921</v>
          </cell>
          <cell r="M2266">
            <v>6660.9264497140239</v>
          </cell>
          <cell r="N2266">
            <v>6827.4496109568736</v>
          </cell>
          <cell r="O2266">
            <v>3499.0679256153981</v>
          </cell>
        </row>
        <row r="2272">
          <cell r="D2272">
            <v>145699.58512370964</v>
          </cell>
          <cell r="H2272">
            <v>4236.2176989979444</v>
          </cell>
          <cell r="I2272">
            <v>17368.492565891571</v>
          </cell>
          <cell r="J2272">
            <v>17802.704880038858</v>
          </cell>
          <cell r="K2272">
            <v>27371.658753059739</v>
          </cell>
          <cell r="L2272">
            <v>28055.950221886236</v>
          </cell>
          <cell r="M2272">
            <v>28757.34897743339</v>
          </cell>
          <cell r="N2272">
            <v>22107.212026401918</v>
          </cell>
          <cell r="O2272"/>
        </row>
        <row r="2278">
          <cell r="D2278">
            <v>151423.86523410634</v>
          </cell>
          <cell r="I2278">
            <v>31351.211374322422</v>
          </cell>
          <cell r="J2278">
            <v>32134.991658680479</v>
          </cell>
          <cell r="K2278">
            <v>22645.126934476397</v>
          </cell>
          <cell r="L2278">
            <v>23211.255107838308</v>
          </cell>
          <cell r="M2278">
            <v>23791.536485534263</v>
          </cell>
          <cell r="N2278">
            <v>18289.743673254463</v>
          </cell>
          <cell r="O2278"/>
        </row>
        <row r="2284">
          <cell r="D2284">
            <v>33459.079309797329</v>
          </cell>
          <cell r="H2284"/>
          <cell r="I2284">
            <v>4474.0834608777923</v>
          </cell>
          <cell r="J2284">
            <v>4585.9355473997366</v>
          </cell>
          <cell r="K2284">
            <v>5875.7299201059113</v>
          </cell>
          <cell r="L2284">
            <v>6022.6231681085592</v>
          </cell>
          <cell r="M2284">
            <v>6173.1887473112729</v>
          </cell>
          <cell r="N2284">
            <v>6327.5184659940542</v>
          </cell>
          <cell r="O2284"/>
        </row>
        <row r="2290">
          <cell r="D2290">
            <v>12336.887489916997</v>
          </cell>
          <cell r="H2290">
            <v>606.24437139265478</v>
          </cell>
          <cell r="I2290">
            <v>1242.8009613549425</v>
          </cell>
          <cell r="J2290">
            <v>1273.8709853888158</v>
          </cell>
          <cell r="K2290">
            <v>1958.5766400353036</v>
          </cell>
          <cell r="L2290">
            <v>2007.5410560361861</v>
          </cell>
          <cell r="M2290">
            <v>2057.7295824370908</v>
          </cell>
          <cell r="N2290">
            <v>2109.1728219980178</v>
          </cell>
          <cell r="O2290">
            <v>1080.9510712739841</v>
          </cell>
        </row>
        <row r="2297">
          <cell r="D2297">
            <v>6966.9306101888023</v>
          </cell>
          <cell r="H2297">
            <v>530.27777777777771</v>
          </cell>
          <cell r="I2297">
            <v>2174.1388888888891</v>
          </cell>
          <cell r="J2297">
            <v>1671.3692708333333</v>
          </cell>
          <cell r="K2297">
            <v>1713.1535026041665</v>
          </cell>
          <cell r="L2297">
            <v>877.9911700846352</v>
          </cell>
        </row>
        <row r="2302">
          <cell r="D2302">
            <v>8393.8923014322918</v>
          </cell>
          <cell r="H2302">
            <v>638.88888888888891</v>
          </cell>
          <cell r="I2302">
            <v>2619.4444444444443</v>
          </cell>
          <cell r="J2302">
            <v>2013.6979166666667</v>
          </cell>
          <cell r="K2302">
            <v>2064.040364583333</v>
          </cell>
          <cell r="L2302">
            <v>1057.8206868489581</v>
          </cell>
        </row>
        <row r="2307">
          <cell r="D2307">
            <v>9233.2815315755197</v>
          </cell>
          <cell r="H2307">
            <v>702.77777777777771</v>
          </cell>
          <cell r="I2307">
            <v>2881.3888888888887</v>
          </cell>
          <cell r="J2307">
            <v>2215.067708333333</v>
          </cell>
          <cell r="K2307">
            <v>2270.4444010416664</v>
          </cell>
          <cell r="L2307">
            <v>1163.6027555338537</v>
          </cell>
        </row>
        <row r="2312">
          <cell r="D2312">
            <v>8785.3623372395832</v>
          </cell>
          <cell r="H2312">
            <v>702.77777777777771</v>
          </cell>
          <cell r="I2312">
            <v>2881.3888888888887</v>
          </cell>
          <cell r="J2312">
            <v>2215.067708333333</v>
          </cell>
          <cell r="K2312">
            <v>1974.2994791666663</v>
          </cell>
          <cell r="L2312">
            <v>1011.8284830729164</v>
          </cell>
        </row>
        <row r="2317">
          <cell r="D2317">
            <v>9233.2815315755197</v>
          </cell>
          <cell r="H2317">
            <v>702.77777777777771</v>
          </cell>
          <cell r="I2317">
            <v>2881.3888888888887</v>
          </cell>
          <cell r="J2317">
            <v>2215.067708333333</v>
          </cell>
          <cell r="K2317">
            <v>2270.4444010416664</v>
          </cell>
          <cell r="L2317">
            <v>1163.6027555338537</v>
          </cell>
        </row>
        <row r="2322">
          <cell r="D2322">
            <v>5707.8467649739578</v>
          </cell>
          <cell r="H2322">
            <v>434.44444444444446</v>
          </cell>
          <cell r="I2322">
            <v>1781.2222222222219</v>
          </cell>
          <cell r="J2322">
            <v>1369.3145833333331</v>
          </cell>
          <cell r="K2322">
            <v>1403.5474479166664</v>
          </cell>
          <cell r="L2322">
            <v>719.3180670572915</v>
          </cell>
        </row>
        <row r="2327">
          <cell r="D2327">
            <v>6379.3581490885408</v>
          </cell>
          <cell r="H2327">
            <v>485.55555555555554</v>
          </cell>
          <cell r="I2327">
            <v>1990.7777777777774</v>
          </cell>
          <cell r="J2327">
            <v>1530.4104166666666</v>
          </cell>
          <cell r="K2327">
            <v>1568.670677083333</v>
          </cell>
          <cell r="L2327">
            <v>803.94372200520809</v>
          </cell>
        </row>
        <row r="2332">
          <cell r="D2332">
            <v>22663.509213867183</v>
          </cell>
          <cell r="H2332">
            <v>1725</v>
          </cell>
          <cell r="I2332">
            <v>7072.4999999999991</v>
          </cell>
          <cell r="J2332">
            <v>5436.9843749999991</v>
          </cell>
          <cell r="K2332">
            <v>5572.9089843749989</v>
          </cell>
          <cell r="L2332">
            <v>2856.1158544921868</v>
          </cell>
        </row>
        <row r="2337">
          <cell r="D2337">
            <v>11247.815683919269</v>
          </cell>
          <cell r="H2337">
            <v>856.11111111111109</v>
          </cell>
          <cell r="I2337">
            <v>3510.0555555555547</v>
          </cell>
          <cell r="J2337">
            <v>2698.3552083333329</v>
          </cell>
          <cell r="K2337">
            <v>2765.8140885416665</v>
          </cell>
          <cell r="L2337">
            <v>1417.4797203776038</v>
          </cell>
        </row>
        <row r="2342">
          <cell r="D2342">
            <v>5477.0147266845697</v>
          </cell>
          <cell r="H2342">
            <v>416.875</v>
          </cell>
          <cell r="I2342">
            <v>1709.1874999999998</v>
          </cell>
          <cell r="J2342">
            <v>1313.9378906249997</v>
          </cell>
          <cell r="K2342">
            <v>1346.786337890625</v>
          </cell>
          <cell r="L2342">
            <v>690.22799816894508</v>
          </cell>
        </row>
        <row r="2347">
          <cell r="D2347">
            <v>2518.1676904296874</v>
          </cell>
          <cell r="H2347">
            <v>191.66666666666666</v>
          </cell>
          <cell r="I2347">
            <v>785.83333333333326</v>
          </cell>
          <cell r="J2347">
            <v>604.10937499999989</v>
          </cell>
          <cell r="K2347">
            <v>619.21210937499984</v>
          </cell>
          <cell r="L2347">
            <v>317.3462060546874</v>
          </cell>
        </row>
        <row r="2352">
          <cell r="D2352">
            <v>3273.6179975585933</v>
          </cell>
          <cell r="H2352">
            <v>249.16666666666666</v>
          </cell>
          <cell r="I2352">
            <v>1021.5833333333333</v>
          </cell>
          <cell r="J2352">
            <v>785.34218750000002</v>
          </cell>
          <cell r="K2352">
            <v>804.97574218749992</v>
          </cell>
          <cell r="L2352">
            <v>412.55006787109369</v>
          </cell>
        </row>
        <row r="2357">
          <cell r="D2357">
            <v>9149.3426085611973</v>
          </cell>
          <cell r="H2357">
            <v>696.38888888888891</v>
          </cell>
          <cell r="I2357">
            <v>2855.1944444444439</v>
          </cell>
          <cell r="J2357">
            <v>2194.9307291666669</v>
          </cell>
          <cell r="K2357">
            <v>2249.803997395833</v>
          </cell>
          <cell r="L2357">
            <v>1153.0245486653644</v>
          </cell>
        </row>
        <row r="2362">
          <cell r="D2362">
            <v>6484.2818028564443</v>
          </cell>
          <cell r="H2362">
            <v>493.54166666666669</v>
          </cell>
          <cell r="I2362">
            <v>2023.520833333333</v>
          </cell>
          <cell r="J2362">
            <v>1555.5816406249996</v>
          </cell>
          <cell r="K2362">
            <v>1594.4711816406248</v>
          </cell>
          <cell r="L2362">
            <v>817.16648059082024</v>
          </cell>
        </row>
        <row r="2368">
          <cell r="D2368">
            <v>46000</v>
          </cell>
          <cell r="I2368">
            <v>11500</v>
          </cell>
          <cell r="J2368">
            <v>11500</v>
          </cell>
          <cell r="K2368">
            <v>11500</v>
          </cell>
          <cell r="L2368">
            <v>5750</v>
          </cell>
          <cell r="M2368">
            <v>5750</v>
          </cell>
        </row>
        <row r="2373">
          <cell r="D2373">
            <v>311650</v>
          </cell>
          <cell r="I2373">
            <v>11500</v>
          </cell>
          <cell r="J2373">
            <v>158700</v>
          </cell>
          <cell r="K2373">
            <v>129950</v>
          </cell>
          <cell r="L2373">
            <v>5750</v>
          </cell>
          <cell r="M2373">
            <v>5750</v>
          </cell>
        </row>
        <row r="2374">
          <cell r="D2374"/>
        </row>
        <row r="2388">
          <cell r="D2388"/>
        </row>
        <row r="2389">
          <cell r="D2389"/>
        </row>
        <row r="2395">
          <cell r="D2395">
            <v>322000</v>
          </cell>
          <cell r="I2395">
            <v>163300</v>
          </cell>
          <cell r="J2395"/>
          <cell r="K2395">
            <v>158700</v>
          </cell>
        </row>
        <row r="2409">
          <cell r="D2409"/>
        </row>
        <row r="2410">
          <cell r="D2410"/>
        </row>
        <row r="2416">
          <cell r="D2416">
            <v>81683.3</v>
          </cell>
          <cell r="K2416">
            <v>81683.3</v>
          </cell>
          <cell r="O2416"/>
        </row>
        <row r="2417">
          <cell r="D2417"/>
        </row>
        <row r="2418">
          <cell r="D2418"/>
        </row>
        <row r="2419">
          <cell r="D2419"/>
        </row>
        <row r="2420">
          <cell r="D2420"/>
        </row>
        <row r="2421">
          <cell r="D2421"/>
        </row>
        <row r="2422">
          <cell r="D2422"/>
        </row>
        <row r="2423">
          <cell r="D2423"/>
        </row>
        <row r="2424">
          <cell r="D2424"/>
        </row>
        <row r="2425">
          <cell r="D2425"/>
        </row>
        <row r="2426">
          <cell r="D2426"/>
        </row>
        <row r="2427">
          <cell r="D2427"/>
        </row>
        <row r="2428">
          <cell r="D2428"/>
        </row>
        <row r="2429">
          <cell r="D2429"/>
        </row>
        <row r="2430">
          <cell r="D2430"/>
        </row>
        <row r="2434">
          <cell r="D2434">
            <v>182774.75</v>
          </cell>
          <cell r="J2434">
            <v>10180.950000000001</v>
          </cell>
          <cell r="K2434">
            <v>44391.45</v>
          </cell>
          <cell r="L2434">
            <v>76303.55</v>
          </cell>
          <cell r="M2434">
            <v>51898.8</v>
          </cell>
          <cell r="O2434"/>
        </row>
        <row r="2435">
          <cell r="D2435"/>
        </row>
        <row r="2436">
          <cell r="D2436"/>
        </row>
        <row r="2437">
          <cell r="D2437"/>
        </row>
        <row r="2438">
          <cell r="D2438"/>
        </row>
        <row r="2439">
          <cell r="D2439"/>
        </row>
        <row r="2440">
          <cell r="D2440"/>
        </row>
        <row r="2441">
          <cell r="D2441"/>
        </row>
        <row r="2442">
          <cell r="D2442"/>
        </row>
        <row r="2443">
          <cell r="D2443"/>
        </row>
        <row r="2444">
          <cell r="D2444"/>
        </row>
        <row r="2445">
          <cell r="D2445"/>
        </row>
        <row r="2446">
          <cell r="D2446"/>
        </row>
        <row r="2447">
          <cell r="D2447"/>
        </row>
        <row r="2448">
          <cell r="D2448"/>
        </row>
        <row r="2452">
          <cell r="D2452">
            <v>12303.045</v>
          </cell>
          <cell r="I2452">
            <v>1809.09375</v>
          </cell>
          <cell r="J2452">
            <v>1809.3812499999999</v>
          </cell>
          <cell r="K2452">
            <v>2894.5500000000006</v>
          </cell>
          <cell r="L2452">
            <v>2895.24</v>
          </cell>
          <cell r="M2452">
            <v>2894.78</v>
          </cell>
        </row>
        <row r="2469">
          <cell r="D2469">
            <v>20125</v>
          </cell>
          <cell r="E2469"/>
          <cell r="F2469"/>
          <cell r="G2469"/>
          <cell r="H2469">
            <v>20125</v>
          </cell>
          <cell r="I2469"/>
          <cell r="J2469"/>
          <cell r="K2469"/>
          <cell r="L2469"/>
        </row>
        <row r="2470">
          <cell r="D2470"/>
        </row>
        <row r="2471">
          <cell r="D2471"/>
        </row>
        <row r="2472">
          <cell r="D2472"/>
        </row>
        <row r="2473">
          <cell r="D2473"/>
        </row>
        <row r="2474">
          <cell r="D2474"/>
        </row>
        <row r="2475">
          <cell r="D2475">
            <v>5031.25</v>
          </cell>
          <cell r="E2475"/>
          <cell r="F2475"/>
          <cell r="G2475"/>
          <cell r="H2475">
            <v>5031.25</v>
          </cell>
          <cell r="I2475"/>
          <cell r="J2475"/>
          <cell r="K2475"/>
          <cell r="L2475"/>
        </row>
        <row r="2476">
          <cell r="D2476"/>
        </row>
        <row r="2477">
          <cell r="D2477"/>
        </row>
        <row r="2478">
          <cell r="D2478"/>
        </row>
        <row r="2479">
          <cell r="D2479"/>
        </row>
        <row r="2480">
          <cell r="D2480">
            <v>14705.55107519531</v>
          </cell>
          <cell r="E2480"/>
          <cell r="F2480"/>
          <cell r="G2480"/>
          <cell r="H2480">
            <v>656.25</v>
          </cell>
          <cell r="I2480">
            <v>2017.96875</v>
          </cell>
          <cell r="J2480">
            <v>2757.890625</v>
          </cell>
          <cell r="K2480">
            <v>2261.4703124999996</v>
          </cell>
          <cell r="L2480">
            <v>4636.0141406249995</v>
          </cell>
          <cell r="M2480">
            <v>2375.9572470703115</v>
          </cell>
        </row>
        <row r="2481">
          <cell r="D2481"/>
        </row>
        <row r="2482">
          <cell r="D2482"/>
        </row>
        <row r="2483">
          <cell r="D2483"/>
        </row>
        <row r="2484">
          <cell r="D2484"/>
        </row>
        <row r="2485">
          <cell r="D2485"/>
        </row>
        <row r="2486">
          <cell r="D2486"/>
        </row>
        <row r="2487">
          <cell r="D2487">
            <v>36772.080812988272</v>
          </cell>
          <cell r="E2487"/>
          <cell r="F2487"/>
          <cell r="G2487"/>
          <cell r="H2487">
            <v>1312.5</v>
          </cell>
          <cell r="I2487">
            <v>5381.25</v>
          </cell>
          <cell r="J2487">
            <v>6894.7265625</v>
          </cell>
          <cell r="K2487">
            <v>5653.6757812499991</v>
          </cell>
          <cell r="L2487">
            <v>11590.035351562497</v>
          </cell>
          <cell r="M2487">
            <v>5939.8931176757787</v>
          </cell>
        </row>
        <row r="2488">
          <cell r="D2488"/>
        </row>
        <row r="2489">
          <cell r="D2489"/>
        </row>
        <row r="2490">
          <cell r="D2490"/>
        </row>
        <row r="2491">
          <cell r="D2491"/>
        </row>
        <row r="2492">
          <cell r="D2492"/>
        </row>
        <row r="2493">
          <cell r="D2493">
            <v>24164.510248535153</v>
          </cell>
          <cell r="E2493"/>
          <cell r="F2493"/>
          <cell r="G2493"/>
          <cell r="H2493">
            <v>862.5</v>
          </cell>
          <cell r="I2493">
            <v>3536.25</v>
          </cell>
          <cell r="J2493">
            <v>4530.8203125</v>
          </cell>
          <cell r="K2493">
            <v>3715.2726562499988</v>
          </cell>
          <cell r="L2493">
            <v>7616.3089453124985</v>
          </cell>
          <cell r="M2493">
            <v>3903.3583344726544</v>
          </cell>
        </row>
        <row r="2494">
          <cell r="D2494"/>
        </row>
        <row r="2495">
          <cell r="D2495"/>
        </row>
        <row r="2496">
          <cell r="D2496"/>
        </row>
        <row r="2497">
          <cell r="D2497"/>
        </row>
        <row r="2498">
          <cell r="D2498">
            <v>18168.30001927551</v>
          </cell>
          <cell r="E2498"/>
          <cell r="F2498"/>
          <cell r="G2498"/>
          <cell r="H2498"/>
          <cell r="J2498">
            <v>1413.4189453124998</v>
          </cell>
          <cell r="K2498">
            <v>4636.0141406249995</v>
          </cell>
          <cell r="L2498">
            <v>4751.914494140623</v>
          </cell>
          <cell r="M2498">
            <v>4870.7123564941394</v>
          </cell>
          <cell r="N2498">
            <v>2496.2400827032461</v>
          </cell>
        </row>
        <row r="2499">
          <cell r="D2499"/>
        </row>
        <row r="2500">
          <cell r="D2500"/>
        </row>
        <row r="2501">
          <cell r="D2501"/>
        </row>
        <row r="2502">
          <cell r="D2502"/>
        </row>
        <row r="2503">
          <cell r="D2503"/>
        </row>
        <row r="2504">
          <cell r="D2504">
            <v>11939.168584095332</v>
          </cell>
          <cell r="E2504"/>
          <cell r="F2504"/>
          <cell r="G2504"/>
          <cell r="H2504"/>
          <cell r="J2504">
            <v>928.8181640624997</v>
          </cell>
          <cell r="K2504">
            <v>3046.5235781249994</v>
          </cell>
          <cell r="L2504">
            <v>3122.6866675781234</v>
          </cell>
          <cell r="M2504">
            <v>3200.7538342675771</v>
          </cell>
          <cell r="N2504">
            <v>1640.3863400621333</v>
          </cell>
        </row>
        <row r="2505">
          <cell r="D2505"/>
        </row>
        <row r="2506">
          <cell r="D2506"/>
        </row>
        <row r="2507">
          <cell r="D2507"/>
        </row>
        <row r="2508">
          <cell r="D2508"/>
        </row>
        <row r="2509">
          <cell r="D2509">
            <v>260776.42155905816</v>
          </cell>
          <cell r="E2509"/>
          <cell r="F2509"/>
          <cell r="G2509"/>
          <cell r="H2509"/>
          <cell r="I2509">
            <v>28957.8515625</v>
          </cell>
          <cell r="J2509">
            <v>29681.797851562496</v>
          </cell>
          <cell r="K2509">
            <v>48678.148476562499</v>
          </cell>
          <cell r="L2509">
            <v>49895.102188476543</v>
          </cell>
          <cell r="M2509">
            <v>51142.479743188458</v>
          </cell>
          <cell r="N2509">
            <v>52421.041736768173</v>
          </cell>
        </row>
        <row r="2510">
          <cell r="D2510"/>
        </row>
        <row r="2511">
          <cell r="D2511"/>
        </row>
        <row r="2512">
          <cell r="D2512"/>
        </row>
        <row r="2513">
          <cell r="D2513"/>
        </row>
        <row r="2514">
          <cell r="D2514"/>
        </row>
        <row r="2515">
          <cell r="D2515">
            <v>71403.06780783736</v>
          </cell>
          <cell r="E2515"/>
          <cell r="F2515"/>
          <cell r="G2515"/>
          <cell r="H2515"/>
          <cell r="I2515">
            <v>7928.935546875</v>
          </cell>
          <cell r="J2515">
            <v>8127.1589355468741</v>
          </cell>
          <cell r="K2515">
            <v>13328.54065429687</v>
          </cell>
          <cell r="L2515">
            <v>13661.754170654291</v>
          </cell>
          <cell r="M2515">
            <v>14003.298024920648</v>
          </cell>
          <cell r="N2515">
            <v>14353.380475543667</v>
          </cell>
        </row>
        <row r="2516">
          <cell r="D2516"/>
        </row>
        <row r="2517">
          <cell r="D2517"/>
        </row>
        <row r="2518">
          <cell r="D2518"/>
        </row>
        <row r="2519">
          <cell r="D2519">
            <v>31500.684483630976</v>
          </cell>
          <cell r="E2519"/>
          <cell r="F2519"/>
          <cell r="G2519"/>
          <cell r="H2519"/>
          <cell r="I2519">
            <v>2757.890625</v>
          </cell>
          <cell r="J2519">
            <v>4946.9663085937491</v>
          </cell>
          <cell r="K2519">
            <v>8113.0247460937489</v>
          </cell>
          <cell r="L2519">
            <v>8315.8503647460911</v>
          </cell>
          <cell r="M2519">
            <v>4870.7123564941394</v>
          </cell>
          <cell r="N2519">
            <v>2496.2400827032461</v>
          </cell>
        </row>
        <row r="2520">
          <cell r="D2520"/>
        </row>
        <row r="2521">
          <cell r="D2521"/>
        </row>
        <row r="2522">
          <cell r="D2522"/>
        </row>
        <row r="2523">
          <cell r="D2523"/>
        </row>
        <row r="2524">
          <cell r="D2524"/>
        </row>
        <row r="2525">
          <cell r="D2525">
            <v>8625.1874181370513</v>
          </cell>
          <cell r="E2525"/>
          <cell r="F2525"/>
          <cell r="G2525"/>
          <cell r="H2525"/>
          <cell r="I2525">
            <v>755.13671875</v>
          </cell>
          <cell r="J2525">
            <v>1354.5264892578123</v>
          </cell>
          <cell r="K2525">
            <v>2221.4234423828116</v>
          </cell>
          <cell r="L2525">
            <v>2276.9590284423821</v>
          </cell>
          <cell r="M2525">
            <v>1333.6474309448238</v>
          </cell>
          <cell r="N2525">
            <v>683.49430835922226</v>
          </cell>
          <cell r="O2525"/>
        </row>
        <row r="2526">
          <cell r="D2526"/>
        </row>
        <row r="2527">
          <cell r="D2527"/>
        </row>
        <row r="2528">
          <cell r="D2528"/>
        </row>
        <row r="2529">
          <cell r="D2529">
            <v>55157.8125</v>
          </cell>
          <cell r="H2529"/>
          <cell r="I2529"/>
          <cell r="J2529">
            <v>55157.8125</v>
          </cell>
          <cell r="K2529"/>
          <cell r="L2529"/>
          <cell r="N2529">
            <v>0</v>
          </cell>
          <cell r="O2529"/>
        </row>
        <row r="2531">
          <cell r="D2531"/>
        </row>
        <row r="2532">
          <cell r="D2532"/>
        </row>
        <row r="2533">
          <cell r="D2533"/>
        </row>
        <row r="2534">
          <cell r="D2534"/>
        </row>
        <row r="2535">
          <cell r="D2535">
            <v>137219.15</v>
          </cell>
          <cell r="E2535"/>
          <cell r="F2535"/>
          <cell r="G2535"/>
          <cell r="H2535"/>
          <cell r="I2535"/>
          <cell r="J2535">
            <v>137219.15</v>
          </cell>
          <cell r="K2535"/>
          <cell r="L2535"/>
          <cell r="N2535">
            <v>0</v>
          </cell>
          <cell r="O2535"/>
        </row>
        <row r="2552">
          <cell r="D2552"/>
        </row>
        <row r="2553">
          <cell r="D2553">
            <v>36246.5625</v>
          </cell>
          <cell r="I2553"/>
          <cell r="J2553">
            <v>36246.5625</v>
          </cell>
          <cell r="K2553"/>
          <cell r="L2553"/>
          <cell r="O2553"/>
        </row>
        <row r="2557">
          <cell r="D2557">
            <v>76890.149999999994</v>
          </cell>
          <cell r="E2557"/>
          <cell r="F2557"/>
          <cell r="G2557"/>
          <cell r="H2557"/>
          <cell r="I2557">
            <v>2392</v>
          </cell>
          <cell r="J2557">
            <v>17922.75</v>
          </cell>
          <cell r="K2557">
            <v>32623.200000000001</v>
          </cell>
          <cell r="L2557">
            <v>23952.2</v>
          </cell>
          <cell r="O2557"/>
        </row>
        <row r="2575">
          <cell r="D2575">
            <v>61333.333333333343</v>
          </cell>
          <cell r="J2575">
            <v>11500</v>
          </cell>
          <cell r="K2575">
            <v>15333.333333333334</v>
          </cell>
          <cell r="L2575">
            <v>15333.333333333334</v>
          </cell>
          <cell r="M2575">
            <v>15333.333333333334</v>
          </cell>
          <cell r="N2575">
            <v>3833.3333333333335</v>
          </cell>
          <cell r="O2575"/>
        </row>
        <row r="2581">
          <cell r="D2581">
            <v>34500</v>
          </cell>
          <cell r="J2581">
            <v>5750</v>
          </cell>
          <cell r="K2581">
            <v>8625</v>
          </cell>
          <cell r="L2581">
            <v>8625</v>
          </cell>
          <cell r="M2581">
            <v>8625</v>
          </cell>
          <cell r="N2581">
            <v>2875</v>
          </cell>
          <cell r="O2581"/>
        </row>
        <row r="2587">
          <cell r="D2587">
            <v>318420.625</v>
          </cell>
          <cell r="J2587">
            <v>66326.25</v>
          </cell>
          <cell r="K2587">
            <v>79608.75</v>
          </cell>
          <cell r="L2587">
            <v>79608.75</v>
          </cell>
          <cell r="M2587">
            <v>79608.75</v>
          </cell>
          <cell r="N2587">
            <v>13268.125</v>
          </cell>
        </row>
        <row r="2597">
          <cell r="C2597" t="str">
            <v>1.1h. Establish and maintain FAD-related catch data collection systems and processes.</v>
          </cell>
        </row>
        <row r="2598">
          <cell r="D2598">
            <v>218927.22620954967</v>
          </cell>
          <cell r="H2598">
            <v>5514.6246947160907</v>
          </cell>
          <cell r="I2598">
            <v>22609.961248335967</v>
          </cell>
          <cell r="J2598">
            <v>23175.210279544368</v>
          </cell>
          <cell r="K2598">
            <v>35631.885804799458</v>
          </cell>
          <cell r="L2598">
            <v>36522.682949919443</v>
          </cell>
          <cell r="M2598">
            <v>37435.750023667424</v>
          </cell>
          <cell r="N2598">
            <v>38371.643774259108</v>
          </cell>
          <cell r="O2598">
            <v>19665.46743430779</v>
          </cell>
        </row>
        <row r="2604">
          <cell r="D2604">
            <v>265920.23571346281</v>
          </cell>
          <cell r="H2604">
            <v>10514.125765778861</v>
          </cell>
          <cell r="I2604">
            <v>43107.915639693332</v>
          </cell>
          <cell r="J2604">
            <v>44185.613530685667</v>
          </cell>
          <cell r="K2604">
            <v>48315.724235359048</v>
          </cell>
          <cell r="L2604">
            <v>49523.617341243022</v>
          </cell>
          <cell r="M2604">
            <v>50761.707774774084</v>
          </cell>
          <cell r="N2604">
            <v>19511.531425928792</v>
          </cell>
          <cell r="O2604"/>
        </row>
        <row r="2610">
          <cell r="D2610">
            <v>711659.16586747253</v>
          </cell>
          <cell r="H2610">
            <v>42056.503063115444</v>
          </cell>
          <cell r="I2610">
            <v>172431.66255877333</v>
          </cell>
          <cell r="J2610">
            <v>176742.45412274267</v>
          </cell>
          <cell r="K2610">
            <v>181161.01547581117</v>
          </cell>
          <cell r="L2610">
            <v>139267.53064702984</v>
          </cell>
          <cell r="O2610"/>
        </row>
        <row r="2616">
          <cell r="D2616">
            <v>19027.75899086658</v>
          </cell>
          <cell r="H2616"/>
          <cell r="I2616"/>
          <cell r="J2616"/>
          <cell r="K2616">
            <v>19027.75899086658</v>
          </cell>
          <cell r="L2616"/>
          <cell r="M2616"/>
          <cell r="N2616"/>
          <cell r="O2616"/>
        </row>
        <row r="2622">
          <cell r="D2622">
            <v>19503.45296563824</v>
          </cell>
          <cell r="H2622"/>
          <cell r="I2622"/>
          <cell r="J2622"/>
          <cell r="L2622">
            <v>19503.45296563824</v>
          </cell>
          <cell r="M2622"/>
          <cell r="N2622"/>
          <cell r="O2622"/>
        </row>
        <row r="2628">
          <cell r="D2628">
            <v>19991.039289779197</v>
          </cell>
          <cell r="H2628"/>
          <cell r="I2628"/>
          <cell r="J2628"/>
          <cell r="K2628"/>
          <cell r="L2628"/>
          <cell r="M2628">
            <v>19991.039289779197</v>
          </cell>
          <cell r="N2628"/>
          <cell r="O2628"/>
        </row>
        <row r="2634">
          <cell r="D2634">
            <v>22170.018543755272</v>
          </cell>
          <cell r="H2634"/>
          <cell r="I2634"/>
          <cell r="J2634"/>
          <cell r="K2634"/>
          <cell r="L2634">
            <v>22170.018543755272</v>
          </cell>
          <cell r="M2634"/>
          <cell r="N2634"/>
          <cell r="O2634"/>
        </row>
        <row r="2640">
          <cell r="D2640">
            <v>22495.337358908746</v>
          </cell>
          <cell r="H2640"/>
          <cell r="I2640"/>
          <cell r="J2640">
            <v>22495.337358908746</v>
          </cell>
          <cell r="K2640"/>
          <cell r="L2640"/>
          <cell r="M2640"/>
          <cell r="O2640"/>
        </row>
        <row r="2646">
          <cell r="D2646">
            <v>65008.192358109933</v>
          </cell>
          <cell r="H2646">
            <v>5948.8662567567499</v>
          </cell>
          <cell r="I2646">
            <v>12178.854559163839</v>
          </cell>
          <cell r="J2646">
            <v>12483.325923142933</v>
          </cell>
          <cell r="K2646">
            <v>7311.6623264122882</v>
          </cell>
          <cell r="L2646">
            <v>7494.4538845725947</v>
          </cell>
          <cell r="M2646">
            <v>7681.8152316869082</v>
          </cell>
          <cell r="N2646">
            <v>7873.8606124790804</v>
          </cell>
          <cell r="O2646">
            <v>4035.3535638955282</v>
          </cell>
        </row>
        <row r="2652">
          <cell r="D2652">
            <v>212980.16762586677</v>
          </cell>
          <cell r="H2652">
            <v>9093.6655708898215</v>
          </cell>
          <cell r="I2652">
            <v>37284.028840648265</v>
          </cell>
          <cell r="J2652">
            <v>38216.129561664464</v>
          </cell>
          <cell r="K2652">
            <v>39171.532800706074</v>
          </cell>
          <cell r="L2652">
            <v>40150.821120723733</v>
          </cell>
          <cell r="M2652">
            <v>41154.591648741814</v>
          </cell>
          <cell r="N2652">
            <v>7909.3980824925684</v>
          </cell>
          <cell r="O2652"/>
        </row>
        <row r="2658">
          <cell r="D2658">
            <v>84588.101480432349</v>
          </cell>
          <cell r="H2658">
            <v>3010.0636639706308</v>
          </cell>
          <cell r="I2658">
            <v>6170.6305111397933</v>
          </cell>
          <cell r="J2658">
            <v>6324.896273918288</v>
          </cell>
          <cell r="K2658">
            <v>21610.062269220805</v>
          </cell>
          <cell r="L2658">
            <v>22150.313825951329</v>
          </cell>
          <cell r="M2658">
            <v>22704.071671600112</v>
          </cell>
          <cell r="N2658">
            <v>2618.063264631387</v>
          </cell>
          <cell r="O2658"/>
        </row>
        <row r="2664">
          <cell r="D2664">
            <v>22842.817807360723</v>
          </cell>
          <cell r="H2664">
            <v>2638.154976902918</v>
          </cell>
          <cell r="I2664">
            <v>2704.1088513254913</v>
          </cell>
          <cell r="J2664">
            <v>2771.7115726086281</v>
          </cell>
          <cell r="K2664">
            <v>3546.9685695700873</v>
          </cell>
          <cell r="L2664">
            <v>3635.6427838093391</v>
          </cell>
          <cell r="M2664">
            <v>3726.5338534045723</v>
          </cell>
          <cell r="N2664">
            <v>3819.6971997396859</v>
          </cell>
          <cell r="O2664"/>
        </row>
        <row r="2670">
          <cell r="D2670">
            <v>13433.728221006702</v>
          </cell>
          <cell r="H2670">
            <v>660.98513963963887</v>
          </cell>
          <cell r="I2670">
            <v>1353.2060621293153</v>
          </cell>
          <cell r="J2670">
            <v>1387.0362136825481</v>
          </cell>
          <cell r="K2670">
            <v>2132.568178536917</v>
          </cell>
          <cell r="L2670">
            <v>2185.8823830003403</v>
          </cell>
          <cell r="M2670">
            <v>2240.5294425753486</v>
          </cell>
          <cell r="N2670">
            <v>2296.542678639732</v>
          </cell>
          <cell r="O2670">
            <v>1176.9781228028628</v>
          </cell>
        </row>
        <row r="2676">
          <cell r="D2676">
            <v>42619.313474889357</v>
          </cell>
          <cell r="H2676">
            <v>2656.211788126393</v>
          </cell>
          <cell r="I2676">
            <v>4570.8374156591053</v>
          </cell>
          <cell r="J2676">
            <v>4685.1083510505832</v>
          </cell>
          <cell r="K2676">
            <v>7203.35408974027</v>
          </cell>
          <cell r="L2676">
            <v>7383.4379419837769</v>
          </cell>
          <cell r="M2676">
            <v>7568.0238905333708</v>
          </cell>
          <cell r="N2676">
            <v>7757.2244877967032</v>
          </cell>
          <cell r="O2676">
            <v>795.11550999916187</v>
          </cell>
        </row>
        <row r="2682">
          <cell r="D2682">
            <v>211997.45016369366</v>
          </cell>
          <cell r="H2682">
            <v>12016.143732318698</v>
          </cell>
          <cell r="I2682">
            <v>24633.094651253326</v>
          </cell>
          <cell r="J2682">
            <v>25248.922017534656</v>
          </cell>
          <cell r="K2682">
            <v>38652.579388287239</v>
          </cell>
          <cell r="L2682">
            <v>39618.893872994413</v>
          </cell>
          <cell r="M2682">
            <v>40609.366219819276</v>
          </cell>
          <cell r="N2682">
            <v>31218.450281486061</v>
          </cell>
          <cell r="O2682"/>
        </row>
        <row r="2688">
          <cell r="D2688">
            <v>38953.624562077224</v>
          </cell>
          <cell r="H2688">
            <v>981.21473367189651</v>
          </cell>
          <cell r="I2688">
            <v>4022.9804080547756</v>
          </cell>
          <cell r="J2688">
            <v>4123.5549182561444</v>
          </cell>
          <cell r="K2688">
            <v>6339.9656868188222</v>
          </cell>
          <cell r="L2688">
            <v>6498.4648289892921</v>
          </cell>
          <cell r="M2688">
            <v>6660.9264497140239</v>
          </cell>
          <cell r="N2688">
            <v>6827.4496109568736</v>
          </cell>
          <cell r="O2688">
            <v>3499.0679256153981</v>
          </cell>
        </row>
        <row r="2694">
          <cell r="D2694">
            <v>145699.58512370964</v>
          </cell>
          <cell r="H2694">
            <v>4236.2176989979444</v>
          </cell>
          <cell r="I2694">
            <v>17368.492565891571</v>
          </cell>
          <cell r="J2694">
            <v>17802.704880038858</v>
          </cell>
          <cell r="K2694">
            <v>27371.658753059739</v>
          </cell>
          <cell r="L2694">
            <v>28055.950221886236</v>
          </cell>
          <cell r="M2694">
            <v>28757.34897743339</v>
          </cell>
          <cell r="N2694">
            <v>22107.212026401918</v>
          </cell>
          <cell r="O2694"/>
        </row>
        <row r="2700">
          <cell r="D2700">
            <v>239361.52743520975</v>
          </cell>
          <cell r="I2700">
            <v>31351.211374322422</v>
          </cell>
          <cell r="J2700">
            <v>32134.991658680479</v>
          </cell>
          <cell r="K2700">
            <v>45290.253868952794</v>
          </cell>
          <cell r="L2700">
            <v>46422.510215676615</v>
          </cell>
          <cell r="M2700">
            <v>47583.072971068526</v>
          </cell>
          <cell r="N2700">
            <v>36579.487346508926</v>
          </cell>
          <cell r="O2700"/>
        </row>
        <row r="2706">
          <cell r="D2706">
            <v>33459.079309797329</v>
          </cell>
          <cell r="H2706"/>
          <cell r="I2706">
            <v>4474.0834608777923</v>
          </cell>
          <cell r="J2706">
            <v>4585.9355473997366</v>
          </cell>
          <cell r="K2706">
            <v>5875.7299201059113</v>
          </cell>
          <cell r="L2706">
            <v>6022.6231681085592</v>
          </cell>
          <cell r="M2706">
            <v>6173.1887473112729</v>
          </cell>
          <cell r="N2706">
            <v>6327.5184659940542</v>
          </cell>
          <cell r="O2706"/>
        </row>
        <row r="2712">
          <cell r="D2712">
            <v>12336.887489916997</v>
          </cell>
          <cell r="H2712">
            <v>606.24437139265478</v>
          </cell>
          <cell r="I2712">
            <v>1242.8009613549425</v>
          </cell>
          <cell r="J2712">
            <v>1273.8709853888158</v>
          </cell>
          <cell r="K2712">
            <v>1958.5766400353036</v>
          </cell>
          <cell r="L2712">
            <v>2007.5410560361861</v>
          </cell>
          <cell r="M2712">
            <v>2057.7295824370908</v>
          </cell>
          <cell r="N2712">
            <v>2109.1728219980178</v>
          </cell>
          <cell r="O2712">
            <v>1080.9510712739841</v>
          </cell>
        </row>
        <row r="2718">
          <cell r="D2718">
            <v>6966.9306101888023</v>
          </cell>
          <cell r="H2718">
            <v>530.27777777777771</v>
          </cell>
          <cell r="I2718">
            <v>2174.1388888888891</v>
          </cell>
          <cell r="J2718">
            <v>1671.3692708333333</v>
          </cell>
          <cell r="K2718">
            <v>1713.1535026041665</v>
          </cell>
          <cell r="L2718">
            <v>877.9911700846352</v>
          </cell>
        </row>
        <row r="2723">
          <cell r="D2723">
            <v>8393.8923014322918</v>
          </cell>
          <cell r="H2723">
            <v>638.88888888888891</v>
          </cell>
          <cell r="I2723">
            <v>2619.4444444444443</v>
          </cell>
          <cell r="J2723">
            <v>2013.6979166666667</v>
          </cell>
          <cell r="K2723">
            <v>2064.040364583333</v>
          </cell>
          <cell r="L2723">
            <v>1057.8206868489581</v>
          </cell>
        </row>
        <row r="2728">
          <cell r="D2728">
            <v>9233.2815315755197</v>
          </cell>
          <cell r="H2728">
            <v>702.77777777777771</v>
          </cell>
          <cell r="I2728">
            <v>2881.3888888888887</v>
          </cell>
          <cell r="J2728">
            <v>2215.067708333333</v>
          </cell>
          <cell r="K2728">
            <v>2270.4444010416664</v>
          </cell>
          <cell r="L2728">
            <v>1163.6027555338537</v>
          </cell>
        </row>
        <row r="2733">
          <cell r="D2733">
            <v>8785.3623372395832</v>
          </cell>
          <cell r="H2733">
            <v>702.77777777777771</v>
          </cell>
          <cell r="I2733">
            <v>2881.3888888888887</v>
          </cell>
          <cell r="J2733">
            <v>2215.067708333333</v>
          </cell>
          <cell r="K2733">
            <v>1974.2994791666663</v>
          </cell>
          <cell r="L2733">
            <v>1011.8284830729164</v>
          </cell>
        </row>
        <row r="2738">
          <cell r="D2738">
            <v>9233.2815315755197</v>
          </cell>
          <cell r="H2738">
            <v>702.77777777777771</v>
          </cell>
          <cell r="I2738">
            <v>2881.3888888888887</v>
          </cell>
          <cell r="J2738">
            <v>2215.067708333333</v>
          </cell>
          <cell r="K2738">
            <v>2270.4444010416664</v>
          </cell>
          <cell r="L2738">
            <v>1163.6027555338537</v>
          </cell>
        </row>
        <row r="2743">
          <cell r="D2743">
            <v>5707.8467649739578</v>
          </cell>
          <cell r="H2743">
            <v>434.44444444444446</v>
          </cell>
          <cell r="I2743">
            <v>1781.2222222222219</v>
          </cell>
          <cell r="J2743">
            <v>1369.3145833333331</v>
          </cell>
          <cell r="K2743">
            <v>1403.5474479166664</v>
          </cell>
          <cell r="L2743">
            <v>719.3180670572915</v>
          </cell>
        </row>
        <row r="2748">
          <cell r="D2748">
            <v>6379.3581490885408</v>
          </cell>
          <cell r="H2748">
            <v>485.55555555555554</v>
          </cell>
          <cell r="I2748">
            <v>1990.7777777777774</v>
          </cell>
          <cell r="J2748">
            <v>1530.4104166666666</v>
          </cell>
          <cell r="K2748">
            <v>1568.670677083333</v>
          </cell>
          <cell r="L2748">
            <v>803.94372200520809</v>
          </cell>
        </row>
        <row r="2753">
          <cell r="D2753">
            <v>22663.509213867183</v>
          </cell>
          <cell r="H2753">
            <v>1725</v>
          </cell>
          <cell r="I2753">
            <v>7072.4999999999991</v>
          </cell>
          <cell r="J2753">
            <v>5436.9843749999991</v>
          </cell>
          <cell r="K2753">
            <v>5572.9089843749989</v>
          </cell>
          <cell r="L2753">
            <v>2856.1158544921868</v>
          </cell>
        </row>
        <row r="2758">
          <cell r="D2758">
            <v>11247.815683919269</v>
          </cell>
          <cell r="H2758">
            <v>856.11111111111109</v>
          </cell>
          <cell r="I2758">
            <v>3510.0555555555547</v>
          </cell>
          <cell r="J2758">
            <v>2698.3552083333329</v>
          </cell>
          <cell r="K2758">
            <v>2765.8140885416665</v>
          </cell>
          <cell r="L2758">
            <v>1417.4797203776038</v>
          </cell>
        </row>
        <row r="2763">
          <cell r="D2763">
            <v>5477.0147266845697</v>
          </cell>
          <cell r="H2763">
            <v>416.875</v>
          </cell>
          <cell r="I2763">
            <v>1709.1874999999998</v>
          </cell>
          <cell r="J2763">
            <v>1313.9378906249997</v>
          </cell>
          <cell r="K2763">
            <v>1346.786337890625</v>
          </cell>
          <cell r="L2763">
            <v>690.22799816894508</v>
          </cell>
        </row>
        <row r="2768">
          <cell r="D2768">
            <v>2518.1676904296874</v>
          </cell>
          <cell r="H2768">
            <v>191.66666666666666</v>
          </cell>
          <cell r="I2768">
            <v>785.83333333333326</v>
          </cell>
          <cell r="J2768">
            <v>604.10937499999989</v>
          </cell>
          <cell r="K2768">
            <v>619.21210937499984</v>
          </cell>
          <cell r="L2768">
            <v>317.3462060546874</v>
          </cell>
        </row>
        <row r="2773">
          <cell r="D2773">
            <v>3273.6179975585933</v>
          </cell>
          <cell r="H2773">
            <v>249.16666666666666</v>
          </cell>
          <cell r="I2773">
            <v>1021.5833333333333</v>
          </cell>
          <cell r="J2773">
            <v>785.34218750000002</v>
          </cell>
          <cell r="K2773">
            <v>804.97574218749992</v>
          </cell>
          <cell r="L2773">
            <v>412.55006787109369</v>
          </cell>
        </row>
        <row r="2778">
          <cell r="D2778">
            <v>9149.3426085611973</v>
          </cell>
          <cell r="H2778">
            <v>696.38888888888891</v>
          </cell>
          <cell r="I2778">
            <v>2855.1944444444439</v>
          </cell>
          <cell r="J2778">
            <v>2194.9307291666669</v>
          </cell>
          <cell r="K2778">
            <v>2249.803997395833</v>
          </cell>
          <cell r="L2778">
            <v>1153.0245486653644</v>
          </cell>
        </row>
        <row r="2783">
          <cell r="D2783">
            <v>6484.2818028564443</v>
          </cell>
          <cell r="H2783">
            <v>493.54166666666669</v>
          </cell>
          <cell r="I2783">
            <v>2023.520833333333</v>
          </cell>
          <cell r="J2783">
            <v>1555.5816406249996</v>
          </cell>
          <cell r="K2783">
            <v>1594.4711816406248</v>
          </cell>
          <cell r="L2783">
            <v>817.16648059082024</v>
          </cell>
        </row>
        <row r="2788">
          <cell r="D2788">
            <v>64954.023281250003</v>
          </cell>
          <cell r="H2788">
            <v>4772.5</v>
          </cell>
          <cell r="I2788">
            <v>19567.25</v>
          </cell>
          <cell r="J2788">
            <v>20056.431250000001</v>
          </cell>
          <cell r="K2788">
            <v>20557.842031249998</v>
          </cell>
        </row>
        <row r="2793">
          <cell r="D2793">
            <v>78257.859375</v>
          </cell>
          <cell r="H2793">
            <v>5750</v>
          </cell>
          <cell r="I2793">
            <v>23575</v>
          </cell>
          <cell r="J2793">
            <v>24164.374999999996</v>
          </cell>
          <cell r="K2793">
            <v>24768.484374999993</v>
          </cell>
        </row>
        <row r="2798">
          <cell r="D2798">
            <v>43041.822656249984</v>
          </cell>
          <cell r="H2798">
            <v>3162.5</v>
          </cell>
          <cell r="I2798">
            <v>12966.249999999998</v>
          </cell>
          <cell r="J2798">
            <v>13290.406249999996</v>
          </cell>
          <cell r="K2798">
            <v>13622.666406249993</v>
          </cell>
        </row>
        <row r="2803">
          <cell r="D2803">
            <v>43041.822656249984</v>
          </cell>
          <cell r="H2803">
            <v>3162.5</v>
          </cell>
          <cell r="I2803">
            <v>12966.249999999998</v>
          </cell>
          <cell r="J2803">
            <v>13290.406249999996</v>
          </cell>
          <cell r="K2803">
            <v>13622.666406249993</v>
          </cell>
        </row>
        <row r="2808">
          <cell r="D2808">
            <v>86083.645312499968</v>
          </cell>
          <cell r="H2808">
            <v>6325</v>
          </cell>
          <cell r="I2808">
            <v>25932.499999999996</v>
          </cell>
          <cell r="J2808">
            <v>26580.812499999993</v>
          </cell>
          <cell r="K2808">
            <v>27245.332812499986</v>
          </cell>
        </row>
        <row r="2813">
          <cell r="D2813">
            <v>49004.702031249988</v>
          </cell>
          <cell r="H2813">
            <v>3910</v>
          </cell>
          <cell r="I2813">
            <v>16030.999999999998</v>
          </cell>
          <cell r="J2813">
            <v>16431.774999999994</v>
          </cell>
          <cell r="K2813">
            <v>12631.927031249996</v>
          </cell>
        </row>
        <row r="2818">
          <cell r="D2818">
            <v>59475.973124999982</v>
          </cell>
          <cell r="H2818">
            <v>4370</v>
          </cell>
          <cell r="I2818">
            <v>17916.999999999996</v>
          </cell>
          <cell r="J2818">
            <v>18364.924999999996</v>
          </cell>
          <cell r="K2818">
            <v>18824.048124999994</v>
          </cell>
        </row>
        <row r="2823">
          <cell r="D2823">
            <v>105648.11015624998</v>
          </cell>
          <cell r="H2823">
            <v>7762.5</v>
          </cell>
          <cell r="I2823">
            <v>31826.249999999996</v>
          </cell>
          <cell r="J2823">
            <v>32621.906249999993</v>
          </cell>
          <cell r="K2823">
            <v>33437.45390624999</v>
          </cell>
        </row>
        <row r="2828">
          <cell r="D2828">
            <v>48284.044648437484</v>
          </cell>
          <cell r="H2828">
            <v>3852.5</v>
          </cell>
          <cell r="I2828">
            <v>15795.249999999998</v>
          </cell>
          <cell r="J2828">
            <v>16190.131249999995</v>
          </cell>
          <cell r="K2828">
            <v>12446.163398437497</v>
          </cell>
        </row>
        <row r="2833">
          <cell r="D2833">
            <v>51063.253242187493</v>
          </cell>
          <cell r="H2833">
            <v>3751.875</v>
          </cell>
          <cell r="I2833">
            <v>15382.687499999998</v>
          </cell>
          <cell r="J2833">
            <v>15767.254687499995</v>
          </cell>
          <cell r="K2833">
            <v>16161.436054687496</v>
          </cell>
        </row>
        <row r="2838">
          <cell r="D2838">
            <v>23477.357812499995</v>
          </cell>
          <cell r="H2838">
            <v>1725</v>
          </cell>
          <cell r="I2838">
            <v>7072.4999999999991</v>
          </cell>
          <cell r="J2838">
            <v>7249.3124999999982</v>
          </cell>
          <cell r="K2838">
            <v>7430.5453124999967</v>
          </cell>
        </row>
        <row r="2843">
          <cell r="D2843">
            <v>30520.565156249992</v>
          </cell>
          <cell r="H2843">
            <v>2242.5</v>
          </cell>
          <cell r="I2843">
            <v>9194.2499999999982</v>
          </cell>
          <cell r="J2843">
            <v>9424.1062499999971</v>
          </cell>
          <cell r="K2843">
            <v>9659.7089062499963</v>
          </cell>
        </row>
        <row r="2848">
          <cell r="D2848">
            <v>42650.533359374982</v>
          </cell>
          <cell r="H2848">
            <v>3133.75</v>
          </cell>
          <cell r="I2848">
            <v>12848.374999999998</v>
          </cell>
          <cell r="J2848">
            <v>13169.584374999995</v>
          </cell>
          <cell r="K2848">
            <v>13498.823984374994</v>
          </cell>
        </row>
        <row r="2853">
          <cell r="D2853">
            <v>60454.196367187484</v>
          </cell>
          <cell r="H2853">
            <v>4441.875</v>
          </cell>
          <cell r="I2853">
            <v>18211.687499999996</v>
          </cell>
          <cell r="J2853">
            <v>18666.979687499996</v>
          </cell>
          <cell r="K2853">
            <v>19133.654179687495</v>
          </cell>
        </row>
        <row r="2859">
          <cell r="D2859">
            <v>373150</v>
          </cell>
          <cell r="H2859">
            <v>165600</v>
          </cell>
          <cell r="I2859">
            <v>105500</v>
          </cell>
          <cell r="J2859">
            <v>102050</v>
          </cell>
        </row>
        <row r="2875">
          <cell r="D2875"/>
        </row>
        <row r="2876">
          <cell r="D2876"/>
        </row>
        <row r="2878">
          <cell r="D2878">
            <v>109250</v>
          </cell>
          <cell r="H2878">
            <v>54625</v>
          </cell>
          <cell r="J2878"/>
          <cell r="K2878">
            <v>54625</v>
          </cell>
        </row>
        <row r="2892">
          <cell r="D2892"/>
        </row>
        <row r="2893">
          <cell r="D2893"/>
        </row>
        <row r="2898">
          <cell r="D2898">
            <v>12303.045</v>
          </cell>
          <cell r="I2898">
            <v>1809.09375</v>
          </cell>
          <cell r="J2898">
            <v>1809.3812499999999</v>
          </cell>
          <cell r="K2898">
            <v>2894.5500000000006</v>
          </cell>
          <cell r="L2898">
            <v>2895.24</v>
          </cell>
          <cell r="M2898">
            <v>2894.78</v>
          </cell>
        </row>
        <row r="2915">
          <cell r="D2915">
            <v>63123.5</v>
          </cell>
          <cell r="H2915"/>
          <cell r="I2915">
            <v>0</v>
          </cell>
          <cell r="J2915">
            <v>0</v>
          </cell>
          <cell r="K2915">
            <v>12627</v>
          </cell>
          <cell r="L2915">
            <v>25104.5</v>
          </cell>
          <cell r="M2915">
            <v>17537.5</v>
          </cell>
          <cell r="N2915">
            <v>7854.5</v>
          </cell>
        </row>
        <row r="2934">
          <cell r="D2934">
            <v>20125</v>
          </cell>
          <cell r="E2934"/>
          <cell r="F2934"/>
          <cell r="G2934"/>
          <cell r="H2934">
            <v>20125</v>
          </cell>
          <cell r="I2934"/>
          <cell r="J2934"/>
          <cell r="K2934"/>
          <cell r="L2934"/>
        </row>
        <row r="2935">
          <cell r="D2935"/>
        </row>
        <row r="2936">
          <cell r="D2936"/>
        </row>
        <row r="2937">
          <cell r="D2937"/>
        </row>
        <row r="2938">
          <cell r="D2938"/>
        </row>
        <row r="2939">
          <cell r="D2939"/>
        </row>
        <row r="2940">
          <cell r="D2940">
            <v>5031.25</v>
          </cell>
          <cell r="E2940"/>
          <cell r="F2940"/>
          <cell r="G2940"/>
          <cell r="H2940">
            <v>5031.25</v>
          </cell>
          <cell r="I2940"/>
          <cell r="J2940"/>
          <cell r="K2940"/>
          <cell r="L2940"/>
        </row>
        <row r="2941">
          <cell r="D2941"/>
        </row>
        <row r="2942">
          <cell r="D2942"/>
        </row>
        <row r="2943">
          <cell r="D2943"/>
        </row>
        <row r="2944">
          <cell r="D2944"/>
        </row>
        <row r="2945">
          <cell r="D2945">
            <v>14705.55107519531</v>
          </cell>
          <cell r="E2945"/>
          <cell r="F2945"/>
          <cell r="G2945"/>
          <cell r="H2945">
            <v>656.25</v>
          </cell>
          <cell r="I2945">
            <v>2017.96875</v>
          </cell>
          <cell r="J2945">
            <v>2757.890625</v>
          </cell>
          <cell r="K2945">
            <v>2261.4703124999996</v>
          </cell>
          <cell r="L2945">
            <v>4636.0141406249995</v>
          </cell>
          <cell r="M2945">
            <v>2375.9572470703115</v>
          </cell>
        </row>
        <row r="2946">
          <cell r="D2946"/>
        </row>
        <row r="2947">
          <cell r="D2947"/>
        </row>
        <row r="2948">
          <cell r="D2948"/>
        </row>
        <row r="2949">
          <cell r="D2949"/>
        </row>
        <row r="2950">
          <cell r="D2950"/>
        </row>
        <row r="2951">
          <cell r="D2951"/>
        </row>
        <row r="2952">
          <cell r="D2952">
            <v>36772.080812988272</v>
          </cell>
          <cell r="E2952"/>
          <cell r="F2952"/>
          <cell r="G2952"/>
          <cell r="H2952">
            <v>1312.5</v>
          </cell>
          <cell r="I2952">
            <v>5381.25</v>
          </cell>
          <cell r="J2952">
            <v>6894.7265625</v>
          </cell>
          <cell r="K2952">
            <v>5653.6757812499991</v>
          </cell>
          <cell r="L2952">
            <v>11590.035351562497</v>
          </cell>
          <cell r="M2952">
            <v>5939.8931176757787</v>
          </cell>
        </row>
        <row r="2953">
          <cell r="D2953"/>
        </row>
        <row r="2954">
          <cell r="D2954"/>
        </row>
        <row r="2955">
          <cell r="D2955"/>
        </row>
        <row r="2956">
          <cell r="D2956"/>
        </row>
        <row r="2957">
          <cell r="D2957"/>
        </row>
        <row r="2958">
          <cell r="D2958">
            <v>24164.510248535153</v>
          </cell>
          <cell r="E2958"/>
          <cell r="F2958"/>
          <cell r="G2958"/>
          <cell r="H2958">
            <v>862.5</v>
          </cell>
          <cell r="I2958">
            <v>3536.25</v>
          </cell>
          <cell r="J2958">
            <v>4530.8203125</v>
          </cell>
          <cell r="K2958">
            <v>3715.2726562499988</v>
          </cell>
          <cell r="L2958">
            <v>7616.3089453124985</v>
          </cell>
          <cell r="M2958">
            <v>3903.3583344726544</v>
          </cell>
        </row>
        <row r="2959">
          <cell r="D2959"/>
        </row>
        <row r="2960">
          <cell r="D2960"/>
        </row>
        <row r="2961">
          <cell r="D2961"/>
        </row>
        <row r="2962">
          <cell r="D2962"/>
        </row>
        <row r="2963">
          <cell r="D2963">
            <v>18168.30001927551</v>
          </cell>
          <cell r="E2963"/>
          <cell r="F2963"/>
          <cell r="G2963"/>
          <cell r="H2963"/>
          <cell r="J2963">
            <v>1413.4189453124998</v>
          </cell>
          <cell r="K2963">
            <v>4636.0141406249995</v>
          </cell>
          <cell r="L2963">
            <v>4751.914494140623</v>
          </cell>
          <cell r="M2963">
            <v>4870.7123564941394</v>
          </cell>
          <cell r="N2963">
            <v>2496.2400827032461</v>
          </cell>
        </row>
        <row r="2964">
          <cell r="D2964"/>
        </row>
        <row r="2965">
          <cell r="D2965"/>
        </row>
        <row r="2966">
          <cell r="D2966"/>
        </row>
        <row r="2967">
          <cell r="D2967"/>
        </row>
        <row r="2968">
          <cell r="D2968"/>
        </row>
        <row r="2969">
          <cell r="D2969">
            <v>11939.168584095332</v>
          </cell>
          <cell r="E2969"/>
          <cell r="F2969"/>
          <cell r="G2969"/>
          <cell r="H2969"/>
          <cell r="J2969">
            <v>928.8181640624997</v>
          </cell>
          <cell r="K2969">
            <v>3046.5235781249994</v>
          </cell>
          <cell r="L2969">
            <v>3122.6866675781234</v>
          </cell>
          <cell r="M2969">
            <v>3200.7538342675771</v>
          </cell>
          <cell r="N2969">
            <v>1640.3863400621333</v>
          </cell>
        </row>
        <row r="2970">
          <cell r="D2970"/>
        </row>
        <row r="2971">
          <cell r="D2971"/>
        </row>
        <row r="2972">
          <cell r="D2972"/>
        </row>
        <row r="2973">
          <cell r="D2973"/>
        </row>
        <row r="2974">
          <cell r="D2974">
            <v>260776.42155905816</v>
          </cell>
          <cell r="E2974"/>
          <cell r="F2974"/>
          <cell r="G2974"/>
          <cell r="H2974"/>
          <cell r="I2974">
            <v>28957.8515625</v>
          </cell>
          <cell r="J2974">
            <v>29681.797851562496</v>
          </cell>
          <cell r="K2974">
            <v>48678.148476562499</v>
          </cell>
          <cell r="L2974">
            <v>49895.102188476543</v>
          </cell>
          <cell r="M2974">
            <v>51142.479743188458</v>
          </cell>
          <cell r="N2974">
            <v>52421.041736768173</v>
          </cell>
        </row>
        <row r="2975">
          <cell r="D2975"/>
        </row>
        <row r="2976">
          <cell r="D2976"/>
        </row>
        <row r="2977">
          <cell r="D2977"/>
        </row>
        <row r="2978">
          <cell r="D2978"/>
        </row>
        <row r="2979">
          <cell r="D2979"/>
        </row>
        <row r="2980">
          <cell r="D2980">
            <v>71403.06780783736</v>
          </cell>
          <cell r="E2980"/>
          <cell r="F2980"/>
          <cell r="G2980"/>
          <cell r="H2980"/>
          <cell r="I2980">
            <v>7928.935546875</v>
          </cell>
          <cell r="J2980">
            <v>8127.1589355468741</v>
          </cell>
          <cell r="K2980">
            <v>13328.54065429687</v>
          </cell>
          <cell r="L2980">
            <v>13661.754170654291</v>
          </cell>
          <cell r="M2980">
            <v>14003.298024920648</v>
          </cell>
          <cell r="N2980">
            <v>14353.380475543667</v>
          </cell>
        </row>
        <row r="2981">
          <cell r="D2981"/>
        </row>
        <row r="2982">
          <cell r="D2982"/>
        </row>
        <row r="2983">
          <cell r="D2983"/>
        </row>
        <row r="2984">
          <cell r="D2984">
            <v>31500.684483630976</v>
          </cell>
          <cell r="E2984"/>
          <cell r="F2984"/>
          <cell r="G2984"/>
          <cell r="H2984"/>
          <cell r="I2984">
            <v>2757.890625</v>
          </cell>
          <cell r="J2984">
            <v>4946.9663085937491</v>
          </cell>
          <cell r="K2984">
            <v>8113.0247460937489</v>
          </cell>
          <cell r="L2984">
            <v>8315.8503647460911</v>
          </cell>
          <cell r="M2984">
            <v>4870.7123564941394</v>
          </cell>
          <cell r="N2984">
            <v>2496.2400827032461</v>
          </cell>
        </row>
        <row r="2985">
          <cell r="D2985"/>
        </row>
        <row r="2986">
          <cell r="D2986"/>
        </row>
        <row r="2987">
          <cell r="D2987"/>
        </row>
        <row r="2988">
          <cell r="D2988"/>
        </row>
        <row r="2989">
          <cell r="D2989"/>
        </row>
        <row r="2990">
          <cell r="D2990">
            <v>8625.1874181370513</v>
          </cell>
          <cell r="E2990"/>
          <cell r="F2990"/>
          <cell r="G2990"/>
          <cell r="H2990"/>
          <cell r="I2990">
            <v>755.13671875</v>
          </cell>
          <cell r="J2990">
            <v>1354.5264892578123</v>
          </cell>
          <cell r="K2990">
            <v>2221.4234423828116</v>
          </cell>
          <cell r="L2990">
            <v>2276.9590284423821</v>
          </cell>
          <cell r="M2990">
            <v>1333.6474309448238</v>
          </cell>
          <cell r="N2990">
            <v>683.49430835922226</v>
          </cell>
        </row>
        <row r="2991">
          <cell r="D2991"/>
        </row>
        <row r="2992">
          <cell r="D2992"/>
        </row>
        <row r="2993">
          <cell r="D2993"/>
        </row>
        <row r="2994">
          <cell r="D2994">
            <v>308977.921875</v>
          </cell>
          <cell r="H2994"/>
          <cell r="I2994">
            <v>150675</v>
          </cell>
          <cell r="J2994"/>
          <cell r="K2994">
            <v>158302.92187499997</v>
          </cell>
          <cell r="L2994"/>
        </row>
        <row r="2996">
          <cell r="D2996"/>
        </row>
        <row r="2997">
          <cell r="D2997"/>
        </row>
        <row r="2998">
          <cell r="D2998"/>
        </row>
        <row r="2999">
          <cell r="D2999"/>
        </row>
        <row r="3000">
          <cell r="D3000">
            <v>84601.09765625</v>
          </cell>
          <cell r="I3000">
            <v>41256.25</v>
          </cell>
          <cell r="J3000"/>
          <cell r="K3000">
            <v>43344.847656249993</v>
          </cell>
          <cell r="L3000"/>
        </row>
        <row r="3004">
          <cell r="D3004">
            <v>46477.25</v>
          </cell>
          <cell r="H3004"/>
          <cell r="I3004">
            <v>0</v>
          </cell>
          <cell r="J3004">
            <v>0</v>
          </cell>
          <cell r="K3004">
            <v>10953.75</v>
          </cell>
          <cell r="L3004">
            <v>15982.7</v>
          </cell>
          <cell r="M3004">
            <v>14476.2</v>
          </cell>
          <cell r="N3004">
            <v>5064.6000000000004</v>
          </cell>
        </row>
        <row r="3022">
          <cell r="D3022">
            <v>178765.79765624998</v>
          </cell>
          <cell r="H3022"/>
          <cell r="I3022">
            <v>43050</v>
          </cell>
          <cell r="J3022">
            <v>44126.25</v>
          </cell>
          <cell r="K3022">
            <v>45229.406249999993</v>
          </cell>
          <cell r="L3022">
            <v>46360.14140624999</v>
          </cell>
        </row>
        <row r="3028">
          <cell r="D3028">
            <v>48638.171875</v>
          </cell>
          <cell r="H3028"/>
          <cell r="I3028">
            <v>11787.5</v>
          </cell>
          <cell r="J3028">
            <v>12082.1875</v>
          </cell>
          <cell r="K3028">
            <v>12384.242187499998</v>
          </cell>
          <cell r="L3028">
            <v>12384.242187499998</v>
          </cell>
        </row>
        <row r="3032">
          <cell r="D3032">
            <v>135750.27759521484</v>
          </cell>
          <cell r="H3032"/>
          <cell r="I3032">
            <v>16143.75</v>
          </cell>
          <cell r="J3032">
            <v>33094.6875</v>
          </cell>
          <cell r="K3032">
            <v>33922.054687499993</v>
          </cell>
          <cell r="L3032">
            <v>34770.106054687494</v>
          </cell>
          <cell r="M3032">
            <v>17819.679353027339</v>
          </cell>
        </row>
        <row r="3038">
          <cell r="D3038">
            <v>88650.034378417942</v>
          </cell>
          <cell r="H3038"/>
          <cell r="I3038">
            <v>10608.75</v>
          </cell>
          <cell r="J3038">
            <v>21747.9375</v>
          </cell>
          <cell r="K3038">
            <v>22291.635937499992</v>
          </cell>
          <cell r="L3038">
            <v>22291.635937499992</v>
          </cell>
          <cell r="M3038">
            <v>11710.075003417964</v>
          </cell>
        </row>
        <row r="3042">
          <cell r="D3042">
            <v>92762.68969006346</v>
          </cell>
          <cell r="H3042"/>
          <cell r="I3042"/>
          <cell r="J3042">
            <v>11031.5625</v>
          </cell>
          <cell r="K3042">
            <v>22614.703124999996</v>
          </cell>
          <cell r="L3042">
            <v>23180.070703124995</v>
          </cell>
          <cell r="M3042">
            <v>23759.572470703115</v>
          </cell>
          <cell r="N3042">
            <v>12176.780891235347</v>
          </cell>
        </row>
        <row r="3048">
          <cell r="D3048">
            <v>60586.811673559554</v>
          </cell>
          <cell r="H3048"/>
          <cell r="I3048"/>
          <cell r="J3048">
            <v>7249.3125</v>
          </cell>
          <cell r="K3048">
            <v>14861.090624999995</v>
          </cell>
          <cell r="L3048">
            <v>14861.090624999995</v>
          </cell>
          <cell r="M3048">
            <v>15613.433337890618</v>
          </cell>
          <cell r="N3048">
            <v>8001.8845856689422</v>
          </cell>
        </row>
        <row r="3053">
          <cell r="D3053">
            <v>9200</v>
          </cell>
          <cell r="H3053">
            <v>4600</v>
          </cell>
          <cell r="I3053">
            <v>4600</v>
          </cell>
        </row>
        <row r="3058">
          <cell r="D3058">
            <v>34500</v>
          </cell>
          <cell r="J3058">
            <v>5750</v>
          </cell>
          <cell r="K3058">
            <v>8625</v>
          </cell>
          <cell r="L3058">
            <v>8625</v>
          </cell>
          <cell r="M3058">
            <v>8625</v>
          </cell>
          <cell r="N3058">
            <v>2875</v>
          </cell>
        </row>
        <row r="3064">
          <cell r="D3064">
            <v>69000</v>
          </cell>
          <cell r="J3064">
            <v>14375</v>
          </cell>
          <cell r="K3064">
            <v>17250</v>
          </cell>
          <cell r="L3064">
            <v>17250</v>
          </cell>
          <cell r="M3064">
            <v>17250</v>
          </cell>
          <cell r="N3064">
            <v>2875</v>
          </cell>
        </row>
        <row r="3070">
          <cell r="D3070">
            <v>318420.625</v>
          </cell>
          <cell r="J3070">
            <v>66326.25</v>
          </cell>
          <cell r="K3070">
            <v>79608.75</v>
          </cell>
          <cell r="L3070">
            <v>79608.75</v>
          </cell>
          <cell r="M3070">
            <v>79608.75</v>
          </cell>
          <cell r="N3070">
            <v>13268.125</v>
          </cell>
        </row>
        <row r="3076">
          <cell r="D3076"/>
        </row>
        <row r="3081">
          <cell r="C3081" t="str">
            <v>1.1i. Establish/strengthen national response mechanisms to natural disasters affecting small-scale fishers using FADs.</v>
          </cell>
        </row>
        <row r="3082">
          <cell r="D3082">
            <v>218927.22620954967</v>
          </cell>
          <cell r="H3082">
            <v>5514.6246947160907</v>
          </cell>
          <cell r="I3082">
            <v>22609.961248335967</v>
          </cell>
          <cell r="J3082">
            <v>23175.210279544368</v>
          </cell>
          <cell r="K3082">
            <v>35631.885804799458</v>
          </cell>
          <cell r="L3082">
            <v>36522.682949919443</v>
          </cell>
          <cell r="M3082">
            <v>37435.750023667424</v>
          </cell>
          <cell r="N3082">
            <v>38371.643774259108</v>
          </cell>
          <cell r="O3082">
            <v>19665.46743430779</v>
          </cell>
        </row>
        <row r="3088">
          <cell r="D3088">
            <v>95623.372772274481</v>
          </cell>
          <cell r="H3088">
            <v>15436.223917798106</v>
          </cell>
          <cell r="I3088">
            <v>15354.4740542046</v>
          </cell>
          <cell r="J3088">
            <v>15738.335905559712</v>
          </cell>
          <cell r="K3088">
            <v>11650.740330087949</v>
          </cell>
          <cell r="L3088">
            <v>11942.008838340147</v>
          </cell>
          <cell r="M3088">
            <v>12240.559059298652</v>
          </cell>
          <cell r="N3088">
            <v>12546.573035781117</v>
          </cell>
          <cell r="O3088">
            <v>714.45763120420236</v>
          </cell>
        </row>
        <row r="3094">
          <cell r="D3094">
            <v>169075.92920841189</v>
          </cell>
          <cell r="H3094">
            <v>5607.5337417487262</v>
          </cell>
          <cell r="I3094">
            <v>22990.888341169775</v>
          </cell>
          <cell r="J3094">
            <v>23565.660549699016</v>
          </cell>
          <cell r="K3094">
            <v>36115.57580203723</v>
          </cell>
          <cell r="L3094">
            <v>37018.465197088168</v>
          </cell>
          <cell r="M3094">
            <v>37943.92682701537</v>
          </cell>
          <cell r="N3094">
            <v>5833.8787496536124</v>
          </cell>
          <cell r="O3094"/>
        </row>
        <row r="3100">
          <cell r="D3100">
            <v>19027.75899086658</v>
          </cell>
          <cell r="H3100"/>
          <cell r="I3100"/>
          <cell r="J3100"/>
          <cell r="K3100">
            <v>19027.75899086658</v>
          </cell>
          <cell r="L3100"/>
          <cell r="M3100"/>
          <cell r="N3100"/>
        </row>
        <row r="3106">
          <cell r="D3106">
            <v>19503.45296563824</v>
          </cell>
          <cell r="H3106"/>
          <cell r="I3106"/>
          <cell r="J3106"/>
          <cell r="L3106">
            <v>19503.45296563824</v>
          </cell>
          <cell r="M3106"/>
          <cell r="N3106"/>
        </row>
        <row r="3112">
          <cell r="D3112">
            <v>19991.039289779197</v>
          </cell>
          <cell r="H3112"/>
          <cell r="I3112"/>
          <cell r="J3112"/>
          <cell r="K3112"/>
          <cell r="L3112"/>
          <cell r="M3112">
            <v>19991.039289779197</v>
          </cell>
          <cell r="N3112"/>
        </row>
        <row r="3118">
          <cell r="D3118">
            <v>22170.018543755272</v>
          </cell>
          <cell r="H3118"/>
          <cell r="I3118"/>
          <cell r="J3118"/>
          <cell r="K3118"/>
          <cell r="L3118">
            <v>22170.018543755272</v>
          </cell>
          <cell r="M3118"/>
          <cell r="N3118"/>
        </row>
        <row r="3124">
          <cell r="D3124">
            <v>22495.337358908746</v>
          </cell>
          <cell r="H3124"/>
          <cell r="I3124"/>
          <cell r="J3124">
            <v>22495.337358908746</v>
          </cell>
          <cell r="K3124"/>
          <cell r="L3124"/>
          <cell r="M3124"/>
        </row>
        <row r="3130">
          <cell r="D3130">
            <v>22842.817807360723</v>
          </cell>
          <cell r="H3130">
            <v>2638.154976902918</v>
          </cell>
          <cell r="I3130">
            <v>2704.1088513254913</v>
          </cell>
          <cell r="J3130">
            <v>2771.7115726086281</v>
          </cell>
          <cell r="K3130">
            <v>3546.9685695700873</v>
          </cell>
          <cell r="L3130">
            <v>3635.6427838093391</v>
          </cell>
          <cell r="M3130">
            <v>3726.5338534045723</v>
          </cell>
          <cell r="N3130">
            <v>3819.6971997396859</v>
          </cell>
          <cell r="O3130"/>
        </row>
        <row r="3136">
          <cell r="D3136">
            <v>13433.728221006702</v>
          </cell>
          <cell r="H3136">
            <v>660.98513963963887</v>
          </cell>
          <cell r="I3136">
            <v>1353.2060621293153</v>
          </cell>
          <cell r="J3136">
            <v>1387.0362136825481</v>
          </cell>
          <cell r="K3136">
            <v>2132.568178536917</v>
          </cell>
          <cell r="L3136">
            <v>2185.8823830003403</v>
          </cell>
          <cell r="M3136">
            <v>2240.5294425753486</v>
          </cell>
          <cell r="N3136">
            <v>2296.542678639732</v>
          </cell>
          <cell r="O3136">
            <v>1176.9781228028628</v>
          </cell>
        </row>
        <row r="3142">
          <cell r="D3142">
            <v>42619.313474889357</v>
          </cell>
          <cell r="H3142">
            <v>2656.211788126393</v>
          </cell>
          <cell r="I3142">
            <v>4570.8374156591053</v>
          </cell>
          <cell r="J3142">
            <v>4685.1083510505832</v>
          </cell>
          <cell r="K3142">
            <v>7203.35408974027</v>
          </cell>
          <cell r="L3142">
            <v>7383.4379419837769</v>
          </cell>
          <cell r="M3142">
            <v>7568.0238905333708</v>
          </cell>
          <cell r="N3142">
            <v>7757.2244877967032</v>
          </cell>
          <cell r="O3142">
            <v>795.11550999916187</v>
          </cell>
        </row>
        <row r="3148">
          <cell r="D3148">
            <v>38953.624562077224</v>
          </cell>
          <cell r="H3148">
            <v>981.21473367189651</v>
          </cell>
          <cell r="I3148">
            <v>4022.9804080547756</v>
          </cell>
          <cell r="J3148">
            <v>4123.5549182561444</v>
          </cell>
          <cell r="K3148">
            <v>6339.9656868188222</v>
          </cell>
          <cell r="L3148">
            <v>6498.4648289892921</v>
          </cell>
          <cell r="M3148">
            <v>6660.9264497140239</v>
          </cell>
          <cell r="N3148">
            <v>6827.4496109568736</v>
          </cell>
          <cell r="O3148">
            <v>3499.0679256153981</v>
          </cell>
        </row>
        <row r="3154">
          <cell r="D3154">
            <v>145699.58512370964</v>
          </cell>
          <cell r="H3154">
            <v>4236.2176989979444</v>
          </cell>
          <cell r="I3154">
            <v>17368.492565891571</v>
          </cell>
          <cell r="J3154">
            <v>17802.704880038858</v>
          </cell>
          <cell r="K3154">
            <v>27371.658753059739</v>
          </cell>
          <cell r="L3154">
            <v>28055.950221886236</v>
          </cell>
          <cell r="M3154">
            <v>28757.34897743339</v>
          </cell>
          <cell r="N3154">
            <v>22107.212026401918</v>
          </cell>
          <cell r="O3154"/>
        </row>
        <row r="3160">
          <cell r="D3160">
            <v>151423.86523410634</v>
          </cell>
          <cell r="I3160">
            <v>31351.211374322422</v>
          </cell>
          <cell r="J3160">
            <v>32134.991658680479</v>
          </cell>
          <cell r="K3160">
            <v>22645.126934476397</v>
          </cell>
          <cell r="L3160">
            <v>23211.255107838308</v>
          </cell>
          <cell r="M3160">
            <v>23791.536485534263</v>
          </cell>
          <cell r="N3160">
            <v>18289.743673254463</v>
          </cell>
          <cell r="O3160"/>
        </row>
        <row r="3166">
          <cell r="D3166">
            <v>33459.079309797329</v>
          </cell>
          <cell r="H3166"/>
          <cell r="I3166">
            <v>4474.0834608777923</v>
          </cell>
          <cell r="J3166">
            <v>4585.9355473997366</v>
          </cell>
          <cell r="K3166">
            <v>5875.7299201059113</v>
          </cell>
          <cell r="L3166">
            <v>6022.6231681085592</v>
          </cell>
          <cell r="M3166">
            <v>6173.1887473112729</v>
          </cell>
          <cell r="N3166">
            <v>6327.5184659940542</v>
          </cell>
          <cell r="O3166"/>
        </row>
        <row r="3172">
          <cell r="D3172">
            <v>12336.887489916997</v>
          </cell>
          <cell r="H3172">
            <v>606.24437139265478</v>
          </cell>
          <cell r="I3172">
            <v>1242.8009613549425</v>
          </cell>
          <cell r="J3172">
            <v>1273.8709853888158</v>
          </cell>
          <cell r="K3172">
            <v>1958.5766400353036</v>
          </cell>
          <cell r="L3172">
            <v>2007.5410560361861</v>
          </cell>
          <cell r="M3172">
            <v>2057.7295824370908</v>
          </cell>
          <cell r="N3172">
            <v>2109.1728219980178</v>
          </cell>
          <cell r="O3172">
            <v>1080.9510712739841</v>
          </cell>
        </row>
        <row r="3179">
          <cell r="D3179">
            <v>6966.9306101888023</v>
          </cell>
          <cell r="H3179">
            <v>530.27777777777771</v>
          </cell>
          <cell r="I3179">
            <v>2174.1388888888891</v>
          </cell>
          <cell r="J3179">
            <v>1671.3692708333333</v>
          </cell>
          <cell r="K3179">
            <v>1713.1535026041665</v>
          </cell>
          <cell r="L3179">
            <v>877.9911700846352</v>
          </cell>
        </row>
        <row r="3184">
          <cell r="D3184">
            <v>8393.8923014322918</v>
          </cell>
          <cell r="H3184">
            <v>638.88888888888891</v>
          </cell>
          <cell r="I3184">
            <v>2619.4444444444443</v>
          </cell>
          <cell r="J3184">
            <v>2013.6979166666667</v>
          </cell>
          <cell r="K3184">
            <v>2064.040364583333</v>
          </cell>
          <cell r="L3184">
            <v>1057.8206868489581</v>
          </cell>
        </row>
        <row r="3189">
          <cell r="D3189">
            <v>9233.2815315755197</v>
          </cell>
          <cell r="H3189">
            <v>702.77777777777771</v>
          </cell>
          <cell r="I3189">
            <v>2881.3888888888887</v>
          </cell>
          <cell r="J3189">
            <v>2215.067708333333</v>
          </cell>
          <cell r="K3189">
            <v>2270.4444010416664</v>
          </cell>
          <cell r="L3189">
            <v>1163.6027555338537</v>
          </cell>
        </row>
        <row r="3194">
          <cell r="D3194">
            <v>8785.3623372395832</v>
          </cell>
          <cell r="H3194">
            <v>702.77777777777771</v>
          </cell>
          <cell r="I3194">
            <v>2881.3888888888887</v>
          </cell>
          <cell r="J3194">
            <v>2215.067708333333</v>
          </cell>
          <cell r="K3194">
            <v>1974.2994791666663</v>
          </cell>
          <cell r="L3194">
            <v>1011.8284830729164</v>
          </cell>
        </row>
        <row r="3199">
          <cell r="D3199">
            <v>9233.2815315755197</v>
          </cell>
          <cell r="H3199">
            <v>702.77777777777771</v>
          </cell>
          <cell r="I3199">
            <v>2881.3888888888887</v>
          </cell>
          <cell r="J3199">
            <v>2215.067708333333</v>
          </cell>
          <cell r="K3199">
            <v>2270.4444010416664</v>
          </cell>
          <cell r="L3199">
            <v>1163.6027555338537</v>
          </cell>
        </row>
        <row r="3204">
          <cell r="D3204">
            <v>5707.8467649739578</v>
          </cell>
          <cell r="H3204">
            <v>434.44444444444446</v>
          </cell>
          <cell r="I3204">
            <v>1781.2222222222219</v>
          </cell>
          <cell r="J3204">
            <v>1369.3145833333331</v>
          </cell>
          <cell r="K3204">
            <v>1403.5474479166664</v>
          </cell>
          <cell r="L3204">
            <v>719.3180670572915</v>
          </cell>
        </row>
        <row r="3209">
          <cell r="D3209">
            <v>6379.3581490885408</v>
          </cell>
          <cell r="H3209">
            <v>485.55555555555554</v>
          </cell>
          <cell r="I3209">
            <v>1990.7777777777774</v>
          </cell>
          <cell r="J3209">
            <v>1530.4104166666666</v>
          </cell>
          <cell r="K3209">
            <v>1568.670677083333</v>
          </cell>
          <cell r="L3209">
            <v>803.94372200520809</v>
          </cell>
        </row>
        <row r="3214">
          <cell r="D3214">
            <v>22663.509213867183</v>
          </cell>
          <cell r="H3214">
            <v>1725</v>
          </cell>
          <cell r="I3214">
            <v>7072.4999999999991</v>
          </cell>
          <cell r="J3214">
            <v>5436.9843749999991</v>
          </cell>
          <cell r="K3214">
            <v>5572.9089843749989</v>
          </cell>
          <cell r="L3214">
            <v>2856.1158544921868</v>
          </cell>
        </row>
        <row r="3219">
          <cell r="D3219">
            <v>11247.815683919269</v>
          </cell>
          <cell r="H3219">
            <v>856.11111111111109</v>
          </cell>
          <cell r="I3219">
            <v>3510.0555555555547</v>
          </cell>
          <cell r="J3219">
            <v>2698.3552083333329</v>
          </cell>
          <cell r="K3219">
            <v>2765.8140885416665</v>
          </cell>
          <cell r="L3219">
            <v>1417.4797203776038</v>
          </cell>
        </row>
        <row r="3224">
          <cell r="D3224">
            <v>5477.0147266845697</v>
          </cell>
          <cell r="H3224">
            <v>416.875</v>
          </cell>
          <cell r="I3224">
            <v>1709.1874999999998</v>
          </cell>
          <cell r="J3224">
            <v>1313.9378906249997</v>
          </cell>
          <cell r="K3224">
            <v>1346.786337890625</v>
          </cell>
          <cell r="L3224">
            <v>690.22799816894508</v>
          </cell>
        </row>
        <row r="3229">
          <cell r="D3229">
            <v>2518.1676904296874</v>
          </cell>
          <cell r="H3229">
            <v>191.66666666666666</v>
          </cell>
          <cell r="I3229">
            <v>785.83333333333326</v>
          </cell>
          <cell r="J3229">
            <v>604.10937499999989</v>
          </cell>
          <cell r="K3229">
            <v>619.21210937499984</v>
          </cell>
          <cell r="L3229">
            <v>317.3462060546874</v>
          </cell>
        </row>
        <row r="3234">
          <cell r="D3234">
            <v>3273.6179975585933</v>
          </cell>
          <cell r="H3234">
            <v>249.16666666666666</v>
          </cell>
          <cell r="I3234">
            <v>1021.5833333333333</v>
          </cell>
          <cell r="J3234">
            <v>785.34218750000002</v>
          </cell>
          <cell r="K3234">
            <v>804.97574218749992</v>
          </cell>
          <cell r="L3234">
            <v>412.55006787109369</v>
          </cell>
        </row>
        <row r="3239">
          <cell r="D3239">
            <v>9149.3426085611973</v>
          </cell>
          <cell r="H3239">
            <v>696.38888888888891</v>
          </cell>
          <cell r="I3239">
            <v>2855.1944444444439</v>
          </cell>
          <cell r="J3239">
            <v>2194.9307291666669</v>
          </cell>
          <cell r="K3239">
            <v>2249.803997395833</v>
          </cell>
          <cell r="L3239">
            <v>1153.0245486653644</v>
          </cell>
        </row>
        <row r="3244">
          <cell r="D3244">
            <v>6484.2818028564443</v>
          </cell>
          <cell r="H3244">
            <v>493.54166666666669</v>
          </cell>
          <cell r="I3244">
            <v>2023.520833333333</v>
          </cell>
          <cell r="J3244">
            <v>1555.5816406249996</v>
          </cell>
          <cell r="K3244">
            <v>1594.4711816406248</v>
          </cell>
          <cell r="L3244">
            <v>817.16648059082024</v>
          </cell>
        </row>
        <row r="3251">
          <cell r="D3251">
            <v>166750</v>
          </cell>
          <cell r="J3251">
            <v>166750</v>
          </cell>
        </row>
        <row r="3257">
          <cell r="D3257">
            <v>12303.045</v>
          </cell>
          <cell r="I3257">
            <v>1809.09375</v>
          </cell>
          <cell r="J3257">
            <v>1809.3812499999999</v>
          </cell>
          <cell r="K3257">
            <v>2894.5500000000006</v>
          </cell>
          <cell r="L3257">
            <v>2895.24</v>
          </cell>
          <cell r="M3257">
            <v>2894.78</v>
          </cell>
        </row>
        <row r="3274">
          <cell r="D3274">
            <v>20125</v>
          </cell>
          <cell r="E3274"/>
          <cell r="F3274"/>
          <cell r="G3274"/>
          <cell r="H3274">
            <v>20125</v>
          </cell>
          <cell r="I3274"/>
          <cell r="J3274"/>
          <cell r="K3274"/>
          <cell r="L3274"/>
        </row>
        <row r="3275">
          <cell r="D3275"/>
        </row>
        <row r="3276">
          <cell r="D3276"/>
        </row>
        <row r="3277">
          <cell r="D3277"/>
        </row>
        <row r="3278">
          <cell r="D3278"/>
        </row>
        <row r="3279">
          <cell r="D3279"/>
        </row>
        <row r="3280">
          <cell r="D3280">
            <v>5031.25</v>
          </cell>
          <cell r="E3280"/>
          <cell r="F3280"/>
          <cell r="G3280"/>
          <cell r="H3280">
            <v>5031.25</v>
          </cell>
          <cell r="I3280"/>
          <cell r="J3280"/>
          <cell r="K3280"/>
          <cell r="L3280"/>
        </row>
        <row r="3281">
          <cell r="D3281"/>
        </row>
        <row r="3282">
          <cell r="D3282"/>
        </row>
        <row r="3283">
          <cell r="D3283"/>
        </row>
        <row r="3284">
          <cell r="D3284"/>
        </row>
        <row r="3285">
          <cell r="D3285">
            <v>14705.55107519531</v>
          </cell>
          <cell r="E3285"/>
          <cell r="F3285"/>
          <cell r="G3285"/>
          <cell r="H3285">
            <v>656.25</v>
          </cell>
          <cell r="I3285">
            <v>2017.96875</v>
          </cell>
          <cell r="J3285">
            <v>2757.890625</v>
          </cell>
          <cell r="K3285">
            <v>2261.4703124999996</v>
          </cell>
          <cell r="L3285">
            <v>4636.0141406249995</v>
          </cell>
          <cell r="M3285">
            <v>2375.9572470703115</v>
          </cell>
        </row>
        <row r="3286">
          <cell r="D3286"/>
        </row>
        <row r="3287">
          <cell r="D3287"/>
        </row>
        <row r="3288">
          <cell r="D3288"/>
        </row>
        <row r="3289">
          <cell r="D3289"/>
        </row>
        <row r="3290">
          <cell r="D3290"/>
        </row>
        <row r="3291">
          <cell r="D3291"/>
        </row>
        <row r="3292">
          <cell r="D3292">
            <v>36772.080812988272</v>
          </cell>
          <cell r="E3292"/>
          <cell r="F3292"/>
          <cell r="G3292"/>
          <cell r="H3292">
            <v>1312.5</v>
          </cell>
          <cell r="I3292">
            <v>5381.25</v>
          </cell>
          <cell r="J3292">
            <v>6894.7265625</v>
          </cell>
          <cell r="K3292">
            <v>5653.6757812499991</v>
          </cell>
          <cell r="L3292">
            <v>11590.035351562497</v>
          </cell>
          <cell r="M3292">
            <v>5939.8931176757787</v>
          </cell>
        </row>
        <row r="3293">
          <cell r="D3293"/>
        </row>
        <row r="3294">
          <cell r="D3294"/>
        </row>
        <row r="3295">
          <cell r="D3295"/>
        </row>
        <row r="3296">
          <cell r="D3296"/>
        </row>
        <row r="3297">
          <cell r="D3297"/>
        </row>
        <row r="3298">
          <cell r="D3298">
            <v>24164.510248535153</v>
          </cell>
          <cell r="E3298"/>
          <cell r="F3298"/>
          <cell r="G3298"/>
          <cell r="H3298">
            <v>862.5</v>
          </cell>
          <cell r="I3298">
            <v>3536.25</v>
          </cell>
          <cell r="J3298">
            <v>4530.8203125</v>
          </cell>
          <cell r="K3298">
            <v>3715.2726562499988</v>
          </cell>
          <cell r="L3298">
            <v>7616.3089453124985</v>
          </cell>
          <cell r="M3298">
            <v>3903.3583344726544</v>
          </cell>
        </row>
        <row r="3299">
          <cell r="D3299"/>
        </row>
        <row r="3300">
          <cell r="D3300"/>
        </row>
        <row r="3301">
          <cell r="D3301"/>
        </row>
        <row r="3302">
          <cell r="D3302"/>
        </row>
        <row r="3303">
          <cell r="D3303">
            <v>18168.30001927551</v>
          </cell>
          <cell r="E3303"/>
          <cell r="F3303"/>
          <cell r="G3303"/>
          <cell r="H3303"/>
          <cell r="J3303">
            <v>1413.4189453124998</v>
          </cell>
          <cell r="K3303">
            <v>4636.0141406249995</v>
          </cell>
          <cell r="L3303">
            <v>4751.914494140623</v>
          </cell>
          <cell r="M3303">
            <v>4870.7123564941394</v>
          </cell>
          <cell r="N3303">
            <v>2496.2400827032461</v>
          </cell>
        </row>
        <row r="3304">
          <cell r="D3304"/>
        </row>
        <row r="3305">
          <cell r="D3305"/>
        </row>
        <row r="3306">
          <cell r="D3306"/>
        </row>
        <row r="3307">
          <cell r="D3307"/>
        </row>
        <row r="3308">
          <cell r="D3308"/>
        </row>
        <row r="3309">
          <cell r="D3309">
            <v>11939.168584095332</v>
          </cell>
          <cell r="E3309"/>
          <cell r="F3309"/>
          <cell r="G3309"/>
          <cell r="H3309"/>
          <cell r="J3309">
            <v>928.8181640624997</v>
          </cell>
          <cell r="K3309">
            <v>3046.5235781249994</v>
          </cell>
          <cell r="L3309">
            <v>3122.6866675781234</v>
          </cell>
          <cell r="M3309">
            <v>3200.7538342675771</v>
          </cell>
          <cell r="N3309">
            <v>1640.3863400621333</v>
          </cell>
        </row>
        <row r="3310">
          <cell r="D3310"/>
        </row>
        <row r="3311">
          <cell r="D3311"/>
        </row>
        <row r="3312">
          <cell r="D3312"/>
        </row>
        <row r="3313">
          <cell r="D3313"/>
        </row>
        <row r="3314">
          <cell r="D3314">
            <v>260776.42155905816</v>
          </cell>
          <cell r="E3314"/>
          <cell r="F3314"/>
          <cell r="G3314"/>
          <cell r="H3314"/>
          <cell r="I3314">
            <v>28957.8515625</v>
          </cell>
          <cell r="J3314">
            <v>29681.797851562496</v>
          </cell>
          <cell r="K3314">
            <v>48678.148476562499</v>
          </cell>
          <cell r="L3314">
            <v>49895.102188476543</v>
          </cell>
          <cell r="M3314">
            <v>51142.479743188458</v>
          </cell>
          <cell r="N3314">
            <v>52421.041736768173</v>
          </cell>
        </row>
        <row r="3315">
          <cell r="D3315"/>
        </row>
        <row r="3316">
          <cell r="D3316"/>
        </row>
        <row r="3317">
          <cell r="D3317"/>
        </row>
        <row r="3318">
          <cell r="D3318"/>
        </row>
        <row r="3319">
          <cell r="D3319"/>
        </row>
        <row r="3320">
          <cell r="D3320">
            <v>71403.06780783736</v>
          </cell>
          <cell r="E3320"/>
          <cell r="F3320"/>
          <cell r="G3320"/>
          <cell r="H3320"/>
          <cell r="I3320">
            <v>7928.935546875</v>
          </cell>
          <cell r="J3320">
            <v>8127.1589355468741</v>
          </cell>
          <cell r="K3320">
            <v>13328.54065429687</v>
          </cell>
          <cell r="L3320">
            <v>13661.754170654291</v>
          </cell>
          <cell r="M3320">
            <v>14003.298024920648</v>
          </cell>
          <cell r="N3320">
            <v>14353.380475543667</v>
          </cell>
        </row>
        <row r="3321">
          <cell r="D3321"/>
        </row>
        <row r="3322">
          <cell r="D3322"/>
        </row>
        <row r="3323">
          <cell r="D3323"/>
        </row>
        <row r="3324">
          <cell r="D3324">
            <v>31500.684483630976</v>
          </cell>
          <cell r="E3324"/>
          <cell r="F3324"/>
          <cell r="G3324"/>
          <cell r="H3324"/>
          <cell r="I3324">
            <v>2757.890625</v>
          </cell>
          <cell r="J3324">
            <v>4946.9663085937491</v>
          </cell>
          <cell r="K3324">
            <v>8113.0247460937489</v>
          </cell>
          <cell r="L3324">
            <v>8315.8503647460911</v>
          </cell>
          <cell r="M3324">
            <v>4870.7123564941394</v>
          </cell>
          <cell r="N3324">
            <v>2496.2400827032461</v>
          </cell>
        </row>
        <row r="3325">
          <cell r="D3325"/>
        </row>
        <row r="3326">
          <cell r="D3326"/>
        </row>
        <row r="3327">
          <cell r="D3327"/>
        </row>
        <row r="3328">
          <cell r="D3328"/>
        </row>
        <row r="3329">
          <cell r="D3329"/>
        </row>
        <row r="3330">
          <cell r="D3330">
            <v>8625.1874181370513</v>
          </cell>
          <cell r="E3330"/>
          <cell r="F3330"/>
          <cell r="G3330"/>
          <cell r="H3330"/>
          <cell r="I3330">
            <v>755.13671875</v>
          </cell>
          <cell r="J3330">
            <v>1354.5264892578123</v>
          </cell>
          <cell r="K3330">
            <v>2221.4234423828116</v>
          </cell>
          <cell r="L3330">
            <v>2276.9590284423821</v>
          </cell>
          <cell r="M3330">
            <v>1333.6474309448238</v>
          </cell>
          <cell r="N3330">
            <v>683.49430835922226</v>
          </cell>
        </row>
        <row r="3331">
          <cell r="D3331"/>
        </row>
        <row r="3332">
          <cell r="D3332"/>
        </row>
        <row r="3333">
          <cell r="D3333"/>
        </row>
        <row r="3334">
          <cell r="D3334">
            <v>32691.09375</v>
          </cell>
          <cell r="H3334"/>
          <cell r="I3334">
            <v>16143.75</v>
          </cell>
          <cell r="J3334">
            <v>16547.34375</v>
          </cell>
        </row>
        <row r="3335">
          <cell r="D3335"/>
        </row>
        <row r="3336">
          <cell r="D3336"/>
        </row>
        <row r="3337">
          <cell r="D3337"/>
        </row>
        <row r="3338">
          <cell r="D3338"/>
        </row>
        <row r="3339">
          <cell r="D3339"/>
        </row>
        <row r="3340">
          <cell r="D3340">
            <v>8951.1328125</v>
          </cell>
          <cell r="H3340"/>
          <cell r="I3340">
            <v>4420.3125</v>
          </cell>
          <cell r="J3340">
            <v>4530.8203125</v>
          </cell>
        </row>
        <row r="3344">
          <cell r="D3344">
            <v>115000</v>
          </cell>
          <cell r="H3344">
            <v>11500</v>
          </cell>
          <cell r="I3344">
            <v>38640</v>
          </cell>
          <cell r="J3344">
            <v>38640</v>
          </cell>
          <cell r="K3344">
            <v>14720</v>
          </cell>
          <cell r="L3344">
            <v>11500</v>
          </cell>
        </row>
        <row r="3350">
          <cell r="D3350">
            <v>61333.333333333343</v>
          </cell>
          <cell r="J3350">
            <v>11500</v>
          </cell>
          <cell r="K3350">
            <v>15333.333333333334</v>
          </cell>
          <cell r="L3350">
            <v>15333.333333333334</v>
          </cell>
          <cell r="M3350">
            <v>15333.333333333334</v>
          </cell>
          <cell r="N3350">
            <v>3833.3333333333335</v>
          </cell>
        </row>
        <row r="3356">
          <cell r="D3356">
            <v>34500</v>
          </cell>
          <cell r="J3356">
            <v>5750</v>
          </cell>
          <cell r="K3356">
            <v>8625</v>
          </cell>
          <cell r="L3356">
            <v>8625</v>
          </cell>
          <cell r="M3356">
            <v>8625</v>
          </cell>
          <cell r="N3356">
            <v>2875</v>
          </cell>
        </row>
        <row r="3362">
          <cell r="D3362">
            <v>318420.625</v>
          </cell>
          <cell r="J3362">
            <v>66326.25</v>
          </cell>
          <cell r="K3362">
            <v>79608.75</v>
          </cell>
          <cell r="L3362">
            <v>79608.75</v>
          </cell>
          <cell r="M3362">
            <v>79608.75</v>
          </cell>
          <cell r="N3362">
            <v>13268.125</v>
          </cell>
        </row>
        <row r="3372">
          <cell r="C3372" t="str">
            <v xml:space="preserve">Activity 1.2: Augment national safety-at-sea initiatives 
</v>
          </cell>
        </row>
        <row r="3373">
          <cell r="C3373" t="str">
            <v>1.2a. Conduct a needs analysis for improved vessel safety for small-scale fishers using FADs.</v>
          </cell>
        </row>
        <row r="3375">
          <cell r="D3375">
            <v>86268.245645572635</v>
          </cell>
          <cell r="H3375">
            <v>29099.72982684743</v>
          </cell>
          <cell r="I3375">
            <v>28231.365836407502</v>
          </cell>
          <cell r="J3375">
            <v>28937.149982317693</v>
          </cell>
        </row>
        <row r="3381">
          <cell r="D3381">
            <v>2636.015625</v>
          </cell>
          <cell r="H3381">
            <v>319.44444444444446</v>
          </cell>
          <cell r="I3381">
            <v>1309.7222222222222</v>
          </cell>
          <cell r="J3381">
            <v>1006.8489583333334</v>
          </cell>
        </row>
        <row r="3386">
          <cell r="D3386">
            <v>1792.4906249999999</v>
          </cell>
          <cell r="H3386">
            <v>217.22222222222223</v>
          </cell>
          <cell r="I3386">
            <v>890.61111111111097</v>
          </cell>
          <cell r="J3386">
            <v>684.65729166666654</v>
          </cell>
        </row>
        <row r="3391">
          <cell r="D3391">
            <v>790.80468749999989</v>
          </cell>
          <cell r="H3391">
            <v>95.833333333333329</v>
          </cell>
          <cell r="I3391">
            <v>392.91666666666663</v>
          </cell>
          <cell r="J3391">
            <v>302.05468749999994</v>
          </cell>
        </row>
        <row r="3396">
          <cell r="D3396">
            <v>1028.04609375</v>
          </cell>
          <cell r="H3396">
            <v>124.58333333333333</v>
          </cell>
          <cell r="I3396">
            <v>510.79166666666663</v>
          </cell>
          <cell r="J3396">
            <v>392.67109375000001</v>
          </cell>
        </row>
        <row r="3401">
          <cell r="D3401">
            <v>2873.2570312500002</v>
          </cell>
          <cell r="H3401">
            <v>348.19444444444446</v>
          </cell>
          <cell r="I3401">
            <v>1427.5972222222219</v>
          </cell>
          <cell r="J3401">
            <v>1097.4653645833334</v>
          </cell>
        </row>
        <row r="3406">
          <cell r="D3406">
            <v>2036.3220703124996</v>
          </cell>
          <cell r="H3406">
            <v>246.77083333333334</v>
          </cell>
          <cell r="I3406">
            <v>1011.7604166666665</v>
          </cell>
          <cell r="J3406">
            <v>777.79082031249982</v>
          </cell>
        </row>
        <row r="3413">
          <cell r="D3413">
            <v>112746</v>
          </cell>
          <cell r="H3413"/>
          <cell r="I3413">
            <v>112746</v>
          </cell>
        </row>
        <row r="3425">
          <cell r="D3425">
            <v>64492</v>
          </cell>
          <cell r="H3425"/>
          <cell r="I3425">
            <v>64492</v>
          </cell>
        </row>
        <row r="3432">
          <cell r="D3432">
            <v>16189.125</v>
          </cell>
          <cell r="H3432"/>
          <cell r="I3432">
            <v>16189.125</v>
          </cell>
        </row>
        <row r="3438">
          <cell r="D3438">
            <v>10792.75</v>
          </cell>
          <cell r="H3438"/>
          <cell r="I3438">
            <v>10792.75</v>
          </cell>
        </row>
        <row r="3442">
          <cell r="D3442">
            <v>21585.5</v>
          </cell>
          <cell r="H3442"/>
          <cell r="I3442">
            <v>21585.5</v>
          </cell>
        </row>
        <row r="3446">
          <cell r="D3446">
            <v>10792.75</v>
          </cell>
          <cell r="H3446"/>
          <cell r="I3446">
            <v>10792.75</v>
          </cell>
        </row>
        <row r="3451">
          <cell r="D3451">
            <v>10792.75</v>
          </cell>
          <cell r="H3451"/>
          <cell r="I3451">
            <v>10792.75</v>
          </cell>
        </row>
        <row r="3456">
          <cell r="D3456">
            <v>21585.5</v>
          </cell>
          <cell r="H3456"/>
          <cell r="I3456">
            <v>21585.5</v>
          </cell>
        </row>
        <row r="3460">
          <cell r="D3460">
            <v>43171</v>
          </cell>
          <cell r="H3460"/>
          <cell r="I3460">
            <v>43171</v>
          </cell>
        </row>
        <row r="3465">
          <cell r="D3465">
            <v>32378.25</v>
          </cell>
          <cell r="H3465"/>
          <cell r="J3465">
            <v>16189.125</v>
          </cell>
          <cell r="K3465">
            <v>16189.125</v>
          </cell>
        </row>
        <row r="3469">
          <cell r="D3469">
            <v>151098.5</v>
          </cell>
          <cell r="H3469"/>
          <cell r="J3469">
            <v>75549.25</v>
          </cell>
          <cell r="K3469">
            <v>75549.25</v>
          </cell>
        </row>
        <row r="3473">
          <cell r="D3473">
            <v>64756.5</v>
          </cell>
          <cell r="H3473"/>
          <cell r="J3473">
            <v>32378.25</v>
          </cell>
          <cell r="K3473">
            <v>32378.25</v>
          </cell>
        </row>
        <row r="3478">
          <cell r="D3478">
            <v>10792.75</v>
          </cell>
          <cell r="H3478"/>
          <cell r="J3478">
            <v>10792.75</v>
          </cell>
        </row>
        <row r="3482">
          <cell r="D3482">
            <v>21585.5</v>
          </cell>
          <cell r="H3482"/>
          <cell r="J3482">
            <v>21585.5</v>
          </cell>
        </row>
        <row r="3486">
          <cell r="D3486">
            <v>10792.75</v>
          </cell>
          <cell r="H3486"/>
          <cell r="J3486">
            <v>10792.75</v>
          </cell>
        </row>
        <row r="3491">
          <cell r="D3491">
            <v>53963.75</v>
          </cell>
          <cell r="H3491"/>
          <cell r="L3491">
            <v>53963.75</v>
          </cell>
        </row>
        <row r="3496">
          <cell r="D3496">
            <v>32378.25</v>
          </cell>
          <cell r="H3496"/>
          <cell r="L3496">
            <v>32378.25</v>
          </cell>
        </row>
        <row r="3500">
          <cell r="D3500">
            <v>16189.125</v>
          </cell>
          <cell r="H3500"/>
          <cell r="L3500">
            <v>16189.125</v>
          </cell>
        </row>
        <row r="3505">
          <cell r="D3505">
            <v>41975</v>
          </cell>
          <cell r="H3505"/>
          <cell r="I3505">
            <v>13800</v>
          </cell>
          <cell r="J3505">
            <v>9200</v>
          </cell>
          <cell r="K3505">
            <v>10925</v>
          </cell>
          <cell r="L3505">
            <v>8050</v>
          </cell>
        </row>
        <row r="3516">
          <cell r="D3516">
            <v>74750</v>
          </cell>
          <cell r="H3516"/>
          <cell r="I3516"/>
          <cell r="J3516">
            <v>74750</v>
          </cell>
        </row>
        <row r="3521">
          <cell r="D3521">
            <v>5750</v>
          </cell>
          <cell r="H3521"/>
          <cell r="I3521"/>
          <cell r="J3521">
            <v>0</v>
          </cell>
          <cell r="K3521">
            <v>5750</v>
          </cell>
        </row>
        <row r="3527">
          <cell r="D3527">
            <v>60423.3</v>
          </cell>
          <cell r="H3527"/>
          <cell r="I3527">
            <v>60423.3</v>
          </cell>
        </row>
        <row r="3538">
          <cell r="D3538">
            <v>184000</v>
          </cell>
          <cell r="H3538"/>
          <cell r="I3538">
            <v>34500</v>
          </cell>
          <cell r="J3538">
            <v>57500</v>
          </cell>
          <cell r="K3538">
            <v>57500</v>
          </cell>
          <cell r="L3538">
            <v>34500</v>
          </cell>
        </row>
        <row r="3542">
          <cell r="D3542">
            <v>46000</v>
          </cell>
          <cell r="H3542"/>
          <cell r="I3542">
            <v>8625</v>
          </cell>
          <cell r="J3542">
            <v>14375</v>
          </cell>
          <cell r="K3542">
            <v>14375</v>
          </cell>
          <cell r="L3542">
            <v>8625</v>
          </cell>
        </row>
        <row r="3547">
          <cell r="D3547">
            <v>161000</v>
          </cell>
          <cell r="H3547"/>
          <cell r="K3547">
            <v>161000</v>
          </cell>
          <cell r="L3547"/>
        </row>
        <row r="3551">
          <cell r="D3551">
            <v>40250</v>
          </cell>
          <cell r="H3551"/>
          <cell r="K3551">
            <v>40250</v>
          </cell>
        </row>
        <row r="3557">
          <cell r="D3557">
            <v>92000</v>
          </cell>
          <cell r="H3557"/>
          <cell r="J3557">
            <v>46000</v>
          </cell>
          <cell r="K3557">
            <v>46000</v>
          </cell>
        </row>
        <row r="3561">
          <cell r="D3561">
            <v>57500</v>
          </cell>
          <cell r="H3561"/>
          <cell r="I3561">
            <v>57500</v>
          </cell>
          <cell r="L3561"/>
        </row>
        <row r="3565">
          <cell r="D3565">
            <v>23000</v>
          </cell>
          <cell r="H3565"/>
          <cell r="I3565">
            <v>23000</v>
          </cell>
          <cell r="K3565"/>
          <cell r="L3565"/>
        </row>
        <row r="3569">
          <cell r="D3569">
            <v>69000</v>
          </cell>
          <cell r="H3569"/>
          <cell r="I3569"/>
          <cell r="J3569">
            <v>69000</v>
          </cell>
          <cell r="K3569"/>
          <cell r="L3569"/>
        </row>
        <row r="3574">
          <cell r="D3574">
            <v>88301.599999999991</v>
          </cell>
          <cell r="H3574"/>
          <cell r="I3574">
            <v>42295.85</v>
          </cell>
          <cell r="J3574">
            <v>19560.349999999999</v>
          </cell>
          <cell r="K3574">
            <v>16279.4</v>
          </cell>
          <cell r="L3574">
            <v>10166</v>
          </cell>
        </row>
        <row r="3591">
          <cell r="C3591" t="str">
            <v xml:space="preserve">1.2b. Customize meteorological and natural disaster forecasts to assist small-scale fishers and deliver the information nationwide via mobile applications. </v>
          </cell>
        </row>
        <row r="3595">
          <cell r="D3595">
            <v>202373.55</v>
          </cell>
          <cell r="H3595">
            <v>29621.7</v>
          </cell>
          <cell r="I3595">
            <v>63224.7</v>
          </cell>
          <cell r="J3595">
            <v>65139.45</v>
          </cell>
          <cell r="K3595">
            <v>35446.449999999997</v>
          </cell>
          <cell r="L3595">
            <v>8941.25</v>
          </cell>
          <cell r="O3595"/>
        </row>
        <row r="3606">
          <cell r="D3606">
            <v>41400</v>
          </cell>
          <cell r="H3606">
            <v>13800</v>
          </cell>
          <cell r="I3606">
            <v>13800</v>
          </cell>
          <cell r="J3606">
            <v>8280</v>
          </cell>
          <cell r="K3606">
            <v>5520</v>
          </cell>
          <cell r="O3606"/>
        </row>
        <row r="3607">
          <cell r="D3607"/>
        </row>
        <row r="3619">
          <cell r="D3619">
            <v>585350</v>
          </cell>
          <cell r="I3619">
            <v>159850</v>
          </cell>
          <cell r="J3619">
            <v>258750</v>
          </cell>
          <cell r="K3619">
            <v>166750</v>
          </cell>
        </row>
        <row r="3628">
          <cell r="D3628">
            <v>223034.45</v>
          </cell>
          <cell r="H3628">
            <v>53360</v>
          </cell>
          <cell r="I3628">
            <v>56263.75</v>
          </cell>
          <cell r="J3628">
            <v>56263.75</v>
          </cell>
          <cell r="K3628">
            <v>36735.599999999999</v>
          </cell>
          <cell r="L3628">
            <v>20411.349999999999</v>
          </cell>
          <cell r="O3628"/>
        </row>
        <row r="3629">
          <cell r="D3629"/>
        </row>
        <row r="3630">
          <cell r="D3630"/>
        </row>
        <row r="3631">
          <cell r="D3631"/>
        </row>
        <row r="3638">
          <cell r="C3638" t="str">
            <v>1.2c. Support procurement and delivery of boating safety equipment, linked to vessel registration where practical.</v>
          </cell>
        </row>
        <row r="3642">
          <cell r="D3642">
            <v>24150</v>
          </cell>
          <cell r="I3642">
            <v>6900</v>
          </cell>
          <cell r="J3642">
            <v>17250</v>
          </cell>
          <cell r="M3642">
            <v>0</v>
          </cell>
          <cell r="N3642">
            <v>0</v>
          </cell>
          <cell r="O3642">
            <v>0</v>
          </cell>
        </row>
        <row r="3643">
          <cell r="D3643"/>
        </row>
        <row r="3644">
          <cell r="D3644"/>
        </row>
        <row r="3648">
          <cell r="D3648">
            <v>531300</v>
          </cell>
          <cell r="I3648">
            <v>280025</v>
          </cell>
          <cell r="J3648">
            <v>251275</v>
          </cell>
          <cell r="K3648">
            <v>0</v>
          </cell>
          <cell r="L3648">
            <v>0</v>
          </cell>
          <cell r="M3648">
            <v>0</v>
          </cell>
          <cell r="O3648"/>
        </row>
        <row r="3649">
          <cell r="D3649"/>
        </row>
        <row r="3663">
          <cell r="D3663"/>
        </row>
        <row r="3664">
          <cell r="D3664"/>
        </row>
        <row r="3667">
          <cell r="D3667">
            <v>20700</v>
          </cell>
          <cell r="I3667">
            <v>20700</v>
          </cell>
          <cell r="J3667"/>
          <cell r="O3667"/>
        </row>
        <row r="3674">
          <cell r="D3674">
            <v>269100</v>
          </cell>
          <cell r="I3674">
            <v>165600</v>
          </cell>
          <cell r="J3674"/>
          <cell r="K3674">
            <v>103500</v>
          </cell>
          <cell r="O3674"/>
        </row>
        <row r="3688">
          <cell r="D3688"/>
        </row>
        <row r="3689">
          <cell r="D3689"/>
        </row>
        <row r="3701">
          <cell r="C3701" t="str">
            <v>1.2d Provide training in the use of the boating safety equipment.</v>
          </cell>
        </row>
        <row r="3706">
          <cell r="D3706">
            <v>17250</v>
          </cell>
          <cell r="K3706">
            <v>17250</v>
          </cell>
        </row>
        <row r="3714">
          <cell r="D3714">
            <v>81683.3</v>
          </cell>
          <cell r="K3714">
            <v>81683.3</v>
          </cell>
          <cell r="O3714"/>
        </row>
        <row r="3715">
          <cell r="D3715"/>
        </row>
        <row r="3716">
          <cell r="D3716"/>
        </row>
        <row r="3717">
          <cell r="D3717"/>
        </row>
        <row r="3718">
          <cell r="D3718"/>
        </row>
        <row r="3719">
          <cell r="D3719"/>
        </row>
        <row r="3720">
          <cell r="D3720"/>
        </row>
        <row r="3721">
          <cell r="D3721"/>
        </row>
        <row r="3722">
          <cell r="D3722"/>
        </row>
        <row r="3723">
          <cell r="D3723"/>
        </row>
        <row r="3724">
          <cell r="D3724"/>
        </row>
        <row r="3725">
          <cell r="D3725"/>
        </row>
        <row r="3726">
          <cell r="D3726"/>
        </row>
        <row r="3727">
          <cell r="D3727"/>
        </row>
        <row r="3728">
          <cell r="D3728"/>
        </row>
        <row r="3732">
          <cell r="D3732">
            <v>182774.75</v>
          </cell>
          <cell r="J3732">
            <v>10180.950000000001</v>
          </cell>
          <cell r="K3732">
            <v>44391.45</v>
          </cell>
          <cell r="L3732">
            <v>76303.55</v>
          </cell>
          <cell r="M3732">
            <v>51898.8</v>
          </cell>
          <cell r="O3732"/>
        </row>
        <row r="3733">
          <cell r="D3733"/>
        </row>
        <row r="3734">
          <cell r="D3734"/>
        </row>
        <row r="3735">
          <cell r="D3735"/>
        </row>
        <row r="3736">
          <cell r="D3736"/>
        </row>
        <row r="3737">
          <cell r="D3737"/>
        </row>
        <row r="3738">
          <cell r="D3738"/>
        </row>
        <row r="3739">
          <cell r="D3739"/>
        </row>
        <row r="3740">
          <cell r="D3740"/>
        </row>
        <row r="3741">
          <cell r="D3741"/>
        </row>
        <row r="3742">
          <cell r="D3742"/>
        </row>
        <row r="3743">
          <cell r="D3743"/>
        </row>
        <row r="3744">
          <cell r="D3744"/>
        </row>
        <row r="3745">
          <cell r="D3745"/>
        </row>
        <row r="3746">
          <cell r="D3746"/>
        </row>
        <row r="3750">
          <cell r="D3750">
            <v>5750</v>
          </cell>
          <cell r="I3750"/>
          <cell r="J3750"/>
          <cell r="K3750">
            <v>5750</v>
          </cell>
          <cell r="L3750"/>
          <cell r="M3750"/>
          <cell r="O3750"/>
        </row>
        <row r="3754">
          <cell r="D3754">
            <v>2012.5</v>
          </cell>
          <cell r="I3754"/>
          <cell r="J3754"/>
          <cell r="K3754">
            <v>2012.5</v>
          </cell>
          <cell r="L3754"/>
          <cell r="M3754"/>
          <cell r="O3754"/>
        </row>
        <row r="3764">
          <cell r="C3764" t="str">
            <v>Activity 1.3: Strengthen post-harvest practices and improve market opportunities for FAD-caught fish</v>
          </cell>
        </row>
        <row r="3765">
          <cell r="C3765" t="str">
            <v>1.3a. Provide training to improve preservation of FAD-caught fish using post-harvest methods, e.g., drying, smoking and bottling.</v>
          </cell>
        </row>
        <row r="3766">
          <cell r="D3766">
            <v>282725.76008261205</v>
          </cell>
          <cell r="I3766">
            <v>44661.838026578334</v>
          </cell>
          <cell r="J3766">
            <v>45778.383977242775</v>
          </cell>
          <cell r="K3766">
            <v>49516.103890736347</v>
          </cell>
          <cell r="L3766">
            <v>50754.00648800475</v>
          </cell>
          <cell r="M3766">
            <v>52022.856650204871</v>
          </cell>
          <cell r="N3766">
            <v>39992.571049844992</v>
          </cell>
          <cell r="O3766"/>
        </row>
        <row r="3774">
          <cell r="D3774">
            <v>293250</v>
          </cell>
          <cell r="I3774">
            <v>40250</v>
          </cell>
          <cell r="J3774">
            <v>51750</v>
          </cell>
          <cell r="K3774">
            <v>51750</v>
          </cell>
          <cell r="L3774">
            <v>74750</v>
          </cell>
          <cell r="M3774">
            <v>74750</v>
          </cell>
        </row>
        <row r="3775">
          <cell r="D3775"/>
        </row>
        <row r="3776">
          <cell r="D3776"/>
        </row>
        <row r="3777">
          <cell r="D3777"/>
        </row>
        <row r="3780">
          <cell r="D3780">
            <v>62100</v>
          </cell>
          <cell r="I3780">
            <v>6900</v>
          </cell>
          <cell r="J3780">
            <v>6900</v>
          </cell>
          <cell r="K3780">
            <v>13800</v>
          </cell>
          <cell r="L3780">
            <v>13800</v>
          </cell>
          <cell r="M3780">
            <v>13800</v>
          </cell>
          <cell r="N3780">
            <v>6900</v>
          </cell>
          <cell r="O3780"/>
        </row>
        <row r="3787">
          <cell r="D3787">
            <v>146994.25</v>
          </cell>
          <cell r="I3787">
            <v>18772.7</v>
          </cell>
          <cell r="J3787">
            <v>29788.45</v>
          </cell>
          <cell r="K3787">
            <v>38205.300000000003</v>
          </cell>
          <cell r="L3787">
            <v>29788.45</v>
          </cell>
          <cell r="M3787">
            <v>30439.35</v>
          </cell>
          <cell r="O3787"/>
        </row>
        <row r="3788">
          <cell r="D3788"/>
        </row>
        <row r="3789">
          <cell r="D3789"/>
        </row>
        <row r="3790">
          <cell r="D3790"/>
        </row>
        <row r="3791">
          <cell r="D3791"/>
        </row>
        <row r="3792">
          <cell r="D3792"/>
        </row>
        <row r="3793">
          <cell r="D3793"/>
        </row>
        <row r="3794">
          <cell r="D3794"/>
        </row>
        <row r="3795">
          <cell r="D3795"/>
        </row>
        <row r="3796">
          <cell r="D3796"/>
        </row>
        <row r="3797">
          <cell r="D3797"/>
        </row>
        <row r="3798">
          <cell r="D3798"/>
        </row>
        <row r="3799">
          <cell r="D3799"/>
        </row>
        <row r="3800">
          <cell r="D3800"/>
        </row>
        <row r="3801">
          <cell r="D3801"/>
        </row>
        <row r="3805">
          <cell r="D3805">
            <v>173438.13390051268</v>
          </cell>
          <cell r="H3805"/>
          <cell r="I3805">
            <v>16547.34375</v>
          </cell>
          <cell r="J3805">
            <v>33114.386718749993</v>
          </cell>
          <cell r="K3805">
            <v>45808.234960937494</v>
          </cell>
          <cell r="L3805">
            <v>35639.358706054678</v>
          </cell>
          <cell r="M3805">
            <v>42328.809764770493</v>
          </cell>
          <cell r="N3805"/>
          <cell r="O3805"/>
        </row>
        <row r="3811">
          <cell r="D3811">
            <v>115057.58652542722</v>
          </cell>
          <cell r="H3811"/>
          <cell r="I3811">
            <v>10873.96875</v>
          </cell>
          <cell r="J3811">
            <v>22291.635937499992</v>
          </cell>
          <cell r="K3811">
            <v>30465.235781249994</v>
          </cell>
          <cell r="L3811">
            <v>23420.150006835927</v>
          </cell>
          <cell r="M3811">
            <v>28006.596049841301</v>
          </cell>
          <cell r="N3811"/>
          <cell r="O3811"/>
        </row>
        <row r="3821">
          <cell r="C3821" t="str">
            <v xml:space="preserve">1.3b. Provide communities with basic equipment to apply post-harvest methods, including practical options for cold storage where appropriate.  </v>
          </cell>
        </row>
        <row r="3822">
          <cell r="D3822">
            <v>282725.76008261205</v>
          </cell>
          <cell r="I3822">
            <v>44661.838026578334</v>
          </cell>
          <cell r="J3822">
            <v>45778.383977242775</v>
          </cell>
          <cell r="K3822">
            <v>49516.103890736347</v>
          </cell>
          <cell r="L3822">
            <v>50754.00648800475</v>
          </cell>
          <cell r="M3822">
            <v>52022.856650204871</v>
          </cell>
          <cell r="N3822">
            <v>39992.571049844992</v>
          </cell>
          <cell r="O3822"/>
        </row>
        <row r="3830">
          <cell r="D3830">
            <v>1150000</v>
          </cell>
          <cell r="I3830">
            <v>115000</v>
          </cell>
          <cell r="J3830">
            <v>345000</v>
          </cell>
          <cell r="K3830">
            <v>345000</v>
          </cell>
          <cell r="L3830">
            <v>230000</v>
          </cell>
          <cell r="M3830">
            <v>115000</v>
          </cell>
          <cell r="O3830"/>
        </row>
        <row r="3831">
          <cell r="D3831"/>
        </row>
        <row r="3832">
          <cell r="D3832"/>
        </row>
        <row r="3842">
          <cell r="C3842" t="str">
            <v>1.3c. Identify and promote market opportunities for FAD-caught fish for small- and medium-scale enterprises (SMEs).</v>
          </cell>
        </row>
        <row r="3846">
          <cell r="D3846">
            <v>150000</v>
          </cell>
          <cell r="J3846">
            <v>25000</v>
          </cell>
          <cell r="K3846">
            <v>25000</v>
          </cell>
          <cell r="L3846">
            <v>50000</v>
          </cell>
          <cell r="M3846">
            <v>50000</v>
          </cell>
          <cell r="O3846"/>
        </row>
        <row r="3860">
          <cell r="C3860" t="str">
            <v>1.3d. Conduct communication campaigns to raise community awareness about climate change impacts on reef fish and the need to consume more tuna.</v>
          </cell>
        </row>
        <row r="3869">
          <cell r="D3869">
            <v>1035000</v>
          </cell>
          <cell r="H3869"/>
          <cell r="I3869">
            <v>172500</v>
          </cell>
          <cell r="J3869">
            <v>172500</v>
          </cell>
          <cell r="K3869">
            <v>172500</v>
          </cell>
          <cell r="L3869">
            <v>172500</v>
          </cell>
          <cell r="M3869">
            <v>172500</v>
          </cell>
          <cell r="N3869">
            <v>172500</v>
          </cell>
        </row>
        <row r="3883">
          <cell r="D3883">
            <v>40039400.660529718</v>
          </cell>
        </row>
        <row r="3889">
          <cell r="C3889" t="str">
            <v>Activity 2.1: Implement strategies to deliver more transshipped and unloaded bycatch and tuna to urban/peri-urban communities</v>
          </cell>
        </row>
        <row r="3891">
          <cell r="C3891" t="str">
            <v xml:space="preserve">2.1a. Assess the supply of bycatch and tuna available for offloading at each transhipping and unloading port. </v>
          </cell>
        </row>
        <row r="3893">
          <cell r="D3893">
            <v>101589.64865900879</v>
          </cell>
          <cell r="H3893">
            <v>50167.727732843843</v>
          </cell>
          <cell r="I3893">
            <v>51421.920926164945</v>
          </cell>
        </row>
        <row r="3899">
          <cell r="D3899">
            <v>95140.757721508795</v>
          </cell>
          <cell r="H3899">
            <v>46983.090232843846</v>
          </cell>
          <cell r="I3899">
            <v>48157.667488664942</v>
          </cell>
        </row>
        <row r="3913">
          <cell r="D3913">
            <v>40807.206475295556</v>
          </cell>
          <cell r="H3913">
            <v>20509.115543355831</v>
          </cell>
          <cell r="I3913">
            <v>20298.090931939725</v>
          </cell>
        </row>
        <row r="3919">
          <cell r="D3919">
            <v>56177.459982427914</v>
          </cell>
          <cell r="H3919">
            <v>18893.431141779645</v>
          </cell>
          <cell r="I3919">
            <v>37284.028840648265</v>
          </cell>
        </row>
        <row r="3925">
          <cell r="D3925">
            <v>70373.734829210822</v>
          </cell>
          <cell r="H3925">
            <v>33089.705988562564</v>
          </cell>
          <cell r="I3925">
            <v>37284.028840648265</v>
          </cell>
        </row>
        <row r="3933">
          <cell r="D3933">
            <v>20298.090931939725</v>
          </cell>
          <cell r="I3933">
            <v>20298.090931939725</v>
          </cell>
        </row>
        <row r="3939">
          <cell r="D3939">
            <v>48157.667488664942</v>
          </cell>
          <cell r="I3939">
            <v>48157.667488664942</v>
          </cell>
        </row>
        <row r="3945">
          <cell r="D3945">
            <v>48157.667488664942</v>
          </cell>
          <cell r="I3945">
            <v>48157.667488664942</v>
          </cell>
        </row>
        <row r="3951">
          <cell r="D3951">
            <v>52661.789823472398</v>
          </cell>
          <cell r="I3951">
            <v>52661.789823472398</v>
          </cell>
        </row>
        <row r="3958">
          <cell r="D3958">
            <v>175870.78096396447</v>
          </cell>
          <cell r="I3958">
            <v>45222.09237227658</v>
          </cell>
          <cell r="J3958">
            <v>52634.079571409355</v>
          </cell>
          <cell r="K3958">
            <v>22624.661327414939</v>
          </cell>
          <cell r="L3958">
            <v>18424.021032566823</v>
          </cell>
          <cell r="M3958">
            <v>18462.991146670334</v>
          </cell>
          <cell r="N3958">
            <v>18502.935513626442</v>
          </cell>
        </row>
        <row r="3964">
          <cell r="D3964">
            <v>161415.22850707866</v>
          </cell>
          <cell r="I3964">
            <v>40948.204257873462</v>
          </cell>
          <cell r="J3964">
            <v>47612.261036985685</v>
          </cell>
          <cell r="K3964">
            <v>20470.7997964272</v>
          </cell>
          <cell r="L3964">
            <v>17031.973473941827</v>
          </cell>
          <cell r="M3964">
            <v>17457.772810790371</v>
          </cell>
          <cell r="N3964">
            <v>17894.21713106013</v>
          </cell>
        </row>
        <row r="3970">
          <cell r="D3970">
            <v>167552.35156869362</v>
          </cell>
          <cell r="H3970">
            <v>0</v>
          </cell>
          <cell r="I3970">
            <v>48157.667488664942</v>
          </cell>
          <cell r="J3970">
            <v>49361.60917588156</v>
          </cell>
          <cell r="K3970">
            <v>16865.216468426199</v>
          </cell>
          <cell r="L3970">
            <v>17286.846880136851</v>
          </cell>
          <cell r="M3970">
            <v>17719.018052140273</v>
          </cell>
          <cell r="N3970">
            <v>18161.993503443777</v>
          </cell>
        </row>
        <row r="3977">
          <cell r="D3977">
            <v>107294.70190571691</v>
          </cell>
          <cell r="I3977">
            <v>15074.030790758858</v>
          </cell>
          <cell r="J3977">
            <v>17544.693190469781</v>
          </cell>
          <cell r="K3977">
            <v>17983.310520231527</v>
          </cell>
          <cell r="L3977">
            <v>18432.893283237314</v>
          </cell>
          <cell r="M3977">
            <v>18893.715615318244</v>
          </cell>
          <cell r="N3977">
            <v>19366.058505701199</v>
          </cell>
        </row>
        <row r="3983">
          <cell r="D3983">
            <v>102539.50045899593</v>
          </cell>
          <cell r="H3983">
            <v>0</v>
          </cell>
          <cell r="I3983">
            <v>16052.55582955498</v>
          </cell>
          <cell r="J3983">
            <v>16453.869725293851</v>
          </cell>
          <cell r="K3983">
            <v>16865.216468426199</v>
          </cell>
          <cell r="L3983">
            <v>17286.846880136851</v>
          </cell>
          <cell r="M3983">
            <v>17719.018052140273</v>
          </cell>
          <cell r="N3983">
            <v>18161.993503443777</v>
          </cell>
        </row>
        <row r="3993">
          <cell r="D3993">
            <v>2875</v>
          </cell>
          <cell r="I3993">
            <v>2875</v>
          </cell>
        </row>
        <row r="3999">
          <cell r="D3999">
            <v>28007.700644531247</v>
          </cell>
          <cell r="H3999"/>
          <cell r="I3999">
            <v>9206.9</v>
          </cell>
          <cell r="J3999">
            <v>9437.0724999999984</v>
          </cell>
          <cell r="K3999">
            <v>2416.4375</v>
          </cell>
          <cell r="L3999">
            <v>2476.8484374999998</v>
          </cell>
          <cell r="M3999">
            <v>2207.6257812499998</v>
          </cell>
          <cell r="N3999">
            <v>2262.8164257812496</v>
          </cell>
        </row>
        <row r="4008">
          <cell r="D4008">
            <v>143487.41074581002</v>
          </cell>
          <cell r="I4008">
            <v>22462.95</v>
          </cell>
          <cell r="J4008">
            <v>23024.523749999997</v>
          </cell>
          <cell r="K4008">
            <v>23600.136843749995</v>
          </cell>
          <cell r="L4008">
            <v>24190.140264843743</v>
          </cell>
          <cell r="M4008">
            <v>24794.893771464838</v>
          </cell>
          <cell r="N4008">
            <v>25414.766115751452</v>
          </cell>
        </row>
        <row r="4009">
          <cell r="D4009"/>
        </row>
        <row r="4010">
          <cell r="D4010"/>
        </row>
        <row r="4011">
          <cell r="D4011"/>
        </row>
        <row r="4012">
          <cell r="D4012"/>
        </row>
        <row r="4013">
          <cell r="D4013"/>
        </row>
        <row r="4014">
          <cell r="D4014"/>
        </row>
        <row r="4015">
          <cell r="D4015"/>
        </row>
        <row r="4016">
          <cell r="D4016"/>
        </row>
        <row r="4017">
          <cell r="D4017"/>
        </row>
        <row r="4018">
          <cell r="D4018"/>
        </row>
        <row r="4026">
          <cell r="D4026">
            <v>71750</v>
          </cell>
          <cell r="H4026"/>
          <cell r="I4026">
            <v>71750</v>
          </cell>
          <cell r="K4026"/>
          <cell r="L4026"/>
          <cell r="M4026"/>
          <cell r="N4026"/>
        </row>
        <row r="4027">
          <cell r="D4027"/>
        </row>
        <row r="4028">
          <cell r="D4028"/>
        </row>
        <row r="4029">
          <cell r="D4029"/>
        </row>
        <row r="4030">
          <cell r="D4030"/>
        </row>
        <row r="4031">
          <cell r="D4031"/>
        </row>
        <row r="4032">
          <cell r="D4032"/>
        </row>
        <row r="4033">
          <cell r="D4033">
            <v>4125.625</v>
          </cell>
          <cell r="I4033">
            <v>4125.625</v>
          </cell>
        </row>
        <row r="4040">
          <cell r="D4040">
            <v>213336.45220092774</v>
          </cell>
          <cell r="H4040">
            <v>69000</v>
          </cell>
          <cell r="I4040">
            <v>61500</v>
          </cell>
          <cell r="J4040">
            <v>15759.375</v>
          </cell>
          <cell r="K4040">
            <v>16153.359374999996</v>
          </cell>
          <cell r="L4040">
            <v>16557.193359374996</v>
          </cell>
          <cell r="M4040">
            <v>16971.12319335937</v>
          </cell>
          <cell r="N4040">
            <v>17395.401273193354</v>
          </cell>
        </row>
        <row r="4041">
          <cell r="D4041"/>
        </row>
        <row r="4042">
          <cell r="D4042"/>
        </row>
        <row r="4043">
          <cell r="D4043"/>
        </row>
        <row r="4044">
          <cell r="D4044"/>
        </row>
        <row r="4045">
          <cell r="D4045"/>
        </row>
        <row r="4047">
          <cell r="D4047">
            <v>11749.346001553344</v>
          </cell>
          <cell r="H4047">
            <v>3450</v>
          </cell>
          <cell r="I4047">
            <v>3536.25</v>
          </cell>
          <cell r="J4047">
            <v>906.1640625</v>
          </cell>
          <cell r="K4047">
            <v>928.8181640624997</v>
          </cell>
          <cell r="L4047">
            <v>952.03861816406231</v>
          </cell>
          <cell r="M4047">
            <v>975.8395836181636</v>
          </cell>
          <cell r="N4047">
            <v>1000.2355732086178</v>
          </cell>
        </row>
        <row r="4054">
          <cell r="D4054">
            <v>330565.37570068357</v>
          </cell>
          <cell r="I4054">
            <v>51750</v>
          </cell>
          <cell r="J4054">
            <v>53043.749999999993</v>
          </cell>
          <cell r="K4054">
            <v>54369.843749999985</v>
          </cell>
          <cell r="L4054">
            <v>55729.089843749985</v>
          </cell>
          <cell r="M4054">
            <v>57122.317089843724</v>
          </cell>
          <cell r="N4054">
            <v>58550.375017089813</v>
          </cell>
        </row>
        <row r="4065">
          <cell r="C4065" t="str">
            <v xml:space="preserve">
2.1b Assess the projected shortfalls in the supply of fish needed for the food security of urban and peri-urban communities by 2030 and in following decades.</v>
          </cell>
        </row>
        <row r="4067">
          <cell r="D4067">
            <v>13355.064980035204</v>
          </cell>
          <cell r="I4067">
            <v>6595.0938173013355</v>
          </cell>
          <cell r="J4067">
            <v>6759.9711627338693</v>
          </cell>
        </row>
        <row r="4076">
          <cell r="D4076">
            <v>478619.11170894565</v>
          </cell>
          <cell r="I4076">
            <v>115260.03871663836</v>
          </cell>
          <cell r="J4076">
            <v>118141.5396845543</v>
          </cell>
          <cell r="K4076">
            <v>121095.07817666816</v>
          </cell>
          <cell r="L4076">
            <v>124122.45513108485</v>
          </cell>
        </row>
        <row r="4082">
          <cell r="D4082">
            <v>64954.023281250003</v>
          </cell>
          <cell r="H4082">
            <v>4772.5</v>
          </cell>
          <cell r="I4082">
            <v>19567.25</v>
          </cell>
          <cell r="J4082">
            <v>20056.431250000001</v>
          </cell>
          <cell r="K4082">
            <v>20557.842031249998</v>
          </cell>
          <cell r="L4082"/>
        </row>
        <row r="4087">
          <cell r="D4087">
            <v>78257.859375</v>
          </cell>
          <cell r="H4087">
            <v>5750</v>
          </cell>
          <cell r="I4087">
            <v>23575</v>
          </cell>
          <cell r="J4087">
            <v>24164.374999999996</v>
          </cell>
          <cell r="K4087">
            <v>24768.484374999993</v>
          </cell>
          <cell r="L4087"/>
        </row>
        <row r="4092">
          <cell r="D4092">
            <v>43041.822656249984</v>
          </cell>
          <cell r="H4092">
            <v>3162.5</v>
          </cell>
          <cell r="I4092">
            <v>12966.249999999998</v>
          </cell>
          <cell r="J4092">
            <v>13290.406249999996</v>
          </cell>
          <cell r="K4092">
            <v>13622.666406249993</v>
          </cell>
          <cell r="L4092"/>
        </row>
        <row r="4097">
          <cell r="D4097">
            <v>43041.822656249984</v>
          </cell>
          <cell r="H4097">
            <v>3162.5</v>
          </cell>
          <cell r="I4097">
            <v>12966.249999999998</v>
          </cell>
          <cell r="J4097">
            <v>13290.406249999996</v>
          </cell>
          <cell r="K4097">
            <v>13622.666406249993</v>
          </cell>
          <cell r="L4097"/>
        </row>
        <row r="4102">
          <cell r="D4102">
            <v>86083.645312499968</v>
          </cell>
          <cell r="H4102">
            <v>6325</v>
          </cell>
          <cell r="I4102">
            <v>25932.499999999996</v>
          </cell>
          <cell r="J4102">
            <v>26580.812499999993</v>
          </cell>
          <cell r="K4102">
            <v>27245.332812499986</v>
          </cell>
          <cell r="L4102"/>
        </row>
        <row r="4107">
          <cell r="D4107">
            <v>49004.702031249988</v>
          </cell>
          <cell r="H4107">
            <v>3910</v>
          </cell>
          <cell r="I4107">
            <v>16030.999999999998</v>
          </cell>
          <cell r="J4107">
            <v>16431.774999999994</v>
          </cell>
          <cell r="K4107">
            <v>12631.927031249996</v>
          </cell>
          <cell r="L4107"/>
        </row>
        <row r="4112">
          <cell r="D4112">
            <v>59475.973124999982</v>
          </cell>
          <cell r="H4112">
            <v>4370</v>
          </cell>
          <cell r="I4112">
            <v>17916.999999999996</v>
          </cell>
          <cell r="J4112">
            <v>18364.924999999996</v>
          </cell>
          <cell r="K4112">
            <v>18824.048124999994</v>
          </cell>
          <cell r="L4112"/>
        </row>
        <row r="4117">
          <cell r="D4117">
            <v>105648.11015624998</v>
          </cell>
          <cell r="H4117">
            <v>7762.5</v>
          </cell>
          <cell r="I4117">
            <v>31826.249999999996</v>
          </cell>
          <cell r="J4117">
            <v>32621.906249999993</v>
          </cell>
          <cell r="K4117">
            <v>33437.45390624999</v>
          </cell>
          <cell r="L4117"/>
        </row>
        <row r="4122">
          <cell r="D4122">
            <v>48284.044648437484</v>
          </cell>
          <cell r="H4122">
            <v>3852.5</v>
          </cell>
          <cell r="I4122">
            <v>15795.249999999998</v>
          </cell>
          <cell r="J4122">
            <v>16190.131249999995</v>
          </cell>
          <cell r="K4122">
            <v>12446.163398437497</v>
          </cell>
          <cell r="L4122"/>
        </row>
        <row r="4127">
          <cell r="D4127">
            <v>51063.253242187493</v>
          </cell>
          <cell r="H4127">
            <v>3751.875</v>
          </cell>
          <cell r="I4127">
            <v>15382.687499999998</v>
          </cell>
          <cell r="J4127">
            <v>15767.254687499995</v>
          </cell>
          <cell r="K4127">
            <v>16161.436054687496</v>
          </cell>
          <cell r="L4127"/>
        </row>
        <row r="4132">
          <cell r="D4132">
            <v>23477.357812499995</v>
          </cell>
          <cell r="H4132">
            <v>1725</v>
          </cell>
          <cell r="I4132">
            <v>7072.4999999999991</v>
          </cell>
          <cell r="J4132">
            <v>7249.3124999999982</v>
          </cell>
          <cell r="K4132">
            <v>7430.5453124999967</v>
          </cell>
          <cell r="L4132"/>
        </row>
        <row r="4137">
          <cell r="D4137">
            <v>30520.565156249992</v>
          </cell>
          <cell r="H4137">
            <v>2242.5</v>
          </cell>
          <cell r="I4137">
            <v>9194.2499999999982</v>
          </cell>
          <cell r="J4137">
            <v>9424.1062499999971</v>
          </cell>
          <cell r="K4137">
            <v>9659.7089062499963</v>
          </cell>
          <cell r="L4137"/>
        </row>
        <row r="4142">
          <cell r="D4142">
            <v>42650.533359374982</v>
          </cell>
          <cell r="H4142">
            <v>3133.75</v>
          </cell>
          <cell r="I4142">
            <v>12848.374999999998</v>
          </cell>
          <cell r="J4142">
            <v>13169.584374999995</v>
          </cell>
          <cell r="K4142">
            <v>13498.823984374994</v>
          </cell>
          <cell r="L4142"/>
        </row>
        <row r="4147">
          <cell r="D4147">
            <v>60454.196367187484</v>
          </cell>
          <cell r="H4147">
            <v>4441.875</v>
          </cell>
          <cell r="I4147">
            <v>18211.687499999996</v>
          </cell>
          <cell r="J4147">
            <v>18666.979687499996</v>
          </cell>
          <cell r="K4147">
            <v>19133.654179687495</v>
          </cell>
          <cell r="L4147"/>
        </row>
        <row r="4162">
          <cell r="D4162">
            <v>12388.017871093749</v>
          </cell>
          <cell r="J4162">
            <v>6041.09375</v>
          </cell>
          <cell r="L4162">
            <v>6346.9241210937489</v>
          </cell>
        </row>
        <row r="4168">
          <cell r="D4168">
            <v>4576.6948681640624</v>
          </cell>
          <cell r="J4168">
            <v>3624.65625</v>
          </cell>
          <cell r="L4168">
            <v>952.03861816406231</v>
          </cell>
        </row>
        <row r="4175">
          <cell r="D4175">
            <v>93150</v>
          </cell>
          <cell r="I4175">
            <v>46000</v>
          </cell>
          <cell r="J4175">
            <v>47150</v>
          </cell>
        </row>
        <row r="4181">
          <cell r="D4181">
            <v>46695.174999999988</v>
          </cell>
          <cell r="J4181">
            <v>23000</v>
          </cell>
          <cell r="L4181">
            <v>23695.174999999992</v>
          </cell>
        </row>
        <row r="4190">
          <cell r="C4190" t="str">
            <v>2.1c. Use the Advanced Warning System (see below) to assess implications of tuna biomass redistribution for transhipping and unloading activities.</v>
          </cell>
        </row>
        <row r="4193">
          <cell r="D4193">
            <v>264657.60471040214</v>
          </cell>
          <cell r="E4193"/>
          <cell r="F4193"/>
          <cell r="G4193"/>
          <cell r="H4193">
            <v>51377.355925338925</v>
          </cell>
          <cell r="I4193">
            <v>105323.5796469448</v>
          </cell>
          <cell r="J4193">
            <v>107956.66913811841</v>
          </cell>
          <cell r="K4193"/>
        </row>
        <row r="4194">
          <cell r="D4194"/>
        </row>
        <row r="4195">
          <cell r="D4195"/>
        </row>
        <row r="4196">
          <cell r="D4196"/>
        </row>
        <row r="4197">
          <cell r="D4197"/>
        </row>
        <row r="4201">
          <cell r="D4201">
            <v>213280.24878506322</v>
          </cell>
          <cell r="E4201"/>
          <cell r="F4201"/>
          <cell r="G4201"/>
          <cell r="H4201"/>
          <cell r="I4201">
            <v>105323.5796469448</v>
          </cell>
          <cell r="J4201">
            <v>107956.66913811841</v>
          </cell>
        </row>
        <row r="4202">
          <cell r="D4202"/>
        </row>
        <row r="4203">
          <cell r="D4203"/>
        </row>
        <row r="4204">
          <cell r="D4204"/>
        </row>
        <row r="4205">
          <cell r="D4205"/>
        </row>
        <row r="4207">
          <cell r="D4207">
            <v>165983.37879985705</v>
          </cell>
          <cell r="E4207"/>
          <cell r="F4207"/>
          <cell r="G4207"/>
          <cell r="H4207"/>
          <cell r="I4207"/>
          <cell r="J4207"/>
          <cell r="K4207">
            <v>165983.37879985705</v>
          </cell>
        </row>
        <row r="4208">
          <cell r="D4208"/>
        </row>
        <row r="4209">
          <cell r="D4209"/>
        </row>
        <row r="4210">
          <cell r="D4210"/>
        </row>
        <row r="4211">
          <cell r="D4211"/>
        </row>
        <row r="4212">
          <cell r="D4212"/>
        </row>
        <row r="4213">
          <cell r="D4213"/>
        </row>
        <row r="4214">
          <cell r="D4214"/>
        </row>
        <row r="4215">
          <cell r="D4215">
            <v>17684.84375</v>
          </cell>
          <cell r="I4215">
            <v>5750</v>
          </cell>
          <cell r="J4215">
            <v>5893.75</v>
          </cell>
          <cell r="K4215">
            <v>6041.0937499999991</v>
          </cell>
          <cell r="L4215"/>
          <cell r="M4215"/>
        </row>
        <row r="4216">
          <cell r="D4216"/>
        </row>
        <row r="4217">
          <cell r="D4217"/>
        </row>
        <row r="4218">
          <cell r="D4218"/>
        </row>
        <row r="4219">
          <cell r="D4219"/>
        </row>
        <row r="4220">
          <cell r="D4220"/>
        </row>
        <row r="4221">
          <cell r="D4221">
            <v>4421.2109375</v>
          </cell>
          <cell r="I4221">
            <v>1437.5</v>
          </cell>
          <cell r="J4221">
            <v>1473.4375</v>
          </cell>
          <cell r="K4221">
            <v>1510.2734374999998</v>
          </cell>
          <cell r="L4221"/>
          <cell r="M4221"/>
        </row>
        <row r="4222">
          <cell r="D4222"/>
        </row>
        <row r="4223">
          <cell r="D4223"/>
        </row>
        <row r="4224">
          <cell r="D4224"/>
        </row>
        <row r="4230">
          <cell r="C4230" t="str">
            <v>2.1d. Build national capacity to conduct policy analysis on current and future transhipment and unloading of bycatch and tuna.</v>
          </cell>
        </row>
        <row r="4232">
          <cell r="D4232">
            <v>209362.72539575613</v>
          </cell>
          <cell r="H4232">
            <v>51377.355925338925</v>
          </cell>
          <cell r="I4232">
            <v>52661.789823472398</v>
          </cell>
          <cell r="J4232">
            <v>105323.5796469448</v>
          </cell>
        </row>
        <row r="4238">
          <cell r="D4238">
            <v>615237.00275397557</v>
          </cell>
          <cell r="I4238">
            <v>96315.334977329883</v>
          </cell>
          <cell r="J4238">
            <v>98723.21835176312</v>
          </cell>
          <cell r="K4238">
            <v>101191.29881055719</v>
          </cell>
          <cell r="L4238">
            <v>103721.0812808211</v>
          </cell>
          <cell r="M4238">
            <v>106314.10831284162</v>
          </cell>
          <cell r="N4238">
            <v>108971.96102066265</v>
          </cell>
        </row>
        <row r="4245">
          <cell r="D4245">
            <v>89878.317049055287</v>
          </cell>
          <cell r="I4245">
            <v>89878.317049055287</v>
          </cell>
        </row>
        <row r="4250">
          <cell r="D4250">
            <v>92125.274975281645</v>
          </cell>
          <cell r="J4250">
            <v>92125.274975281645</v>
          </cell>
        </row>
        <row r="4258">
          <cell r="D4258">
            <v>46000</v>
          </cell>
          <cell r="I4258">
            <v>46000</v>
          </cell>
          <cell r="J4258"/>
        </row>
        <row r="4263">
          <cell r="D4263">
            <v>138000</v>
          </cell>
          <cell r="I4263">
            <v>46000</v>
          </cell>
          <cell r="J4263">
            <v>46000</v>
          </cell>
          <cell r="K4263">
            <v>46000</v>
          </cell>
        </row>
        <row r="4270">
          <cell r="D4270">
            <v>60463.549999999996</v>
          </cell>
          <cell r="I4270">
            <v>20099.7</v>
          </cell>
          <cell r="J4270">
            <v>20953</v>
          </cell>
          <cell r="K4270">
            <v>19410.849999999999</v>
          </cell>
        </row>
        <row r="4271">
          <cell r="D4271"/>
        </row>
        <row r="4272">
          <cell r="D4272"/>
        </row>
        <row r="4273">
          <cell r="D4273"/>
        </row>
        <row r="4274">
          <cell r="D4274"/>
        </row>
        <row r="4275">
          <cell r="D4275"/>
        </row>
        <row r="4276">
          <cell r="D4276"/>
        </row>
        <row r="4277">
          <cell r="D4277"/>
        </row>
        <row r="4278">
          <cell r="D4278"/>
        </row>
        <row r="4279">
          <cell r="D4279"/>
        </row>
        <row r="4280">
          <cell r="D4280"/>
        </row>
        <row r="4285">
          <cell r="D4285">
            <v>59095.625</v>
          </cell>
          <cell r="I4285">
            <v>17250</v>
          </cell>
          <cell r="J4285">
            <v>17681.249999999996</v>
          </cell>
          <cell r="K4285">
            <v>24164.375</v>
          </cell>
        </row>
        <row r="4291">
          <cell r="D4291">
            <v>20683.46875</v>
          </cell>
          <cell r="I4291">
            <v>6037.5</v>
          </cell>
          <cell r="J4291">
            <v>6188.4375</v>
          </cell>
          <cell r="K4291">
            <v>8457.53125</v>
          </cell>
        </row>
        <row r="4298">
          <cell r="D4298">
            <v>690000</v>
          </cell>
          <cell r="H4298"/>
          <cell r="I4298">
            <v>172500</v>
          </cell>
          <cell r="J4298">
            <v>172500</v>
          </cell>
          <cell r="K4298">
            <v>172500</v>
          </cell>
          <cell r="L4298">
            <v>172500</v>
          </cell>
        </row>
        <row r="4312">
          <cell r="D4312">
            <v>460000</v>
          </cell>
          <cell r="H4312"/>
          <cell r="I4312">
            <v>230000</v>
          </cell>
          <cell r="J4312"/>
          <cell r="K4312"/>
          <cell r="L4312">
            <v>230000</v>
          </cell>
        </row>
        <row r="4331">
          <cell r="C4331" t="str">
            <v xml:space="preserve">
2.1e Develop procedures and regulations to increase the supply of transhipped and unloaded  bycatch and tuna where needed to fill the gap in fish supply.</v>
          </cell>
        </row>
        <row r="4333">
          <cell r="D4333">
            <v>367348.09486617334</v>
          </cell>
          <cell r="H4333">
            <v>51377.355925338925</v>
          </cell>
          <cell r="I4333">
            <v>52661.789823472398</v>
          </cell>
          <cell r="J4333">
            <v>105323.5796469448</v>
          </cell>
          <cell r="K4333">
            <v>157985.36947041721</v>
          </cell>
        </row>
        <row r="4339">
          <cell r="D4339">
            <v>172500</v>
          </cell>
          <cell r="I4339">
            <v>51750</v>
          </cell>
          <cell r="J4339">
            <v>69000</v>
          </cell>
          <cell r="K4339">
            <v>51750</v>
          </cell>
        </row>
        <row r="4355">
          <cell r="D4355">
            <v>80000</v>
          </cell>
          <cell r="I4355">
            <v>25000</v>
          </cell>
          <cell r="J4355">
            <v>35000</v>
          </cell>
          <cell r="K4355">
            <v>20000</v>
          </cell>
        </row>
        <row r="4363">
          <cell r="D4363">
            <v>105000</v>
          </cell>
          <cell r="I4363">
            <v>30000</v>
          </cell>
          <cell r="J4363">
            <v>50000</v>
          </cell>
          <cell r="K4363">
            <v>25000</v>
          </cell>
        </row>
        <row r="4372">
          <cell r="D4372">
            <v>3633.3746874999997</v>
          </cell>
          <cell r="I4372">
            <v>983.25</v>
          </cell>
          <cell r="J4372">
            <v>1719.7962499999999</v>
          </cell>
          <cell r="K4372">
            <v>930.32843749999995</v>
          </cell>
        </row>
        <row r="4385">
          <cell r="D4385">
            <v>7631.8348437499999</v>
          </cell>
          <cell r="I4385">
            <v>1914.75</v>
          </cell>
          <cell r="J4385">
            <v>2328.03125</v>
          </cell>
          <cell r="K4385">
            <v>3389.0535937499999</v>
          </cell>
        </row>
        <row r="4399">
          <cell r="D4399">
            <v>60421.98828125</v>
          </cell>
          <cell r="I4399">
            <v>17681.25</v>
          </cell>
          <cell r="J4399">
            <v>24164.375</v>
          </cell>
          <cell r="K4399">
            <v>18576.363281249996</v>
          </cell>
        </row>
        <row r="4403">
          <cell r="D4403">
            <v>13135.21484375</v>
          </cell>
          <cell r="I4403">
            <v>3843.75</v>
          </cell>
          <cell r="J4403">
            <v>5253.125</v>
          </cell>
          <cell r="K4403">
            <v>4038.3398437499991</v>
          </cell>
        </row>
        <row r="4408">
          <cell r="D4408">
            <v>70000</v>
          </cell>
          <cell r="I4408">
            <v>20000</v>
          </cell>
          <cell r="J4408">
            <v>30000</v>
          </cell>
          <cell r="K4408">
            <v>20000</v>
          </cell>
        </row>
        <row r="4422">
          <cell r="C4422" t="str">
            <v>Activity 2.2: Strengthen/develop post-harvest practices and improve market opportunities to distribute bycatch and tuna from transhipping and unloading operations to urban communities</v>
          </cell>
        </row>
        <row r="4423">
          <cell r="C4423" t="str">
            <v>2.2a. Provide training to Improve/develop post-harvest processing techniques for brined bycatch and tuna from transhipping and unloading operations.</v>
          </cell>
        </row>
        <row r="4425">
          <cell r="D4425">
            <v>999793.77597005107</v>
          </cell>
          <cell r="E4425"/>
          <cell r="F4425"/>
          <cell r="G4425"/>
          <cell r="H4425">
            <v>102754.71185067785</v>
          </cell>
          <cell r="I4425">
            <v>140431.43952925972</v>
          </cell>
          <cell r="J4425">
            <v>143942.2255174912</v>
          </cell>
          <cell r="K4425">
            <v>147540.78115542847</v>
          </cell>
          <cell r="L4425">
            <v>151229.30068431419</v>
          </cell>
          <cell r="M4425">
            <v>155010.03320142202</v>
          </cell>
          <cell r="N4425">
            <v>158885.28403145756</v>
          </cell>
        </row>
        <row r="4426">
          <cell r="D4426"/>
        </row>
        <row r="4427">
          <cell r="D4427"/>
        </row>
        <row r="4428">
          <cell r="D4428"/>
        </row>
        <row r="4429">
          <cell r="D4429"/>
        </row>
        <row r="4431">
          <cell r="D4431">
            <v>206901.90114710538</v>
          </cell>
          <cell r="E4431"/>
          <cell r="F4431"/>
          <cell r="G4431"/>
          <cell r="H4431">
            <v>14679.244550096835</v>
          </cell>
          <cell r="I4431">
            <v>30092.451327698513</v>
          </cell>
          <cell r="J4431">
            <v>30844.762610890975</v>
          </cell>
          <cell r="K4431">
            <v>31615.881676163248</v>
          </cell>
          <cell r="L4431">
            <v>32406.278718067326</v>
          </cell>
          <cell r="M4431">
            <v>33216.435686019009</v>
          </cell>
          <cell r="N4431">
            <v>34046.846578169483</v>
          </cell>
        </row>
        <row r="4432">
          <cell r="D4432"/>
        </row>
        <row r="4433">
          <cell r="D4433"/>
        </row>
        <row r="4434">
          <cell r="D4434"/>
        </row>
        <row r="4435">
          <cell r="D4435"/>
        </row>
        <row r="4438">
          <cell r="D4438">
            <v>247250</v>
          </cell>
          <cell r="I4438">
            <v>40250</v>
          </cell>
          <cell r="J4438">
            <v>51750</v>
          </cell>
          <cell r="K4438">
            <v>51750</v>
          </cell>
          <cell r="L4438">
            <v>74750</v>
          </cell>
          <cell r="M4438">
            <v>28750</v>
          </cell>
        </row>
        <row r="4439">
          <cell r="D4439"/>
        </row>
        <row r="4440">
          <cell r="D4440"/>
        </row>
        <row r="4441">
          <cell r="D4441"/>
        </row>
        <row r="4443">
          <cell r="D4443">
            <v>247250</v>
          </cell>
          <cell r="I4443">
            <v>40250</v>
          </cell>
          <cell r="J4443">
            <v>51750</v>
          </cell>
          <cell r="K4443">
            <v>51750</v>
          </cell>
          <cell r="L4443">
            <v>74750</v>
          </cell>
          <cell r="M4443">
            <v>28750</v>
          </cell>
        </row>
        <row r="4444">
          <cell r="D4444"/>
        </row>
        <row r="4445">
          <cell r="D4445"/>
        </row>
        <row r="4446">
          <cell r="D4446"/>
        </row>
        <row r="4447">
          <cell r="D4447">
            <v>1150000</v>
          </cell>
          <cell r="I4447">
            <v>115000</v>
          </cell>
          <cell r="J4447">
            <v>345000</v>
          </cell>
          <cell r="K4447">
            <v>345000</v>
          </cell>
          <cell r="L4447">
            <v>230000</v>
          </cell>
          <cell r="M4447">
            <v>115000</v>
          </cell>
          <cell r="O4447"/>
        </row>
        <row r="4448">
          <cell r="D4448"/>
        </row>
        <row r="4449">
          <cell r="D4449"/>
        </row>
        <row r="4451">
          <cell r="D4451">
            <v>62100</v>
          </cell>
          <cell r="I4451">
            <v>6900</v>
          </cell>
          <cell r="J4451">
            <v>6900</v>
          </cell>
          <cell r="K4451">
            <v>13800</v>
          </cell>
          <cell r="L4451">
            <v>13800</v>
          </cell>
          <cell r="M4451">
            <v>13800</v>
          </cell>
          <cell r="N4451">
            <v>6900</v>
          </cell>
          <cell r="O4451"/>
        </row>
        <row r="4459">
          <cell r="D4459">
            <v>302199.79960937501</v>
          </cell>
          <cell r="I4459">
            <v>27000</v>
          </cell>
          <cell r="J4459">
            <v>79437.5</v>
          </cell>
          <cell r="K4459">
            <v>81423.4375</v>
          </cell>
          <cell r="L4459">
            <v>85074.359374999985</v>
          </cell>
          <cell r="M4459">
            <v>29264.502734374993</v>
          </cell>
        </row>
        <row r="4460">
          <cell r="D4460"/>
        </row>
        <row r="4461">
          <cell r="D4461"/>
        </row>
        <row r="4462">
          <cell r="D4462"/>
        </row>
        <row r="4463">
          <cell r="D4463"/>
        </row>
        <row r="4464">
          <cell r="D4464"/>
        </row>
        <row r="4465">
          <cell r="D4465">
            <v>80834.254687499983</v>
          </cell>
          <cell r="I4465">
            <v>7072.4999999999991</v>
          </cell>
          <cell r="J4465">
            <v>21747.937499999996</v>
          </cell>
          <cell r="K4465">
            <v>22291.635937499996</v>
          </cell>
          <cell r="L4465">
            <v>22291.635937499996</v>
          </cell>
          <cell r="M4465">
            <v>7430.5453124999985</v>
          </cell>
        </row>
        <row r="4471">
          <cell r="D4471">
            <v>302199.79960937501</v>
          </cell>
          <cell r="I4471">
            <v>27000</v>
          </cell>
          <cell r="J4471">
            <v>79437.5</v>
          </cell>
          <cell r="K4471">
            <v>81423.4375</v>
          </cell>
          <cell r="L4471">
            <v>85074.359374999985</v>
          </cell>
          <cell r="M4471">
            <v>29264.502734374993</v>
          </cell>
        </row>
        <row r="4472">
          <cell r="D4472"/>
        </row>
        <row r="4473">
          <cell r="D4473"/>
        </row>
        <row r="4474">
          <cell r="D4474"/>
        </row>
        <row r="4475">
          <cell r="D4475"/>
        </row>
        <row r="4476">
          <cell r="D4476"/>
        </row>
        <row r="4477">
          <cell r="D4477">
            <v>186255.76093749996</v>
          </cell>
          <cell r="I4477">
            <v>14144.999999999998</v>
          </cell>
          <cell r="J4477">
            <v>50745.187499999993</v>
          </cell>
          <cell r="K4477">
            <v>52013.81718749999</v>
          </cell>
          <cell r="L4477">
            <v>52013.81718749999</v>
          </cell>
          <cell r="M4477">
            <v>17337.939062499998</v>
          </cell>
        </row>
        <row r="4487">
          <cell r="C4487" t="str">
            <v>2.2b. Pilot alternative marketing mechanisms to support increased trade in bycatch and tuna.</v>
          </cell>
        </row>
        <row r="4489">
          <cell r="D4489">
            <v>107232.34016484958</v>
          </cell>
          <cell r="E4489"/>
          <cell r="F4489"/>
          <cell r="G4489"/>
          <cell r="H4489">
            <v>14679.244550096835</v>
          </cell>
          <cell r="I4489">
            <v>30092.451327698513</v>
          </cell>
          <cell r="J4489">
            <v>30844.762610890975</v>
          </cell>
          <cell r="K4489">
            <v>31615.881676163248</v>
          </cell>
          <cell r="L4489"/>
          <cell r="M4489"/>
          <cell r="N4489"/>
        </row>
        <row r="4490">
          <cell r="D4490"/>
        </row>
        <row r="4491">
          <cell r="D4491"/>
        </row>
        <row r="4492">
          <cell r="D4492"/>
        </row>
        <row r="4493">
          <cell r="D4493"/>
        </row>
        <row r="4496">
          <cell r="D4496">
            <v>107232.34016484958</v>
          </cell>
          <cell r="E4496"/>
          <cell r="F4496"/>
          <cell r="G4496"/>
          <cell r="H4496">
            <v>14679.244550096835</v>
          </cell>
          <cell r="I4496">
            <v>30092.451327698513</v>
          </cell>
          <cell r="J4496">
            <v>30844.762610890975</v>
          </cell>
          <cell r="K4496">
            <v>31615.881676163248</v>
          </cell>
          <cell r="L4496"/>
          <cell r="M4496"/>
          <cell r="N4496"/>
        </row>
        <row r="4497">
          <cell r="D4497"/>
        </row>
        <row r="4498">
          <cell r="D4498"/>
        </row>
        <row r="4499">
          <cell r="D4499"/>
        </row>
        <row r="4500">
          <cell r="D4500"/>
        </row>
        <row r="4503">
          <cell r="D4503">
            <v>206901.90114710538</v>
          </cell>
          <cell r="E4503"/>
          <cell r="F4503"/>
          <cell r="G4503"/>
          <cell r="H4503">
            <v>14679.244550096835</v>
          </cell>
          <cell r="I4503">
            <v>30092.451327698513</v>
          </cell>
          <cell r="J4503">
            <v>30844.762610890975</v>
          </cell>
          <cell r="K4503">
            <v>31615.881676163248</v>
          </cell>
          <cell r="L4503">
            <v>32406.278718067326</v>
          </cell>
          <cell r="M4503">
            <v>33216.435686019009</v>
          </cell>
          <cell r="N4503">
            <v>34046.846578169483</v>
          </cell>
        </row>
        <row r="4504">
          <cell r="D4504"/>
        </row>
        <row r="4505">
          <cell r="D4505"/>
        </row>
        <row r="4506">
          <cell r="D4506"/>
        </row>
        <row r="4507">
          <cell r="D4507"/>
        </row>
        <row r="4514">
          <cell r="D4514">
            <v>92000</v>
          </cell>
          <cell r="I4514">
            <v>40250</v>
          </cell>
          <cell r="J4514">
            <v>51750</v>
          </cell>
        </row>
        <row r="4515">
          <cell r="D4515"/>
        </row>
        <row r="4516">
          <cell r="D4516"/>
        </row>
        <row r="4517">
          <cell r="D4517"/>
        </row>
        <row r="4518">
          <cell r="D4518"/>
        </row>
        <row r="4519">
          <cell r="D4519"/>
        </row>
        <row r="4520">
          <cell r="D4520">
            <v>92000</v>
          </cell>
          <cell r="I4520">
            <v>40250</v>
          </cell>
          <cell r="J4520">
            <v>51750</v>
          </cell>
          <cell r="K4520"/>
          <cell r="L4520"/>
          <cell r="M4520"/>
        </row>
        <row r="4521">
          <cell r="D4521"/>
        </row>
        <row r="4522">
          <cell r="D4522"/>
        </row>
        <row r="4523">
          <cell r="D4523"/>
        </row>
        <row r="4524">
          <cell r="D4524"/>
        </row>
        <row r="4529">
          <cell r="D4529">
            <v>75562.5</v>
          </cell>
          <cell r="I4529">
            <v>32000</v>
          </cell>
          <cell r="J4529">
            <v>43562.5</v>
          </cell>
        </row>
        <row r="4530">
          <cell r="D4530"/>
        </row>
        <row r="4531">
          <cell r="D4531"/>
        </row>
        <row r="4532">
          <cell r="D4532"/>
        </row>
        <row r="4533">
          <cell r="D4533"/>
        </row>
        <row r="4534">
          <cell r="D4534"/>
        </row>
        <row r="4535">
          <cell r="D4535">
            <v>17902.265624999996</v>
          </cell>
          <cell r="I4535">
            <v>9061.6406249999982</v>
          </cell>
          <cell r="J4535">
            <v>8840.6249999999982</v>
          </cell>
        </row>
        <row r="4545">
          <cell r="C4545" t="str">
            <v>2.2c. Conduct communication campaigns to raise awareness of urban/peri urban communities about the climate change impacts on coral reef fish and the need to consume more bycatch and tuna to meet future nutrition requirements.</v>
          </cell>
        </row>
        <row r="4546">
          <cell r="D4546">
            <v>615237.00275397557</v>
          </cell>
          <cell r="I4546">
            <v>96315.334977329883</v>
          </cell>
          <cell r="J4546">
            <v>98723.21835176312</v>
          </cell>
          <cell r="K4546">
            <v>101191.29881055719</v>
          </cell>
          <cell r="L4546">
            <v>103721.0812808211</v>
          </cell>
          <cell r="M4546">
            <v>106314.10831284162</v>
          </cell>
          <cell r="N4546">
            <v>108971.96102066265</v>
          </cell>
        </row>
        <row r="4557">
          <cell r="D4557">
            <v>1035000</v>
          </cell>
          <cell r="H4557"/>
          <cell r="I4557">
            <v>172500</v>
          </cell>
          <cell r="J4557">
            <v>172500</v>
          </cell>
          <cell r="K4557">
            <v>172500</v>
          </cell>
          <cell r="L4557">
            <v>172500</v>
          </cell>
          <cell r="M4557">
            <v>172500</v>
          </cell>
          <cell r="N4557">
            <v>172500</v>
          </cell>
        </row>
        <row r="4574">
          <cell r="C4574" t="str">
            <v xml:space="preserve"> 2.2d. Provide fish market outlet designs at various scales for up to eight countries where transhipping and unloading occurs.
</v>
          </cell>
        </row>
        <row r="4576">
          <cell r="D4576">
            <v>178745.25016961811</v>
          </cell>
          <cell r="E4576"/>
          <cell r="F4576"/>
          <cell r="G4576"/>
          <cell r="H4576">
            <v>14679.244550096835</v>
          </cell>
          <cell r="I4576">
            <v>30092.451327698513</v>
          </cell>
          <cell r="J4576">
            <v>30844.762610890975</v>
          </cell>
          <cell r="K4576">
            <v>31615.881676163248</v>
          </cell>
          <cell r="L4576">
            <v>23251.504980213303</v>
          </cell>
          <cell r="M4576">
            <v>23832.792604718634</v>
          </cell>
          <cell r="N4576">
            <v>24428.612419836598</v>
          </cell>
        </row>
        <row r="4577">
          <cell r="D4577"/>
        </row>
        <row r="4578">
          <cell r="D4578"/>
        </row>
        <row r="4579">
          <cell r="D4579"/>
        </row>
        <row r="4580">
          <cell r="D4580"/>
        </row>
        <row r="4582">
          <cell r="D4582">
            <v>178745.25016961811</v>
          </cell>
          <cell r="E4582"/>
          <cell r="F4582"/>
          <cell r="G4582"/>
          <cell r="H4582">
            <v>14679.244550096835</v>
          </cell>
          <cell r="I4582">
            <v>30092.451327698513</v>
          </cell>
          <cell r="J4582">
            <v>30844.762610890975</v>
          </cell>
          <cell r="K4582">
            <v>31615.881676163248</v>
          </cell>
          <cell r="L4582">
            <v>23251.504980213303</v>
          </cell>
          <cell r="M4582">
            <v>23832.792604718634</v>
          </cell>
          <cell r="N4582">
            <v>24428.612419836598</v>
          </cell>
        </row>
        <row r="4583">
          <cell r="D4583"/>
        </row>
        <row r="4584">
          <cell r="D4584"/>
        </row>
        <row r="4585">
          <cell r="D4585"/>
        </row>
        <row r="4586">
          <cell r="D4586"/>
        </row>
        <row r="4588">
          <cell r="D4588">
            <v>178745.25016961811</v>
          </cell>
          <cell r="E4588"/>
          <cell r="F4588"/>
          <cell r="G4588"/>
          <cell r="H4588">
            <v>14679.244550096835</v>
          </cell>
          <cell r="I4588">
            <v>30092.451327698513</v>
          </cell>
          <cell r="J4588">
            <v>30844.762610890975</v>
          </cell>
          <cell r="K4588">
            <v>31615.881676163248</v>
          </cell>
          <cell r="L4588">
            <v>23251.504980213303</v>
          </cell>
          <cell r="M4588">
            <v>23832.792604718634</v>
          </cell>
          <cell r="N4588">
            <v>24428.612419836598</v>
          </cell>
        </row>
        <row r="4589">
          <cell r="D4589"/>
        </row>
        <row r="4590">
          <cell r="D4590"/>
        </row>
        <row r="4591">
          <cell r="D4591"/>
        </row>
        <row r="4592">
          <cell r="D4592"/>
        </row>
        <row r="4597">
          <cell r="D4597">
            <v>75000</v>
          </cell>
          <cell r="I4597">
            <v>20000</v>
          </cell>
          <cell r="J4597">
            <v>20000</v>
          </cell>
          <cell r="K4597">
            <v>20000</v>
          </cell>
          <cell r="L4597">
            <v>15000</v>
          </cell>
        </row>
        <row r="4604">
          <cell r="D4604">
            <v>40000</v>
          </cell>
          <cell r="J4604">
            <v>15000</v>
          </cell>
          <cell r="K4604">
            <v>15000</v>
          </cell>
          <cell r="L4604">
            <v>10000</v>
          </cell>
        </row>
        <row r="4613">
          <cell r="D4613">
            <v>100000</v>
          </cell>
          <cell r="J4613">
            <v>25000</v>
          </cell>
          <cell r="K4613">
            <v>25000</v>
          </cell>
          <cell r="L4613">
            <v>25000</v>
          </cell>
          <cell r="M4613">
            <v>25000</v>
          </cell>
        </row>
        <row r="4619">
          <cell r="D4619">
            <v>150000</v>
          </cell>
          <cell r="I4619">
            <v>40000</v>
          </cell>
          <cell r="J4619">
            <v>40000</v>
          </cell>
          <cell r="K4619">
            <v>40000</v>
          </cell>
          <cell r="L4619">
            <v>30000</v>
          </cell>
        </row>
        <row r="4625">
          <cell r="D4625">
            <v>80000</v>
          </cell>
          <cell r="J4625">
            <v>30000</v>
          </cell>
          <cell r="K4625">
            <v>30000</v>
          </cell>
          <cell r="L4625">
            <v>20000</v>
          </cell>
        </row>
        <row r="4629">
          <cell r="D4629">
            <v>400000</v>
          </cell>
          <cell r="J4629">
            <v>100000</v>
          </cell>
          <cell r="K4629">
            <v>100000</v>
          </cell>
          <cell r="L4629">
            <v>100000</v>
          </cell>
          <cell r="M4629">
            <v>100000</v>
          </cell>
        </row>
        <row r="4637">
          <cell r="D4637">
            <v>85000</v>
          </cell>
          <cell r="I4637">
            <v>25000</v>
          </cell>
          <cell r="J4637">
            <v>25000</v>
          </cell>
          <cell r="K4637">
            <v>25000</v>
          </cell>
          <cell r="L4637">
            <v>10000</v>
          </cell>
        </row>
        <row r="4641">
          <cell r="D4641">
            <v>35000</v>
          </cell>
          <cell r="J4641">
            <v>15000</v>
          </cell>
          <cell r="K4641">
            <v>10000</v>
          </cell>
          <cell r="L4641">
            <v>10000</v>
          </cell>
        </row>
        <row r="4645">
          <cell r="D4645">
            <v>60000</v>
          </cell>
          <cell r="J4645">
            <v>15000</v>
          </cell>
          <cell r="K4645">
            <v>15000</v>
          </cell>
          <cell r="L4645">
            <v>15000</v>
          </cell>
          <cell r="M4645">
            <v>15000</v>
          </cell>
        </row>
        <row r="4652">
          <cell r="D4652">
            <v>105000</v>
          </cell>
          <cell r="I4652">
            <v>30000</v>
          </cell>
          <cell r="J4652">
            <v>50000</v>
          </cell>
          <cell r="K4652">
            <v>25000</v>
          </cell>
        </row>
        <row r="4653">
          <cell r="D4653">
            <v>80000</v>
          </cell>
          <cell r="I4653">
            <v>25000</v>
          </cell>
          <cell r="J4653">
            <v>35000</v>
          </cell>
          <cell r="K4653">
            <v>20000</v>
          </cell>
        </row>
        <row r="4654">
          <cell r="D4654">
            <v>70000</v>
          </cell>
          <cell r="I4654">
            <v>20000</v>
          </cell>
          <cell r="J4654">
            <v>30000</v>
          </cell>
          <cell r="K4654">
            <v>20000</v>
          </cell>
        </row>
        <row r="4658">
          <cell r="D4658">
            <v>15465308.621460928</v>
          </cell>
        </row>
      </sheetData>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ICs "/>
      <sheetName val="Fiji-fghbar-chart"/>
      <sheetName val="Papua New Guinea-fghbar-chart"/>
      <sheetName val="Solomon Islands-fghbar-chart"/>
      <sheetName val="Vanuatu-fghbar-chart"/>
      <sheetName val="Micronesia (Federated States of"/>
      <sheetName val="Kiribati-fghbar-chart"/>
      <sheetName val="Marshall Islands-fghbar-chart ("/>
      <sheetName val="Cook Islands-fghbar-chart"/>
      <sheetName val="Samoa-fghbar-chart (1)"/>
      <sheetName val="Tonga-fghbar-chart"/>
      <sheetName val="Tuvalu-fghbar-chart"/>
      <sheetName val="Nauru"/>
      <sheetName val="Palau"/>
      <sheetName val="Niue"/>
    </sheetNames>
    <sheetDataSet>
      <sheetData sheetId="0"/>
      <sheetData sheetId="1"/>
      <sheetData sheetId="2"/>
      <sheetData sheetId="3"/>
      <sheetData sheetId="4"/>
      <sheetData sheetId="5"/>
      <sheetData sheetId="6"/>
      <sheetData sheetId="7"/>
      <sheetData sheetId="8"/>
      <sheetData sheetId="9"/>
      <sheetData sheetId="10"/>
      <sheetData sheetId="11">
        <row r="2">
          <cell r="B2">
            <v>2.4497843836430201E-2</v>
          </cell>
        </row>
        <row r="3">
          <cell r="B3">
            <v>60.377812624896997</v>
          </cell>
        </row>
        <row r="4">
          <cell r="B4">
            <v>477.60734511450698</v>
          </cell>
        </row>
        <row r="5">
          <cell r="B5">
            <v>327.739108746586</v>
          </cell>
        </row>
        <row r="6">
          <cell r="B6">
            <v>865.74876432982603</v>
          </cell>
        </row>
        <row r="7">
          <cell r="B7">
            <v>0.14287851913423999</v>
          </cell>
        </row>
        <row r="8">
          <cell r="B8">
            <v>101.98884865530199</v>
          </cell>
        </row>
        <row r="9">
          <cell r="B9">
            <v>1039.45103767311</v>
          </cell>
        </row>
        <row r="10">
          <cell r="B10">
            <v>156.979520910426</v>
          </cell>
        </row>
        <row r="11">
          <cell r="B11">
            <v>1298.5622857579699</v>
          </cell>
        </row>
      </sheetData>
      <sheetData sheetId="12"/>
      <sheetData sheetId="13"/>
      <sheetData sheetId="1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hyperlink" Target="https://pacificdata.org/data/dataset/oai-www-spc-int-ced24e95-7e0a-401a-9f0b-d79316c49cb0" TargetMode="External"/><Relationship Id="rId2" Type="http://schemas.openxmlformats.org/officeDocument/2006/relationships/hyperlink" Target="https://www.ncdrisc.org/data-downloads.html" TargetMode="External"/><Relationship Id="rId1" Type="http://schemas.openxmlformats.org/officeDocument/2006/relationships/hyperlink" Target="https://stats.pacificdata.org/"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s://data.unicef.org/"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3" Type="http://schemas.openxmlformats.org/officeDocument/2006/relationships/hyperlink" Target="https://pacificdata.org/data/dataset/oai-www-spc-int-ced24e95-7e0a-401a-9f0b-d79316c49cb0" TargetMode="External"/><Relationship Id="rId2" Type="http://schemas.openxmlformats.org/officeDocument/2006/relationships/hyperlink" Target="https://www.ncdrisc.org/data-downloads.html" TargetMode="External"/><Relationship Id="rId1" Type="http://schemas.openxmlformats.org/officeDocument/2006/relationships/hyperlink" Target="https://stats.pacificdata.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25D57-0095-43AF-8F19-D1DB5D4E0796}">
  <sheetPr>
    <tabColor rgb="FFFFFF00"/>
  </sheetPr>
  <dimension ref="B2:V22"/>
  <sheetViews>
    <sheetView topLeftCell="A29" workbookViewId="0">
      <selection activeCell="G24" sqref="G24"/>
    </sheetView>
  </sheetViews>
  <sheetFormatPr baseColWidth="10" defaultColWidth="8.83203125" defaultRowHeight="15" x14ac:dyDescent="0.2"/>
  <sheetData>
    <row r="2" spans="2:22" x14ac:dyDescent="0.2">
      <c r="B2" s="55" t="s">
        <v>209</v>
      </c>
      <c r="T2" s="161" t="s">
        <v>200</v>
      </c>
      <c r="U2" s="162"/>
    </row>
    <row r="4" spans="2:22" x14ac:dyDescent="0.2">
      <c r="B4" s="55" t="s">
        <v>201</v>
      </c>
    </row>
    <row r="5" spans="2:22" x14ac:dyDescent="0.2">
      <c r="B5" s="149" t="s">
        <v>202</v>
      </c>
      <c r="C5" t="s">
        <v>222</v>
      </c>
      <c r="T5" s="157" t="s">
        <v>203</v>
      </c>
    </row>
    <row r="6" spans="2:22" x14ac:dyDescent="0.2">
      <c r="B6" s="149" t="s">
        <v>202</v>
      </c>
      <c r="C6" t="s">
        <v>229</v>
      </c>
      <c r="T6" s="150" t="s">
        <v>204</v>
      </c>
    </row>
    <row r="7" spans="2:22" x14ac:dyDescent="0.2">
      <c r="B7" s="55" t="s">
        <v>210</v>
      </c>
    </row>
    <row r="8" spans="2:22" x14ac:dyDescent="0.2">
      <c r="B8" s="149" t="s">
        <v>202</v>
      </c>
      <c r="C8" t="s">
        <v>223</v>
      </c>
      <c r="T8" s="158" t="s">
        <v>211</v>
      </c>
      <c r="U8" s="158"/>
      <c r="V8" s="158"/>
    </row>
    <row r="10" spans="2:22" x14ac:dyDescent="0.2">
      <c r="B10" s="55" t="s">
        <v>205</v>
      </c>
    </row>
    <row r="11" spans="2:22" x14ac:dyDescent="0.2">
      <c r="C11" t="s">
        <v>230</v>
      </c>
    </row>
    <row r="12" spans="2:22" x14ac:dyDescent="0.2">
      <c r="B12" s="55" t="s">
        <v>206</v>
      </c>
      <c r="C12" t="s">
        <v>207</v>
      </c>
    </row>
    <row r="13" spans="2:22" x14ac:dyDescent="0.2">
      <c r="B13" s="55" t="s">
        <v>208</v>
      </c>
      <c r="C13" t="s">
        <v>226</v>
      </c>
    </row>
    <row r="14" spans="2:22" x14ac:dyDescent="0.2">
      <c r="B14" s="149" t="s">
        <v>202</v>
      </c>
      <c r="C14" t="s">
        <v>227</v>
      </c>
      <c r="T14" s="159" t="s">
        <v>214</v>
      </c>
      <c r="U14" s="159"/>
    </row>
    <row r="15" spans="2:22" x14ac:dyDescent="0.2">
      <c r="B15" s="149" t="s">
        <v>202</v>
      </c>
      <c r="C15" t="s">
        <v>228</v>
      </c>
      <c r="T15" s="150" t="s">
        <v>204</v>
      </c>
    </row>
    <row r="16" spans="2:22" x14ac:dyDescent="0.2">
      <c r="B16" s="149" t="s">
        <v>202</v>
      </c>
      <c r="C16" t="s">
        <v>212</v>
      </c>
    </row>
    <row r="17" spans="2:22" x14ac:dyDescent="0.2">
      <c r="B17" s="149" t="s">
        <v>202</v>
      </c>
      <c r="C17" s="224" t="s">
        <v>301</v>
      </c>
      <c r="D17" s="224"/>
    </row>
    <row r="19" spans="2:22" x14ac:dyDescent="0.2">
      <c r="B19" s="55" t="s">
        <v>213</v>
      </c>
    </row>
    <row r="20" spans="2:22" x14ac:dyDescent="0.2">
      <c r="B20" s="149" t="s">
        <v>202</v>
      </c>
      <c r="C20" t="s">
        <v>224</v>
      </c>
      <c r="T20" s="158" t="s">
        <v>211</v>
      </c>
      <c r="U20" s="158"/>
      <c r="V20" s="158"/>
    </row>
    <row r="21" spans="2:22" x14ac:dyDescent="0.2">
      <c r="T21" s="160" t="s">
        <v>225</v>
      </c>
      <c r="U21" s="160"/>
    </row>
    <row r="22" spans="2:22" x14ac:dyDescent="0.2">
      <c r="B22" s="142"/>
      <c r="C22" s="142"/>
      <c r="D22" s="142"/>
      <c r="E22" s="142"/>
      <c r="F22" s="142"/>
      <c r="G22" s="142"/>
      <c r="H22" s="142"/>
      <c r="I22" s="142"/>
      <c r="J22" s="142"/>
      <c r="K22" s="142"/>
      <c r="L22" s="142"/>
      <c r="M22" s="142"/>
      <c r="N22" s="142"/>
      <c r="O22" s="142"/>
      <c r="P22" s="142"/>
      <c r="Q22" s="142"/>
      <c r="R22" s="142"/>
      <c r="S22" s="142"/>
      <c r="T22" s="142"/>
      <c r="U22" s="142"/>
      <c r="V22" s="142"/>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292E9-8522-40D5-88A0-3B293628C6D3}">
  <dimension ref="C4:S22"/>
  <sheetViews>
    <sheetView topLeftCell="A6" workbookViewId="0">
      <selection activeCell="B18" sqref="B18"/>
    </sheetView>
  </sheetViews>
  <sheetFormatPr baseColWidth="10" defaultColWidth="8.83203125" defaultRowHeight="15" x14ac:dyDescent="0.2"/>
  <cols>
    <col min="3" max="3" width="14.6640625" customWidth="1"/>
  </cols>
  <sheetData>
    <row r="4" spans="3:19" x14ac:dyDescent="0.2">
      <c r="C4" s="27" t="s">
        <v>195</v>
      </c>
    </row>
    <row r="5" spans="3:19" ht="16" thickBot="1" x14ac:dyDescent="0.25">
      <c r="C5" s="27"/>
    </row>
    <row r="6" spans="3:19" ht="78" x14ac:dyDescent="0.2">
      <c r="C6" s="241" t="s">
        <v>140</v>
      </c>
      <c r="D6" s="28" t="s">
        <v>166</v>
      </c>
      <c r="E6" s="28" t="s">
        <v>167</v>
      </c>
      <c r="F6" s="28" t="s">
        <v>168</v>
      </c>
      <c r="G6" s="28" t="s">
        <v>169</v>
      </c>
      <c r="H6" s="238" t="s">
        <v>170</v>
      </c>
      <c r="I6" s="238" t="s">
        <v>171</v>
      </c>
      <c r="J6" s="238" t="s">
        <v>172</v>
      </c>
      <c r="K6" s="28" t="s">
        <v>173</v>
      </c>
      <c r="L6" s="28" t="s">
        <v>174</v>
      </c>
      <c r="M6" s="28" t="s">
        <v>175</v>
      </c>
      <c r="N6" s="238" t="s">
        <v>176</v>
      </c>
      <c r="O6" s="238" t="s">
        <v>177</v>
      </c>
      <c r="P6" s="28" t="s">
        <v>178</v>
      </c>
      <c r="Q6" s="28" t="s">
        <v>179</v>
      </c>
      <c r="R6" s="28" t="s">
        <v>180</v>
      </c>
      <c r="S6" s="238" t="s">
        <v>181</v>
      </c>
    </row>
    <row r="7" spans="3:19" ht="16" thickBot="1" x14ac:dyDescent="0.25">
      <c r="C7" s="242"/>
      <c r="D7" s="29" t="s">
        <v>182</v>
      </c>
      <c r="E7" s="29" t="s">
        <v>183</v>
      </c>
      <c r="F7" s="29" t="s">
        <v>183</v>
      </c>
      <c r="G7" s="29" t="s">
        <v>183</v>
      </c>
      <c r="H7" s="239"/>
      <c r="I7" s="239"/>
      <c r="J7" s="239"/>
      <c r="K7" s="29" t="s">
        <v>184</v>
      </c>
      <c r="L7" s="29" t="s">
        <v>184</v>
      </c>
      <c r="M7" s="29" t="s">
        <v>184</v>
      </c>
      <c r="N7" s="239"/>
      <c r="O7" s="239"/>
      <c r="P7" s="29" t="s">
        <v>185</v>
      </c>
      <c r="Q7" s="29" t="s">
        <v>186</v>
      </c>
      <c r="R7" s="29" t="s">
        <v>187</v>
      </c>
      <c r="S7" s="239"/>
    </row>
    <row r="8" spans="3:19" ht="16" thickBot="1" x14ac:dyDescent="0.25">
      <c r="C8" s="30" t="s">
        <v>34</v>
      </c>
      <c r="D8" s="31">
        <v>22000</v>
      </c>
      <c r="E8" s="32">
        <v>39</v>
      </c>
      <c r="F8" s="32">
        <v>39</v>
      </c>
      <c r="G8" s="32">
        <v>22</v>
      </c>
      <c r="H8" s="31">
        <v>8580</v>
      </c>
      <c r="I8" s="31">
        <v>8580</v>
      </c>
      <c r="J8" s="31">
        <v>4840</v>
      </c>
      <c r="K8" s="33">
        <v>81</v>
      </c>
      <c r="L8" s="33">
        <v>80</v>
      </c>
      <c r="M8" s="33">
        <v>42</v>
      </c>
      <c r="N8" s="31">
        <v>1584658</v>
      </c>
      <c r="O8" s="31">
        <v>1109260</v>
      </c>
      <c r="P8" s="31">
        <v>554630</v>
      </c>
      <c r="Q8" s="31">
        <v>2411</v>
      </c>
      <c r="R8" s="31">
        <v>4019</v>
      </c>
      <c r="S8" s="31">
        <v>1467</v>
      </c>
    </row>
    <row r="9" spans="3:19" ht="16" thickBot="1" x14ac:dyDescent="0.25">
      <c r="C9" s="30" t="s">
        <v>36</v>
      </c>
      <c r="D9" s="31">
        <v>96000</v>
      </c>
      <c r="E9" s="32">
        <v>36</v>
      </c>
      <c r="F9" s="32">
        <v>36</v>
      </c>
      <c r="G9" s="32">
        <v>28</v>
      </c>
      <c r="H9" s="31">
        <v>34560</v>
      </c>
      <c r="I9" s="31">
        <v>34560</v>
      </c>
      <c r="J9" s="31">
        <v>26880</v>
      </c>
      <c r="K9" s="33">
        <v>84</v>
      </c>
      <c r="L9" s="33">
        <v>81</v>
      </c>
      <c r="M9" s="33">
        <v>45</v>
      </c>
      <c r="N9" s="31">
        <v>6911965</v>
      </c>
      <c r="O9" s="31">
        <v>4838376</v>
      </c>
      <c r="P9" s="31">
        <v>2419188</v>
      </c>
      <c r="Q9" s="31">
        <v>10518</v>
      </c>
      <c r="R9" s="31">
        <v>17530</v>
      </c>
      <c r="S9" s="31">
        <v>6399</v>
      </c>
    </row>
    <row r="10" spans="3:19" ht="16" thickBot="1" x14ac:dyDescent="0.25">
      <c r="C10" s="30" t="s">
        <v>162</v>
      </c>
      <c r="D10" s="31">
        <v>39000</v>
      </c>
      <c r="E10" s="32">
        <v>36</v>
      </c>
      <c r="F10" s="32">
        <v>36</v>
      </c>
      <c r="G10" s="32">
        <v>28</v>
      </c>
      <c r="H10" s="31">
        <v>14040</v>
      </c>
      <c r="I10" s="31">
        <v>14040</v>
      </c>
      <c r="J10" s="31">
        <v>10920</v>
      </c>
      <c r="K10" s="33">
        <v>79</v>
      </c>
      <c r="L10" s="33">
        <v>73</v>
      </c>
      <c r="M10" s="33">
        <v>41</v>
      </c>
      <c r="N10" s="31">
        <v>2581851</v>
      </c>
      <c r="O10" s="31">
        <v>1807296</v>
      </c>
      <c r="P10" s="31">
        <v>903648</v>
      </c>
      <c r="Q10" s="31">
        <v>3929</v>
      </c>
      <c r="R10" s="31">
        <v>6548</v>
      </c>
      <c r="S10" s="31">
        <v>2390</v>
      </c>
    </row>
    <row r="11" spans="3:19" ht="16" thickBot="1" x14ac:dyDescent="0.25">
      <c r="C11" s="89" t="s">
        <v>148</v>
      </c>
      <c r="D11" s="90">
        <v>1962000</v>
      </c>
      <c r="E11" s="91">
        <v>34</v>
      </c>
      <c r="F11" s="91">
        <v>34</v>
      </c>
      <c r="G11" s="91">
        <v>32</v>
      </c>
      <c r="H11" s="90">
        <v>667080</v>
      </c>
      <c r="I11" s="90">
        <v>667080</v>
      </c>
      <c r="J11" s="90">
        <v>627840</v>
      </c>
      <c r="K11" s="91">
        <v>68</v>
      </c>
      <c r="L11" s="91">
        <v>64</v>
      </c>
      <c r="M11" s="91">
        <v>40</v>
      </c>
      <c r="N11" s="90">
        <v>113168152</v>
      </c>
      <c r="O11" s="90">
        <v>79217706</v>
      </c>
      <c r="P11" s="90">
        <v>39608853</v>
      </c>
      <c r="Q11" s="90">
        <v>172212</v>
      </c>
      <c r="R11" s="90">
        <v>287021</v>
      </c>
      <c r="S11" s="90">
        <v>104763</v>
      </c>
    </row>
    <row r="12" spans="3:19" ht="16" thickBot="1" x14ac:dyDescent="0.25">
      <c r="C12" s="30" t="s">
        <v>163</v>
      </c>
      <c r="D12" s="31">
        <v>253000</v>
      </c>
      <c r="E12" s="32">
        <v>34</v>
      </c>
      <c r="F12" s="32">
        <v>34</v>
      </c>
      <c r="G12" s="32">
        <v>32</v>
      </c>
      <c r="H12" s="31">
        <v>86020</v>
      </c>
      <c r="I12" s="31">
        <v>86020</v>
      </c>
      <c r="J12" s="31">
        <v>80960</v>
      </c>
      <c r="K12" s="33">
        <v>69</v>
      </c>
      <c r="L12" s="33">
        <v>67</v>
      </c>
      <c r="M12" s="33">
        <v>36</v>
      </c>
      <c r="N12" s="31">
        <v>14613283</v>
      </c>
      <c r="O12" s="31">
        <v>10229298</v>
      </c>
      <c r="P12" s="31">
        <v>5114649</v>
      </c>
      <c r="Q12" s="31">
        <v>22238</v>
      </c>
      <c r="R12" s="31">
        <v>37063</v>
      </c>
      <c r="S12" s="31">
        <v>13528</v>
      </c>
    </row>
    <row r="13" spans="3:19" ht="16" thickBot="1" x14ac:dyDescent="0.25">
      <c r="C13" s="34" t="s">
        <v>40</v>
      </c>
      <c r="D13" s="35">
        <v>7000</v>
      </c>
      <c r="E13" s="36">
        <v>36</v>
      </c>
      <c r="F13" s="36">
        <v>36</v>
      </c>
      <c r="G13" s="36">
        <v>28</v>
      </c>
      <c r="H13" s="35">
        <v>2520</v>
      </c>
      <c r="I13" s="35">
        <v>2520</v>
      </c>
      <c r="J13" s="35">
        <v>1960</v>
      </c>
      <c r="K13" s="37">
        <v>89</v>
      </c>
      <c r="L13" s="37">
        <v>85</v>
      </c>
      <c r="M13" s="37">
        <v>48</v>
      </c>
      <c r="N13" s="35">
        <v>532558</v>
      </c>
      <c r="O13" s="35">
        <v>372791</v>
      </c>
      <c r="P13" s="35">
        <v>186395</v>
      </c>
      <c r="Q13" s="36">
        <v>810</v>
      </c>
      <c r="R13" s="35">
        <v>1351</v>
      </c>
      <c r="S13" s="36">
        <v>493</v>
      </c>
    </row>
    <row r="14" spans="3:19" ht="16" thickBot="1" x14ac:dyDescent="0.25">
      <c r="C14" s="38" t="s">
        <v>32</v>
      </c>
      <c r="D14" s="39">
        <v>2372000</v>
      </c>
      <c r="E14" s="40"/>
      <c r="F14" s="40"/>
      <c r="G14" s="40"/>
      <c r="H14" s="39">
        <v>812800</v>
      </c>
      <c r="I14" s="39">
        <v>812800</v>
      </c>
      <c r="J14" s="39">
        <v>753400</v>
      </c>
      <c r="K14" s="41"/>
      <c r="L14" s="41"/>
      <c r="M14" s="41"/>
      <c r="N14" s="39">
        <v>139392467</v>
      </c>
      <c r="O14" s="39">
        <v>97574727</v>
      </c>
      <c r="P14" s="39">
        <v>48787363</v>
      </c>
      <c r="Q14" s="39">
        <v>212119</v>
      </c>
      <c r="R14" s="39">
        <v>353532</v>
      </c>
      <c r="S14" s="39">
        <v>129039</v>
      </c>
    </row>
    <row r="15" spans="3:19" x14ac:dyDescent="0.2">
      <c r="C15" s="240"/>
      <c r="D15" s="240"/>
      <c r="E15" s="240"/>
      <c r="F15" s="240"/>
      <c r="G15" s="240"/>
      <c r="H15" s="240"/>
      <c r="I15" s="240"/>
      <c r="J15" s="240"/>
      <c r="K15" s="240"/>
      <c r="L15" s="240"/>
      <c r="M15" s="240"/>
      <c r="N15" s="240"/>
      <c r="O15" s="240"/>
      <c r="P15" s="240"/>
      <c r="Q15" s="240"/>
      <c r="R15" s="240"/>
      <c r="S15" s="240"/>
    </row>
    <row r="16" spans="3:19" x14ac:dyDescent="0.2">
      <c r="C16" s="236" t="s">
        <v>188</v>
      </c>
      <c r="D16" s="236"/>
      <c r="E16" s="236"/>
      <c r="F16" s="236"/>
      <c r="G16" s="236"/>
      <c r="H16" s="236"/>
      <c r="I16" s="236"/>
      <c r="J16" s="236"/>
      <c r="K16" s="236"/>
      <c r="L16" s="236"/>
      <c r="M16" s="236"/>
      <c r="N16" s="236"/>
      <c r="O16" s="236"/>
      <c r="P16" s="236"/>
      <c r="Q16" s="236"/>
      <c r="R16" s="236"/>
      <c r="S16" s="236"/>
    </row>
    <row r="17" spans="3:19" x14ac:dyDescent="0.2">
      <c r="C17" s="237" t="s">
        <v>189</v>
      </c>
      <c r="D17" s="237"/>
      <c r="E17" s="237"/>
      <c r="F17" s="237"/>
      <c r="G17" s="237"/>
      <c r="H17" s="237"/>
      <c r="I17" s="237"/>
      <c r="J17" s="237"/>
      <c r="K17" s="237"/>
      <c r="L17" s="237"/>
      <c r="M17" s="237"/>
      <c r="N17" s="237"/>
      <c r="O17" s="237"/>
      <c r="P17" s="237"/>
      <c r="Q17" s="237"/>
      <c r="R17" s="237"/>
      <c r="S17" s="237"/>
    </row>
    <row r="18" spans="3:19" x14ac:dyDescent="0.2">
      <c r="C18" s="236" t="s">
        <v>190</v>
      </c>
      <c r="D18" s="236"/>
      <c r="E18" s="236"/>
      <c r="F18" s="236"/>
      <c r="G18" s="236"/>
      <c r="H18" s="236"/>
      <c r="I18" s="236"/>
      <c r="J18" s="236"/>
      <c r="K18" s="236"/>
      <c r="L18" s="236"/>
      <c r="M18" s="236"/>
      <c r="N18" s="236"/>
      <c r="O18" s="236"/>
      <c r="P18" s="236"/>
      <c r="Q18" s="236"/>
      <c r="R18" s="236"/>
      <c r="S18" s="236"/>
    </row>
    <row r="19" spans="3:19" x14ac:dyDescent="0.2">
      <c r="C19" s="237" t="s">
        <v>191</v>
      </c>
      <c r="D19" s="237"/>
      <c r="E19" s="237"/>
      <c r="F19" s="237"/>
      <c r="G19" s="237"/>
      <c r="H19" s="237"/>
      <c r="I19" s="237"/>
      <c r="J19" s="237"/>
      <c r="K19" s="237"/>
      <c r="L19" s="237"/>
      <c r="M19" s="237"/>
      <c r="N19" s="237"/>
      <c r="O19" s="237"/>
      <c r="P19" s="237"/>
      <c r="Q19" s="237"/>
      <c r="R19" s="237"/>
      <c r="S19" s="237"/>
    </row>
    <row r="20" spans="3:19" x14ac:dyDescent="0.2">
      <c r="C20" s="236" t="s">
        <v>192</v>
      </c>
      <c r="D20" s="236"/>
      <c r="E20" s="236"/>
      <c r="F20" s="236"/>
      <c r="G20" s="236"/>
      <c r="H20" s="236"/>
      <c r="I20" s="236"/>
      <c r="J20" s="236"/>
      <c r="K20" s="236"/>
      <c r="L20" s="236"/>
      <c r="M20" s="236"/>
      <c r="N20" s="236"/>
      <c r="O20" s="236"/>
      <c r="P20" s="236"/>
      <c r="Q20" s="236"/>
      <c r="R20" s="236"/>
      <c r="S20" s="236"/>
    </row>
    <row r="21" spans="3:19" x14ac:dyDescent="0.2">
      <c r="C21" s="237" t="s">
        <v>196</v>
      </c>
      <c r="D21" s="237"/>
      <c r="E21" s="237"/>
      <c r="F21" s="237"/>
      <c r="G21" s="237"/>
      <c r="H21" s="237"/>
      <c r="I21" s="237"/>
      <c r="J21" s="237"/>
      <c r="K21" s="237"/>
      <c r="L21" s="237"/>
      <c r="M21" s="237"/>
      <c r="N21" s="237"/>
      <c r="O21" s="237"/>
      <c r="P21" s="237"/>
      <c r="Q21" s="237"/>
      <c r="R21" s="237"/>
      <c r="S21" s="237"/>
    </row>
    <row r="22" spans="3:19" x14ac:dyDescent="0.2">
      <c r="C22" s="237" t="s">
        <v>194</v>
      </c>
      <c r="D22" s="237"/>
      <c r="E22" s="237"/>
      <c r="F22" s="237"/>
      <c r="G22" s="237"/>
      <c r="H22" s="237"/>
      <c r="I22" s="237"/>
      <c r="J22" s="237"/>
      <c r="K22" s="237"/>
      <c r="L22" s="237"/>
      <c r="M22" s="237"/>
      <c r="N22" s="237"/>
      <c r="O22" s="237"/>
      <c r="P22" s="237"/>
      <c r="Q22" s="237"/>
      <c r="R22" s="237"/>
      <c r="S22" s="237"/>
    </row>
  </sheetData>
  <mergeCells count="15">
    <mergeCell ref="C20:S20"/>
    <mergeCell ref="C21:S21"/>
    <mergeCell ref="C22:S22"/>
    <mergeCell ref="S6:S7"/>
    <mergeCell ref="C15:S15"/>
    <mergeCell ref="C16:S16"/>
    <mergeCell ref="C17:S17"/>
    <mergeCell ref="C18:S18"/>
    <mergeCell ref="C19:S19"/>
    <mergeCell ref="C6:C7"/>
    <mergeCell ref="H6:H7"/>
    <mergeCell ref="I6:I7"/>
    <mergeCell ref="J6:J7"/>
    <mergeCell ref="N6:N7"/>
    <mergeCell ref="O6:O7"/>
  </mergeCells>
  <hyperlinks>
    <hyperlink ref="C16" r:id="rId1" display="https://stats.pacificdata.org/" xr:uid="{D3B1934D-1D1B-4BE2-9EE6-1D1685EE24C3}"/>
    <hyperlink ref="C18" r:id="rId2" display="https://www.ncdrisc.org/data-downloads.html" xr:uid="{C871727C-490D-442F-994B-B0B5E3BF0D15}"/>
    <hyperlink ref="C20" r:id="rId3" display="https://pacificdata.org/data/dataset/oai-www-spc-int-ced24e95-7e0a-401a-9f0b-d79316c49cb0" xr:uid="{58E54D08-507A-4A88-93AB-DCA7E2BD8FAE}"/>
  </hyperlink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91D71-7F9E-4483-AD03-66FA6D202984}">
  <dimension ref="B2:U53"/>
  <sheetViews>
    <sheetView topLeftCell="A19" zoomScaleNormal="100" workbookViewId="0">
      <selection activeCell="D11" sqref="D11"/>
    </sheetView>
  </sheetViews>
  <sheetFormatPr baseColWidth="10" defaultColWidth="8.83203125" defaultRowHeight="15" x14ac:dyDescent="0.2"/>
  <cols>
    <col min="2" max="2" width="32.5" customWidth="1"/>
    <col min="3" max="3" width="6.83203125" customWidth="1"/>
    <col min="4" max="4" width="9" customWidth="1"/>
    <col min="5" max="6" width="10.5" customWidth="1"/>
    <col min="7" max="7" width="8.1640625" customWidth="1"/>
    <col min="8" max="8" width="8.33203125" customWidth="1"/>
    <col min="9" max="9" width="8.6640625" customWidth="1"/>
    <col min="10" max="10" width="10.33203125" customWidth="1"/>
    <col min="11" max="11" width="8" customWidth="1"/>
    <col min="12" max="12" width="8.83203125" customWidth="1"/>
    <col min="13" max="13" width="7.6640625" customWidth="1"/>
    <col min="14" max="14" width="8" customWidth="1"/>
    <col min="15" max="15" width="9.1640625" customWidth="1"/>
    <col min="16" max="16" width="8.33203125" customWidth="1"/>
    <col min="17" max="17" width="8.5" customWidth="1"/>
    <col min="18" max="18" width="10.1640625" customWidth="1"/>
  </cols>
  <sheetData>
    <row r="2" spans="2:21" x14ac:dyDescent="0.2">
      <c r="B2" s="163" t="s">
        <v>231</v>
      </c>
      <c r="C2" s="163"/>
      <c r="D2" s="163"/>
      <c r="E2" s="164"/>
      <c r="F2" s="164"/>
      <c r="G2" s="164"/>
      <c r="H2" s="164"/>
      <c r="I2" s="164"/>
      <c r="J2" s="164"/>
      <c r="K2" s="164"/>
      <c r="L2" s="164"/>
      <c r="M2" s="164"/>
      <c r="N2" s="164"/>
      <c r="O2" s="164"/>
      <c r="P2" s="164"/>
      <c r="Q2" s="164"/>
      <c r="R2" s="164"/>
    </row>
    <row r="3" spans="2:21" x14ac:dyDescent="0.2">
      <c r="B3" s="164"/>
      <c r="C3" s="164"/>
      <c r="D3" s="164"/>
      <c r="E3" s="164"/>
      <c r="F3" s="164"/>
      <c r="G3" s="164"/>
      <c r="H3" s="164"/>
      <c r="I3" s="164"/>
      <c r="J3" s="164"/>
      <c r="K3" s="164"/>
      <c r="L3" s="164"/>
      <c r="M3" s="164"/>
      <c r="N3" s="164"/>
      <c r="O3" s="164"/>
      <c r="P3" s="164"/>
      <c r="Q3" s="164"/>
      <c r="R3" s="164"/>
    </row>
    <row r="4" spans="2:21" x14ac:dyDescent="0.2">
      <c r="B4" s="164"/>
      <c r="C4" s="164"/>
      <c r="D4" s="163" t="s">
        <v>232</v>
      </c>
      <c r="E4" s="164"/>
      <c r="F4" s="164"/>
      <c r="G4" s="164"/>
      <c r="H4" s="164"/>
      <c r="I4" s="164"/>
      <c r="J4" s="164"/>
      <c r="K4" s="164"/>
      <c r="L4" s="164"/>
      <c r="M4" s="164"/>
      <c r="N4" s="164"/>
      <c r="O4" s="164"/>
      <c r="P4" s="164"/>
      <c r="Q4" s="164"/>
      <c r="R4" s="164"/>
    </row>
    <row r="5" spans="2:21" x14ac:dyDescent="0.2">
      <c r="B5" s="165" t="s">
        <v>140</v>
      </c>
      <c r="C5" s="165"/>
      <c r="D5" s="165" t="s">
        <v>233</v>
      </c>
      <c r="E5" s="165" t="s">
        <v>148</v>
      </c>
      <c r="F5" s="165" t="s">
        <v>234</v>
      </c>
      <c r="G5" s="165" t="s">
        <v>235</v>
      </c>
      <c r="H5" s="165" t="s">
        <v>34</v>
      </c>
      <c r="I5" s="165" t="s">
        <v>36</v>
      </c>
      <c r="J5" s="165" t="s">
        <v>38</v>
      </c>
      <c r="K5" s="165" t="s">
        <v>236</v>
      </c>
      <c r="L5" s="165" t="s">
        <v>237</v>
      </c>
      <c r="M5" s="165" t="s">
        <v>238</v>
      </c>
      <c r="N5" s="165" t="s">
        <v>239</v>
      </c>
      <c r="O5" s="165" t="s">
        <v>240</v>
      </c>
      <c r="P5" s="165" t="s">
        <v>241</v>
      </c>
      <c r="Q5" s="165" t="s">
        <v>40</v>
      </c>
      <c r="R5" s="165" t="s">
        <v>32</v>
      </c>
    </row>
    <row r="6" spans="2:21" x14ac:dyDescent="0.2">
      <c r="B6" s="163" t="s">
        <v>242</v>
      </c>
      <c r="C6" s="163" t="s">
        <v>243</v>
      </c>
      <c r="D6" s="163"/>
      <c r="E6" s="164"/>
      <c r="F6" s="164"/>
      <c r="G6" s="164"/>
      <c r="H6" s="164"/>
      <c r="I6" s="164"/>
      <c r="J6" s="164"/>
      <c r="K6" s="164"/>
      <c r="L6" s="164"/>
      <c r="M6" s="164"/>
      <c r="N6" s="164"/>
      <c r="O6" s="164"/>
      <c r="P6" s="164"/>
      <c r="Q6" s="164"/>
      <c r="R6" s="164"/>
    </row>
    <row r="7" spans="2:21" x14ac:dyDescent="0.2">
      <c r="B7" s="164" t="s">
        <v>244</v>
      </c>
      <c r="C7" s="166" t="s">
        <v>245</v>
      </c>
      <c r="D7" s="167">
        <v>27.887011691989699</v>
      </c>
      <c r="E7" s="167">
        <v>1.55840381401446E-2</v>
      </c>
      <c r="F7" s="167">
        <v>1.08462551709339E-2</v>
      </c>
      <c r="G7" s="167">
        <v>4.3001848768213202</v>
      </c>
      <c r="H7" s="167">
        <v>1.8679093300769601E-2</v>
      </c>
      <c r="I7" s="167">
        <v>6.3819835796181099</v>
      </c>
      <c r="J7" s="167">
        <v>36.678009683911597</v>
      </c>
      <c r="K7" s="167">
        <v>92.32</v>
      </c>
      <c r="L7" s="167"/>
      <c r="M7" s="167">
        <v>6.2422493573161403E-2</v>
      </c>
      <c r="N7" s="167"/>
      <c r="O7" s="167">
        <v>2.0002173735503002</v>
      </c>
      <c r="P7" s="167">
        <v>8.9375179206046003</v>
      </c>
      <c r="Q7" s="167">
        <f>'[3]Tuvalu-fghbar-chart'!$B2</f>
        <v>2.4497843836430201E-2</v>
      </c>
      <c r="R7" s="164"/>
    </row>
    <row r="8" spans="2:21" x14ac:dyDescent="0.2">
      <c r="B8" s="164" t="s">
        <v>246</v>
      </c>
      <c r="C8" s="168" t="s">
        <v>204</v>
      </c>
      <c r="D8" s="167">
        <v>42.827203189634702</v>
      </c>
      <c r="E8" s="167">
        <v>6.9562366448424697</v>
      </c>
      <c r="F8" s="167">
        <v>4.2157832052665301</v>
      </c>
      <c r="G8" s="167">
        <v>10.975450375921</v>
      </c>
      <c r="H8" s="167">
        <v>10.767896174913799</v>
      </c>
      <c r="I8" s="167">
        <v>52.031665090505101</v>
      </c>
      <c r="J8" s="167">
        <v>89.968061707682693</v>
      </c>
      <c r="K8" s="167">
        <v>186.29</v>
      </c>
      <c r="L8" s="167"/>
      <c r="M8" s="167">
        <v>58.633020145669001</v>
      </c>
      <c r="N8" s="167"/>
      <c r="O8" s="167">
        <v>32.070980472424701</v>
      </c>
      <c r="P8" s="167">
        <v>13.347281701405899</v>
      </c>
      <c r="Q8" s="167">
        <f>'[3]Tuvalu-fghbar-chart'!$B3</f>
        <v>60.377812624896997</v>
      </c>
      <c r="R8" s="164"/>
    </row>
    <row r="9" spans="2:21" x14ac:dyDescent="0.2">
      <c r="B9" s="164" t="s">
        <v>247</v>
      </c>
      <c r="C9" s="168" t="s">
        <v>204</v>
      </c>
      <c r="D9" s="167">
        <v>150.960857088365</v>
      </c>
      <c r="E9" s="167">
        <v>34.919600348285002</v>
      </c>
      <c r="F9" s="167">
        <v>81.595283692860306</v>
      </c>
      <c r="G9" s="167">
        <v>42.194708054929201</v>
      </c>
      <c r="H9" s="167">
        <v>82.008293205077607</v>
      </c>
      <c r="I9" s="167">
        <v>208.15074623351501</v>
      </c>
      <c r="J9" s="167">
        <v>263.62830694436798</v>
      </c>
      <c r="K9" s="167">
        <v>1032.25</v>
      </c>
      <c r="L9" s="167"/>
      <c r="M9" s="167">
        <v>630.37850035285305</v>
      </c>
      <c r="N9" s="167"/>
      <c r="O9" s="167">
        <v>210.0458192529</v>
      </c>
      <c r="P9" s="167">
        <v>174.67830391722001</v>
      </c>
      <c r="Q9" s="167">
        <f>'[3]Tuvalu-fghbar-chart'!$B4</f>
        <v>477.60734511450698</v>
      </c>
      <c r="R9" s="164"/>
    </row>
    <row r="10" spans="2:21" x14ac:dyDescent="0.2">
      <c r="B10" s="164" t="s">
        <v>248</v>
      </c>
      <c r="C10" s="168" t="s">
        <v>204</v>
      </c>
      <c r="D10" s="167">
        <v>62.447754844099101</v>
      </c>
      <c r="E10" s="167">
        <v>41.257310242837903</v>
      </c>
      <c r="F10" s="167">
        <v>72.446558798681494</v>
      </c>
      <c r="G10" s="167">
        <v>105.815635251407</v>
      </c>
      <c r="H10" s="167">
        <v>5.48258982759552</v>
      </c>
      <c r="I10" s="167">
        <v>113.987965025029</v>
      </c>
      <c r="J10" s="167">
        <v>77.834458514928102</v>
      </c>
      <c r="K10" s="167">
        <v>0</v>
      </c>
      <c r="L10" s="167"/>
      <c r="M10" s="167">
        <v>0</v>
      </c>
      <c r="N10" s="167"/>
      <c r="O10" s="167">
        <v>67.896257224880003</v>
      </c>
      <c r="P10" s="167">
        <v>107.16598475460199</v>
      </c>
      <c r="Q10" s="167">
        <f>'[3]Tuvalu-fghbar-chart'!$B5</f>
        <v>327.739108746586</v>
      </c>
      <c r="R10" s="164" t="s">
        <v>249</v>
      </c>
    </row>
    <row r="11" spans="2:21" x14ac:dyDescent="0.2">
      <c r="B11" s="163" t="s">
        <v>250</v>
      </c>
      <c r="C11" s="168" t="s">
        <v>204</v>
      </c>
      <c r="D11" s="169">
        <v>284.12282681408902</v>
      </c>
      <c r="E11" s="169">
        <v>83.148731274105501</v>
      </c>
      <c r="F11" s="169">
        <v>158.268471951979</v>
      </c>
      <c r="G11" s="169">
        <v>163.28597855907799</v>
      </c>
      <c r="H11" s="169">
        <v>98.277458300887702</v>
      </c>
      <c r="I11" s="169">
        <v>380.55235992866699</v>
      </c>
      <c r="J11" s="169">
        <v>468.10883685088999</v>
      </c>
      <c r="K11" s="169">
        <f>SUM(K7:K10)</f>
        <v>1310.8600000000001</v>
      </c>
      <c r="L11" s="169">
        <v>2045</v>
      </c>
      <c r="M11" s="169">
        <v>689.073942992095</v>
      </c>
      <c r="N11" s="169">
        <v>1912</v>
      </c>
      <c r="O11" s="169">
        <v>312.01327432375501</v>
      </c>
      <c r="P11" s="169">
        <v>304.12908829383298</v>
      </c>
      <c r="Q11" s="169">
        <f>'[3]Tuvalu-fghbar-chart'!$B6</f>
        <v>865.74876432982603</v>
      </c>
      <c r="R11" s="170">
        <f>U10+AVERAGE(D11:Q11)</f>
        <v>648.18498097280042</v>
      </c>
    </row>
    <row r="12" spans="2:21" x14ac:dyDescent="0.2">
      <c r="B12" s="163" t="s">
        <v>251</v>
      </c>
      <c r="C12" s="168" t="s">
        <v>252</v>
      </c>
      <c r="D12" s="167">
        <v>924.5</v>
      </c>
      <c r="E12" s="167">
        <v>1000.5</v>
      </c>
      <c r="F12" s="167">
        <v>683.6</v>
      </c>
      <c r="G12" s="167">
        <v>303</v>
      </c>
      <c r="H12" s="167">
        <v>102.6</v>
      </c>
      <c r="I12" s="167">
        <v>121.2</v>
      </c>
      <c r="J12" s="167">
        <v>56.3</v>
      </c>
      <c r="K12" s="167">
        <v>12.5</v>
      </c>
      <c r="L12" s="167"/>
      <c r="M12" s="167">
        <v>17.7</v>
      </c>
      <c r="N12" s="167"/>
      <c r="O12" s="167">
        <v>213.6</v>
      </c>
      <c r="P12" s="167">
        <v>106.3</v>
      </c>
      <c r="Q12" s="163">
        <v>12.4</v>
      </c>
      <c r="R12" s="170">
        <f>SUM(D12:Q12)</f>
        <v>3554.2</v>
      </c>
      <c r="S12">
        <f>R22/R12</f>
        <v>62.708659425396945</v>
      </c>
    </row>
    <row r="13" spans="2:21" x14ac:dyDescent="0.2">
      <c r="B13" s="163" t="s">
        <v>253</v>
      </c>
      <c r="C13" s="163" t="s">
        <v>254</v>
      </c>
      <c r="D13" s="167">
        <v>19.3</v>
      </c>
      <c r="E13" s="167">
        <v>52.7</v>
      </c>
      <c r="F13" s="167">
        <v>19.5</v>
      </c>
      <c r="G13" s="167">
        <v>20.7</v>
      </c>
      <c r="H13" s="167">
        <v>15.4</v>
      </c>
      <c r="I13" s="167">
        <v>36.4</v>
      </c>
      <c r="J13" s="167">
        <v>19.899999999999999</v>
      </c>
      <c r="K13" s="167">
        <v>26.5</v>
      </c>
      <c r="L13" s="167">
        <v>22.3</v>
      </c>
      <c r="M13" s="167">
        <v>5.4</v>
      </c>
      <c r="N13" s="167">
        <v>24.8</v>
      </c>
      <c r="O13" s="167">
        <v>13</v>
      </c>
      <c r="P13" s="167">
        <v>11.7</v>
      </c>
      <c r="Q13" s="163">
        <v>17.3</v>
      </c>
      <c r="R13" s="164"/>
      <c r="U13" s="171"/>
    </row>
    <row r="14" spans="2:21" x14ac:dyDescent="0.2">
      <c r="B14" s="163" t="s">
        <v>255</v>
      </c>
      <c r="C14" s="163" t="s">
        <v>254</v>
      </c>
      <c r="D14" s="167">
        <v>41.1</v>
      </c>
      <c r="E14" s="167">
        <v>38.200000000000003</v>
      </c>
      <c r="F14" s="167">
        <v>14.8</v>
      </c>
      <c r="G14" s="167">
        <v>15.8</v>
      </c>
      <c r="H14" s="167">
        <v>11.8</v>
      </c>
      <c r="I14" s="167">
        <v>26.8</v>
      </c>
      <c r="J14" s="167">
        <v>15.2</v>
      </c>
      <c r="K14" s="167">
        <v>22</v>
      </c>
      <c r="L14" s="167">
        <v>22</v>
      </c>
      <c r="M14" s="167">
        <v>3.7</v>
      </c>
      <c r="N14" s="167">
        <v>21</v>
      </c>
      <c r="O14" s="167">
        <v>9.4</v>
      </c>
      <c r="P14" s="167">
        <v>8</v>
      </c>
      <c r="Q14" s="163">
        <v>13.4</v>
      </c>
      <c r="R14" s="164"/>
    </row>
    <row r="15" spans="2:21" x14ac:dyDescent="0.2">
      <c r="B15" s="163"/>
      <c r="C15" s="163"/>
      <c r="D15" s="169"/>
      <c r="E15" s="169"/>
      <c r="F15" s="169"/>
      <c r="G15" s="169"/>
      <c r="H15" s="169"/>
      <c r="I15" s="169"/>
      <c r="J15" s="169"/>
      <c r="K15" s="169"/>
      <c r="L15" s="169"/>
      <c r="M15" s="169"/>
      <c r="N15" s="169"/>
      <c r="O15" s="169"/>
      <c r="P15" s="169"/>
      <c r="Q15" s="163"/>
      <c r="R15" s="164"/>
    </row>
    <row r="16" spans="2:21" x14ac:dyDescent="0.2">
      <c r="B16" s="163" t="s">
        <v>256</v>
      </c>
      <c r="C16" s="168" t="s">
        <v>252</v>
      </c>
      <c r="D16" s="169">
        <v>920.98</v>
      </c>
      <c r="E16" s="169" t="s">
        <v>257</v>
      </c>
      <c r="F16" s="169">
        <v>892</v>
      </c>
      <c r="G16" s="169">
        <v>363</v>
      </c>
      <c r="H16" s="169">
        <v>106.5</v>
      </c>
      <c r="I16" s="169">
        <v>138.9</v>
      </c>
      <c r="J16" s="169">
        <v>54</v>
      </c>
      <c r="K16" s="169">
        <v>12.5</v>
      </c>
      <c r="L16" s="169">
        <v>18</v>
      </c>
      <c r="M16" s="169">
        <v>15.9</v>
      </c>
      <c r="N16" s="169">
        <v>1.4</v>
      </c>
      <c r="O16" s="169">
        <v>209.4</v>
      </c>
      <c r="P16" s="169">
        <v>97.3</v>
      </c>
      <c r="Q16" s="163">
        <v>11.25</v>
      </c>
      <c r="R16" s="170">
        <f>SUM(D16:Q16)</f>
        <v>2841.1300000000006</v>
      </c>
    </row>
    <row r="17" spans="2:20" x14ac:dyDescent="0.2">
      <c r="B17" s="163" t="s">
        <v>258</v>
      </c>
      <c r="C17" s="168" t="s">
        <v>252</v>
      </c>
      <c r="D17" s="167">
        <v>72.483000000000004</v>
      </c>
      <c r="E17" s="167">
        <v>91.834000000000003</v>
      </c>
      <c r="F17" s="167">
        <v>62.752000000000002</v>
      </c>
      <c r="G17" s="167">
        <v>66.849999999999994</v>
      </c>
      <c r="H17" s="167">
        <v>38.588000000000001</v>
      </c>
      <c r="I17" s="167">
        <v>81.778000000000006</v>
      </c>
      <c r="J17" s="167">
        <v>26.992999999999999</v>
      </c>
      <c r="K17" s="167">
        <v>12.539</v>
      </c>
      <c r="L17" s="167">
        <v>8.8149999999999995</v>
      </c>
      <c r="M17" s="167">
        <v>8.7919999999999998</v>
      </c>
      <c r="N17" s="167">
        <v>1.393</v>
      </c>
      <c r="O17" s="167">
        <v>41.874000000000002</v>
      </c>
      <c r="P17" s="167">
        <v>32.950000000000003</v>
      </c>
      <c r="Q17" s="164">
        <v>11.25</v>
      </c>
      <c r="R17" s="170">
        <f>SUM(D17:Q17)</f>
        <v>558.89099999999996</v>
      </c>
    </row>
    <row r="18" spans="2:20" x14ac:dyDescent="0.2">
      <c r="B18" s="163" t="s">
        <v>259</v>
      </c>
      <c r="C18" s="168" t="s">
        <v>252</v>
      </c>
      <c r="D18" s="167"/>
      <c r="E18" s="167"/>
      <c r="F18" s="167">
        <v>169</v>
      </c>
      <c r="G18" s="167"/>
      <c r="H18" s="167">
        <v>10</v>
      </c>
      <c r="I18" s="167">
        <v>74</v>
      </c>
      <c r="J18" s="167">
        <v>29</v>
      </c>
      <c r="K18" s="167"/>
      <c r="L18" s="167"/>
      <c r="M18" s="167"/>
      <c r="N18" s="167"/>
      <c r="O18" s="167"/>
      <c r="P18" s="167"/>
      <c r="Q18" s="164">
        <v>7</v>
      </c>
      <c r="R18" s="170">
        <f>SUM(D18:Q18)</f>
        <v>289</v>
      </c>
    </row>
    <row r="19" spans="2:20" x14ac:dyDescent="0.2">
      <c r="B19" s="163" t="s">
        <v>260</v>
      </c>
      <c r="C19" s="168" t="s">
        <v>252</v>
      </c>
      <c r="D19" s="167"/>
      <c r="E19" s="167"/>
      <c r="F19" s="167"/>
      <c r="G19" s="167"/>
      <c r="H19" s="167">
        <v>-8</v>
      </c>
      <c r="I19" s="167">
        <v>-30</v>
      </c>
      <c r="J19" s="167">
        <v>-15</v>
      </c>
      <c r="K19" s="167"/>
      <c r="L19" s="167"/>
      <c r="M19" s="167"/>
      <c r="N19" s="167"/>
      <c r="O19" s="167"/>
      <c r="P19" s="167"/>
      <c r="Q19" s="164">
        <v>-7</v>
      </c>
      <c r="R19" s="170">
        <f>SUM(D19:Q19)</f>
        <v>-60</v>
      </c>
    </row>
    <row r="20" spans="2:20" x14ac:dyDescent="0.2">
      <c r="B20" s="163" t="s">
        <v>261</v>
      </c>
      <c r="C20" s="168" t="s">
        <v>252</v>
      </c>
      <c r="D20" s="169">
        <f t="shared" ref="D20:Q20" si="0">SUM(D17:D19)</f>
        <v>72.483000000000004</v>
      </c>
      <c r="E20" s="169">
        <f t="shared" si="0"/>
        <v>91.834000000000003</v>
      </c>
      <c r="F20" s="169">
        <f t="shared" si="0"/>
        <v>231.75200000000001</v>
      </c>
      <c r="G20" s="169">
        <f t="shared" si="0"/>
        <v>66.849999999999994</v>
      </c>
      <c r="H20" s="169">
        <f>SUM(H17:H19)</f>
        <v>40.588000000000001</v>
      </c>
      <c r="I20" s="169">
        <f t="shared" si="0"/>
        <v>125.77800000000002</v>
      </c>
      <c r="J20" s="169">
        <f t="shared" si="0"/>
        <v>40.992999999999995</v>
      </c>
      <c r="K20" s="169">
        <f t="shared" si="0"/>
        <v>12.539</v>
      </c>
      <c r="L20" s="169">
        <f t="shared" si="0"/>
        <v>8.8149999999999995</v>
      </c>
      <c r="M20" s="169">
        <f t="shared" si="0"/>
        <v>8.7919999999999998</v>
      </c>
      <c r="N20" s="169">
        <f t="shared" si="0"/>
        <v>1.393</v>
      </c>
      <c r="O20" s="169">
        <f t="shared" si="0"/>
        <v>41.874000000000002</v>
      </c>
      <c r="P20" s="169">
        <f t="shared" si="0"/>
        <v>32.950000000000003</v>
      </c>
      <c r="Q20" s="169">
        <f t="shared" si="0"/>
        <v>11.25</v>
      </c>
      <c r="R20" s="170">
        <f>SUM(D20:Q20)</f>
        <v>787.89100000000019</v>
      </c>
      <c r="S20" s="170">
        <v>790</v>
      </c>
      <c r="T20" s="170"/>
    </row>
    <row r="21" spans="2:20" x14ac:dyDescent="0.2">
      <c r="B21" s="163"/>
      <c r="C21" s="163"/>
      <c r="D21" s="169"/>
      <c r="E21" s="169"/>
      <c r="F21" s="169"/>
      <c r="G21" s="169"/>
      <c r="H21" s="169"/>
      <c r="I21" s="169"/>
      <c r="J21" s="169"/>
      <c r="K21" s="169"/>
      <c r="L21" s="169"/>
      <c r="M21" s="169"/>
      <c r="N21" s="169"/>
      <c r="O21" s="169"/>
      <c r="P21" s="169"/>
      <c r="Q21" s="163"/>
      <c r="R21" s="170">
        <f t="shared" ref="R21" si="1">SUM(D21:Q21)</f>
        <v>0</v>
      </c>
      <c r="S21" s="170" t="s">
        <v>262</v>
      </c>
      <c r="T21" s="170"/>
    </row>
    <row r="22" spans="2:20" x14ac:dyDescent="0.2">
      <c r="B22" s="163" t="s">
        <v>263</v>
      </c>
      <c r="C22" s="163" t="s">
        <v>35</v>
      </c>
      <c r="D22" s="172">
        <f>D20*D11</f>
        <v>20594.074855965617</v>
      </c>
      <c r="E22" s="172">
        <f>E20*E11</f>
        <v>7635.8805878262046</v>
      </c>
      <c r="F22" s="172">
        <f>F20*F11</f>
        <v>36679.034911815041</v>
      </c>
      <c r="G22" s="172">
        <f t="shared" ref="G22:L22" si="2">G20*G11</f>
        <v>10915.667666674362</v>
      </c>
      <c r="H22" s="172">
        <f t="shared" si="2"/>
        <v>3988.88547751643</v>
      </c>
      <c r="I22" s="172">
        <f t="shared" si="2"/>
        <v>47865.114727107881</v>
      </c>
      <c r="J22" s="172">
        <f t="shared" si="2"/>
        <v>19189.185549028531</v>
      </c>
      <c r="K22" s="172">
        <f t="shared" si="2"/>
        <v>16436.873540000001</v>
      </c>
      <c r="L22" s="172">
        <f t="shared" si="2"/>
        <v>18026.674999999999</v>
      </c>
      <c r="M22" s="172">
        <f>M20*M11</f>
        <v>6058.3381067864993</v>
      </c>
      <c r="N22" s="172">
        <f>N20*N11</f>
        <v>2663.4160000000002</v>
      </c>
      <c r="O22" s="172">
        <f>O20*O11</f>
        <v>13065.243849032919</v>
      </c>
      <c r="P22" s="172">
        <f>P20*P11</f>
        <v>10021.053459281797</v>
      </c>
      <c r="Q22" s="172">
        <f>Q20*Q11</f>
        <v>9739.6735987105421</v>
      </c>
      <c r="R22" s="173">
        <f>SUM(D22:Q22)</f>
        <v>222879.11732974582</v>
      </c>
      <c r="S22" s="170">
        <f>R22/R16</f>
        <v>78.447349234194064</v>
      </c>
      <c r="T22" s="170">
        <f>R22/R20</f>
        <v>282.88064888385037</v>
      </c>
    </row>
    <row r="23" spans="2:20" x14ac:dyDescent="0.2">
      <c r="B23" s="163" t="s">
        <v>264</v>
      </c>
      <c r="C23" s="163" t="s">
        <v>35</v>
      </c>
      <c r="D23" s="167">
        <f>D22*5%</f>
        <v>1029.7037427982809</v>
      </c>
      <c r="E23" s="167">
        <f t="shared" ref="E23:Q23" si="3">E22*5%</f>
        <v>381.79402939131023</v>
      </c>
      <c r="F23" s="167">
        <f>F22*5%</f>
        <v>1833.9517455907521</v>
      </c>
      <c r="G23" s="167">
        <f t="shared" si="3"/>
        <v>545.78338333371812</v>
      </c>
      <c r="H23" s="167">
        <f t="shared" si="3"/>
        <v>199.44427387582152</v>
      </c>
      <c r="I23" s="167">
        <f t="shared" si="3"/>
        <v>2393.2557363553942</v>
      </c>
      <c r="J23" s="167">
        <f t="shared" si="3"/>
        <v>959.4592774514266</v>
      </c>
      <c r="K23" s="167">
        <f t="shared" si="3"/>
        <v>821.84367700000007</v>
      </c>
      <c r="L23" s="167">
        <f t="shared" si="3"/>
        <v>901.33375000000001</v>
      </c>
      <c r="M23" s="167">
        <f t="shared" si="3"/>
        <v>302.91690533932496</v>
      </c>
      <c r="N23" s="167">
        <f t="shared" si="3"/>
        <v>133.17080000000001</v>
      </c>
      <c r="O23" s="167">
        <f t="shared" si="3"/>
        <v>653.262192451646</v>
      </c>
      <c r="P23" s="167">
        <f t="shared" si="3"/>
        <v>501.05267296408988</v>
      </c>
      <c r="Q23" s="167">
        <f t="shared" si="3"/>
        <v>486.98367993552711</v>
      </c>
      <c r="R23" s="173">
        <f t="shared" ref="R23" si="4">SUM(D23:Q23)</f>
        <v>11143.955866487291</v>
      </c>
      <c r="S23" s="170"/>
      <c r="T23" s="170"/>
    </row>
    <row r="24" spans="2:20" x14ac:dyDescent="0.2">
      <c r="B24" s="174" t="s">
        <v>265</v>
      </c>
      <c r="C24" s="163" t="s">
        <v>35</v>
      </c>
      <c r="D24" s="167">
        <f>D22*1%</f>
        <v>205.94074855965619</v>
      </c>
      <c r="E24" s="167">
        <f t="shared" ref="E24:Q24" si="5">E22*1%</f>
        <v>76.358805878262046</v>
      </c>
      <c r="F24" s="167">
        <f t="shared" si="5"/>
        <v>366.7903491181504</v>
      </c>
      <c r="G24" s="167">
        <f t="shared" si="5"/>
        <v>109.15667666674362</v>
      </c>
      <c r="H24" s="167">
        <f t="shared" si="5"/>
        <v>39.888854775164297</v>
      </c>
      <c r="I24" s="167">
        <f t="shared" si="5"/>
        <v>478.6511472710788</v>
      </c>
      <c r="J24" s="167">
        <f t="shared" si="5"/>
        <v>191.89185549028531</v>
      </c>
      <c r="K24" s="167">
        <f t="shared" si="5"/>
        <v>164.36873540000002</v>
      </c>
      <c r="L24" s="167">
        <f t="shared" si="5"/>
        <v>180.26675</v>
      </c>
      <c r="M24" s="167">
        <f t="shared" si="5"/>
        <v>60.583381067864991</v>
      </c>
      <c r="N24" s="167">
        <f t="shared" si="5"/>
        <v>26.634160000000001</v>
      </c>
      <c r="O24" s="167">
        <f t="shared" si="5"/>
        <v>130.65243849032919</v>
      </c>
      <c r="P24" s="167">
        <f t="shared" si="5"/>
        <v>100.21053459281796</v>
      </c>
      <c r="Q24" s="167">
        <f t="shared" si="5"/>
        <v>97.39673598710543</v>
      </c>
      <c r="R24" s="173">
        <f>SUM(D24:Q24)</f>
        <v>2228.791173297458</v>
      </c>
      <c r="S24" s="170"/>
      <c r="T24" s="170"/>
    </row>
    <row r="25" spans="2:20" x14ac:dyDescent="0.2">
      <c r="B25" s="174" t="s">
        <v>266</v>
      </c>
      <c r="C25" s="163"/>
      <c r="D25" s="167"/>
      <c r="E25" s="167"/>
      <c r="F25" s="167"/>
      <c r="G25" s="167"/>
      <c r="H25" s="167"/>
      <c r="I25" s="167"/>
      <c r="J25" s="167"/>
      <c r="K25" s="167"/>
      <c r="L25" s="167"/>
      <c r="M25" s="167"/>
      <c r="N25" s="167"/>
      <c r="O25" s="167"/>
      <c r="P25" s="167"/>
      <c r="Q25" s="167"/>
      <c r="R25" s="173"/>
      <c r="S25" s="170"/>
      <c r="T25" s="170"/>
    </row>
    <row r="26" spans="2:20" x14ac:dyDescent="0.2">
      <c r="B26" s="175" t="s">
        <v>267</v>
      </c>
      <c r="C26" s="168" t="s">
        <v>252</v>
      </c>
      <c r="D26" s="167">
        <f>D17</f>
        <v>72.483000000000004</v>
      </c>
      <c r="E26" s="167">
        <f t="shared" ref="E26:R26" si="6">E17</f>
        <v>91.834000000000003</v>
      </c>
      <c r="F26" s="167">
        <f t="shared" si="6"/>
        <v>62.752000000000002</v>
      </c>
      <c r="G26" s="167">
        <f t="shared" si="6"/>
        <v>66.849999999999994</v>
      </c>
      <c r="H26" s="167">
        <f t="shared" si="6"/>
        <v>38.588000000000001</v>
      </c>
      <c r="I26" s="167">
        <f t="shared" si="6"/>
        <v>81.778000000000006</v>
      </c>
      <c r="J26" s="167">
        <f t="shared" si="6"/>
        <v>26.992999999999999</v>
      </c>
      <c r="K26" s="167">
        <f t="shared" si="6"/>
        <v>12.539</v>
      </c>
      <c r="L26" s="167">
        <f t="shared" si="6"/>
        <v>8.8149999999999995</v>
      </c>
      <c r="M26" s="167">
        <f t="shared" si="6"/>
        <v>8.7919999999999998</v>
      </c>
      <c r="N26" s="167">
        <f t="shared" si="6"/>
        <v>1.393</v>
      </c>
      <c r="O26" s="167">
        <f t="shared" si="6"/>
        <v>41.874000000000002</v>
      </c>
      <c r="P26" s="167">
        <f t="shared" si="6"/>
        <v>32.950000000000003</v>
      </c>
      <c r="Q26" s="167">
        <f t="shared" si="6"/>
        <v>11.25</v>
      </c>
      <c r="R26" s="169">
        <f t="shared" si="6"/>
        <v>558.89099999999996</v>
      </c>
      <c r="S26" s="170"/>
      <c r="T26" s="170"/>
    </row>
    <row r="27" spans="2:20" x14ac:dyDescent="0.2">
      <c r="B27" s="175" t="s">
        <v>268</v>
      </c>
      <c r="C27" s="168" t="s">
        <v>269</v>
      </c>
      <c r="D27" s="167">
        <f>D11</f>
        <v>284.12282681408902</v>
      </c>
      <c r="E27" s="167">
        <f t="shared" ref="E27:Q27" si="7">E11</f>
        <v>83.148731274105501</v>
      </c>
      <c r="F27" s="167">
        <f t="shared" si="7"/>
        <v>158.268471951979</v>
      </c>
      <c r="G27" s="167">
        <f t="shared" si="7"/>
        <v>163.28597855907799</v>
      </c>
      <c r="H27" s="167">
        <f t="shared" si="7"/>
        <v>98.277458300887702</v>
      </c>
      <c r="I27" s="167">
        <f t="shared" si="7"/>
        <v>380.55235992866699</v>
      </c>
      <c r="J27" s="167">
        <f t="shared" si="7"/>
        <v>468.10883685088999</v>
      </c>
      <c r="K27" s="167">
        <f t="shared" si="7"/>
        <v>1310.8600000000001</v>
      </c>
      <c r="L27" s="167">
        <f t="shared" si="7"/>
        <v>2045</v>
      </c>
      <c r="M27" s="167">
        <f t="shared" si="7"/>
        <v>689.073942992095</v>
      </c>
      <c r="N27" s="167">
        <f t="shared" si="7"/>
        <v>1912</v>
      </c>
      <c r="O27" s="167">
        <f t="shared" si="7"/>
        <v>312.01327432375501</v>
      </c>
      <c r="P27" s="167">
        <f t="shared" si="7"/>
        <v>304.12908829383298</v>
      </c>
      <c r="Q27" s="167">
        <f t="shared" si="7"/>
        <v>865.74876432982603</v>
      </c>
      <c r="R27" s="167"/>
      <c r="S27" s="170"/>
      <c r="T27" s="170"/>
    </row>
    <row r="28" spans="2:20" x14ac:dyDescent="0.2">
      <c r="B28" s="175" t="s">
        <v>270</v>
      </c>
      <c r="C28" s="163" t="s">
        <v>35</v>
      </c>
      <c r="D28" s="176">
        <f>D26*D27</f>
        <v>20594.074855965617</v>
      </c>
      <c r="E28" s="176">
        <f t="shared" ref="E28:Q28" si="8">E26*E27</f>
        <v>7635.8805878262046</v>
      </c>
      <c r="F28" s="176">
        <f t="shared" si="8"/>
        <v>9931.6631519305865</v>
      </c>
      <c r="G28" s="176">
        <f t="shared" si="8"/>
        <v>10915.667666674362</v>
      </c>
      <c r="H28" s="176">
        <f t="shared" si="8"/>
        <v>3792.3305609146546</v>
      </c>
      <c r="I28" s="176">
        <f t="shared" si="8"/>
        <v>31120.810890246532</v>
      </c>
      <c r="J28" s="176">
        <f t="shared" si="8"/>
        <v>12635.661833116073</v>
      </c>
      <c r="K28" s="176">
        <f t="shared" si="8"/>
        <v>16436.873540000001</v>
      </c>
      <c r="L28" s="176">
        <f t="shared" si="8"/>
        <v>18026.674999999999</v>
      </c>
      <c r="M28" s="176">
        <f t="shared" si="8"/>
        <v>6058.3381067864993</v>
      </c>
      <c r="N28" s="176">
        <f t="shared" si="8"/>
        <v>2663.4160000000002</v>
      </c>
      <c r="O28" s="176">
        <f t="shared" si="8"/>
        <v>13065.243849032919</v>
      </c>
      <c r="P28" s="176">
        <f t="shared" si="8"/>
        <v>10021.053459281797</v>
      </c>
      <c r="Q28" s="176">
        <f t="shared" si="8"/>
        <v>9739.6735987105421</v>
      </c>
      <c r="R28" s="173">
        <f>SUM(D28:Q28)</f>
        <v>172637.36310048579</v>
      </c>
      <c r="S28" s="170"/>
      <c r="T28" s="170"/>
    </row>
    <row r="29" spans="2:20" x14ac:dyDescent="0.2">
      <c r="B29" s="175" t="s">
        <v>271</v>
      </c>
      <c r="C29" s="168" t="s">
        <v>204</v>
      </c>
      <c r="D29" s="167">
        <f>D28*5%</f>
        <v>1029.7037427982809</v>
      </c>
      <c r="E29" s="167">
        <f t="shared" ref="E29:Q29" si="9">E28*5%</f>
        <v>381.79402939131023</v>
      </c>
      <c r="F29" s="167">
        <f t="shared" si="9"/>
        <v>496.58315759652936</v>
      </c>
      <c r="G29" s="167">
        <f t="shared" si="9"/>
        <v>545.78338333371812</v>
      </c>
      <c r="H29" s="167">
        <f t="shared" si="9"/>
        <v>189.61652804573274</v>
      </c>
      <c r="I29" s="167">
        <f t="shared" si="9"/>
        <v>1556.0405445123267</v>
      </c>
      <c r="J29" s="167">
        <f t="shared" si="9"/>
        <v>631.78309165580367</v>
      </c>
      <c r="K29" s="167">
        <f t="shared" si="9"/>
        <v>821.84367700000007</v>
      </c>
      <c r="L29" s="167">
        <f t="shared" si="9"/>
        <v>901.33375000000001</v>
      </c>
      <c r="M29" s="167">
        <f t="shared" si="9"/>
        <v>302.91690533932496</v>
      </c>
      <c r="N29" s="167">
        <f t="shared" si="9"/>
        <v>133.17080000000001</v>
      </c>
      <c r="O29" s="167">
        <f t="shared" si="9"/>
        <v>653.262192451646</v>
      </c>
      <c r="P29" s="167">
        <f t="shared" si="9"/>
        <v>501.05267296408988</v>
      </c>
      <c r="Q29" s="167">
        <f t="shared" si="9"/>
        <v>486.98367993552711</v>
      </c>
      <c r="R29" s="173">
        <f>SUM(D29:Q29)</f>
        <v>8631.8681550242909</v>
      </c>
      <c r="S29" s="170"/>
      <c r="T29" s="170"/>
    </row>
    <row r="30" spans="2:20" x14ac:dyDescent="0.2">
      <c r="B30" s="175" t="s">
        <v>272</v>
      </c>
      <c r="C30" s="168" t="s">
        <v>204</v>
      </c>
      <c r="D30" s="167">
        <f>D28*1%</f>
        <v>205.94074855965619</v>
      </c>
      <c r="E30" s="167">
        <f t="shared" ref="E30:Q30" si="10">E28*1%</f>
        <v>76.358805878262046</v>
      </c>
      <c r="F30" s="167">
        <f t="shared" si="10"/>
        <v>99.316631519305872</v>
      </c>
      <c r="G30" s="167">
        <f t="shared" si="10"/>
        <v>109.15667666674362</v>
      </c>
      <c r="H30" s="167">
        <f t="shared" si="10"/>
        <v>37.923305609146546</v>
      </c>
      <c r="I30" s="167">
        <f t="shared" si="10"/>
        <v>311.20810890246531</v>
      </c>
      <c r="J30" s="167">
        <f t="shared" si="10"/>
        <v>126.35661833116073</v>
      </c>
      <c r="K30" s="167">
        <f t="shared" si="10"/>
        <v>164.36873540000002</v>
      </c>
      <c r="L30" s="167">
        <f t="shared" si="10"/>
        <v>180.26675</v>
      </c>
      <c r="M30" s="167">
        <f t="shared" si="10"/>
        <v>60.583381067864991</v>
      </c>
      <c r="N30" s="167">
        <f t="shared" si="10"/>
        <v>26.634160000000001</v>
      </c>
      <c r="O30" s="167">
        <f t="shared" si="10"/>
        <v>130.65243849032919</v>
      </c>
      <c r="P30" s="167">
        <f t="shared" si="10"/>
        <v>100.21053459281796</v>
      </c>
      <c r="Q30" s="167">
        <f t="shared" si="10"/>
        <v>97.39673598710543</v>
      </c>
      <c r="R30" s="173">
        <f>SUM(D30:Q30)</f>
        <v>1726.373631004858</v>
      </c>
      <c r="S30" s="170"/>
      <c r="T30" s="170"/>
    </row>
    <row r="31" spans="2:20" x14ac:dyDescent="0.2">
      <c r="B31" s="175" t="s">
        <v>273</v>
      </c>
      <c r="C31" s="168" t="s">
        <v>204</v>
      </c>
      <c r="D31" s="167">
        <f>D28*0.5%</f>
        <v>102.97037427982809</v>
      </c>
      <c r="E31" s="167">
        <f t="shared" ref="E31:Q31" si="11">E28*0.5%</f>
        <v>38.179402939131023</v>
      </c>
      <c r="F31" s="167">
        <f t="shared" si="11"/>
        <v>49.658315759652936</v>
      </c>
      <c r="G31" s="167">
        <f t="shared" si="11"/>
        <v>54.578338333371811</v>
      </c>
      <c r="H31" s="167">
        <f t="shared" si="11"/>
        <v>18.961652804573273</v>
      </c>
      <c r="I31" s="167">
        <f t="shared" si="11"/>
        <v>155.60405445123266</v>
      </c>
      <c r="J31" s="167">
        <f t="shared" si="11"/>
        <v>63.178309165580366</v>
      </c>
      <c r="K31" s="167">
        <f t="shared" si="11"/>
        <v>82.18436770000001</v>
      </c>
      <c r="L31" s="167">
        <f t="shared" si="11"/>
        <v>90.133375000000001</v>
      </c>
      <c r="M31" s="167">
        <f t="shared" si="11"/>
        <v>30.291690533932496</v>
      </c>
      <c r="N31" s="167">
        <f t="shared" si="11"/>
        <v>13.317080000000001</v>
      </c>
      <c r="O31" s="167">
        <f t="shared" si="11"/>
        <v>65.326219245164594</v>
      </c>
      <c r="P31" s="167">
        <f t="shared" si="11"/>
        <v>50.105267296408982</v>
      </c>
      <c r="Q31" s="167">
        <f t="shared" si="11"/>
        <v>48.698367993552715</v>
      </c>
      <c r="R31" s="173">
        <f t="shared" ref="R31:R38" si="12">SUM(D31:Q31)</f>
        <v>863.186815502429</v>
      </c>
      <c r="S31" s="170"/>
      <c r="T31" s="170"/>
    </row>
    <row r="32" spans="2:20" x14ac:dyDescent="0.2">
      <c r="B32" s="177" t="s">
        <v>274</v>
      </c>
      <c r="C32" s="163"/>
      <c r="D32" s="167"/>
      <c r="E32" s="167"/>
      <c r="F32" s="167"/>
      <c r="G32" s="167"/>
      <c r="H32" s="167"/>
      <c r="I32" s="167"/>
      <c r="J32" s="167"/>
      <c r="K32" s="167"/>
      <c r="L32" s="167"/>
      <c r="M32" s="167"/>
      <c r="N32" s="167"/>
      <c r="O32" s="167"/>
      <c r="P32" s="167"/>
      <c r="Q32" s="167"/>
      <c r="R32" s="173"/>
      <c r="S32" s="170"/>
      <c r="T32" s="170"/>
    </row>
    <row r="33" spans="2:20" x14ac:dyDescent="0.2">
      <c r="B33" s="175" t="s">
        <v>267</v>
      </c>
      <c r="C33" s="168" t="s">
        <v>252</v>
      </c>
      <c r="D33" s="167">
        <f>D18</f>
        <v>0</v>
      </c>
      <c r="E33" s="167">
        <f t="shared" ref="E33:Q33" si="13">E18</f>
        <v>0</v>
      </c>
      <c r="F33" s="167">
        <f t="shared" si="13"/>
        <v>169</v>
      </c>
      <c r="G33" s="167">
        <f t="shared" si="13"/>
        <v>0</v>
      </c>
      <c r="H33" s="167">
        <f t="shared" si="13"/>
        <v>10</v>
      </c>
      <c r="I33" s="167">
        <f t="shared" si="13"/>
        <v>74</v>
      </c>
      <c r="J33" s="167">
        <f t="shared" si="13"/>
        <v>29</v>
      </c>
      <c r="K33" s="167">
        <f t="shared" si="13"/>
        <v>0</v>
      </c>
      <c r="L33" s="167">
        <f t="shared" si="13"/>
        <v>0</v>
      </c>
      <c r="M33" s="167">
        <f t="shared" si="13"/>
        <v>0</v>
      </c>
      <c r="N33" s="167">
        <f t="shared" si="13"/>
        <v>0</v>
      </c>
      <c r="O33" s="167">
        <f t="shared" si="13"/>
        <v>0</v>
      </c>
      <c r="P33" s="167">
        <f t="shared" si="13"/>
        <v>0</v>
      </c>
      <c r="Q33" s="167">
        <f t="shared" si="13"/>
        <v>7</v>
      </c>
      <c r="R33" s="173">
        <f t="shared" si="12"/>
        <v>289</v>
      </c>
      <c r="S33" s="170"/>
      <c r="T33" s="170"/>
    </row>
    <row r="34" spans="2:20" x14ac:dyDescent="0.2">
      <c r="B34" s="175" t="s">
        <v>268</v>
      </c>
      <c r="C34" s="168" t="s">
        <v>269</v>
      </c>
      <c r="D34" s="167">
        <f>D11</f>
        <v>284.12282681408902</v>
      </c>
      <c r="E34" s="167">
        <f t="shared" ref="E34:Q34" si="14">E11</f>
        <v>83.148731274105501</v>
      </c>
      <c r="F34" s="167">
        <f t="shared" si="14"/>
        <v>158.268471951979</v>
      </c>
      <c r="G34" s="167">
        <f t="shared" si="14"/>
        <v>163.28597855907799</v>
      </c>
      <c r="H34" s="167">
        <f t="shared" si="14"/>
        <v>98.277458300887702</v>
      </c>
      <c r="I34" s="167">
        <f t="shared" si="14"/>
        <v>380.55235992866699</v>
      </c>
      <c r="J34" s="167">
        <f t="shared" si="14"/>
        <v>468.10883685088999</v>
      </c>
      <c r="K34" s="167">
        <f t="shared" si="14"/>
        <v>1310.8600000000001</v>
      </c>
      <c r="L34" s="167"/>
      <c r="M34" s="167">
        <f t="shared" si="14"/>
        <v>689.073942992095</v>
      </c>
      <c r="N34" s="167">
        <f t="shared" si="14"/>
        <v>1912</v>
      </c>
      <c r="O34" s="167">
        <f t="shared" si="14"/>
        <v>312.01327432375501</v>
      </c>
      <c r="P34" s="167">
        <f t="shared" si="14"/>
        <v>304.12908829383298</v>
      </c>
      <c r="Q34" s="167">
        <f t="shared" si="14"/>
        <v>865.74876432982603</v>
      </c>
      <c r="R34" s="173">
        <f t="shared" si="12"/>
        <v>7029.5897336192056</v>
      </c>
      <c r="S34" s="170"/>
      <c r="T34" s="170"/>
    </row>
    <row r="35" spans="2:20" x14ac:dyDescent="0.2">
      <c r="B35" s="175" t="s">
        <v>270</v>
      </c>
      <c r="C35" s="163" t="s">
        <v>35</v>
      </c>
      <c r="D35" s="176">
        <f>D33*D34</f>
        <v>0</v>
      </c>
      <c r="E35" s="176">
        <f t="shared" ref="E35:Q35" si="15">E33*E34</f>
        <v>0</v>
      </c>
      <c r="F35" s="176">
        <f t="shared" si="15"/>
        <v>26747.371759884449</v>
      </c>
      <c r="G35" s="176">
        <f t="shared" si="15"/>
        <v>0</v>
      </c>
      <c r="H35" s="176">
        <f t="shared" si="15"/>
        <v>982.77458300887702</v>
      </c>
      <c r="I35" s="176">
        <f t="shared" si="15"/>
        <v>28160.874634721356</v>
      </c>
      <c r="J35" s="176">
        <f t="shared" si="15"/>
        <v>13575.15626867581</v>
      </c>
      <c r="K35" s="176">
        <f t="shared" si="15"/>
        <v>0</v>
      </c>
      <c r="L35" s="176">
        <f t="shared" si="15"/>
        <v>0</v>
      </c>
      <c r="M35" s="176">
        <f t="shared" si="15"/>
        <v>0</v>
      </c>
      <c r="N35" s="176">
        <f t="shared" si="15"/>
        <v>0</v>
      </c>
      <c r="O35" s="176">
        <f t="shared" si="15"/>
        <v>0</v>
      </c>
      <c r="P35" s="176">
        <f t="shared" si="15"/>
        <v>0</v>
      </c>
      <c r="Q35" s="176">
        <f t="shared" si="15"/>
        <v>6060.2413503087819</v>
      </c>
      <c r="R35" s="173">
        <f t="shared" si="12"/>
        <v>75526.41859659928</v>
      </c>
      <c r="S35" s="170"/>
      <c r="T35" s="170"/>
    </row>
    <row r="36" spans="2:20" x14ac:dyDescent="0.2">
      <c r="B36" s="175" t="s">
        <v>271</v>
      </c>
      <c r="C36" s="168" t="s">
        <v>204</v>
      </c>
      <c r="D36" s="167">
        <f>D35*5%</f>
        <v>0</v>
      </c>
      <c r="E36" s="167">
        <f t="shared" ref="E36:Q36" si="16">E35*5%</f>
        <v>0</v>
      </c>
      <c r="F36" s="167">
        <f t="shared" si="16"/>
        <v>1337.3685879942225</v>
      </c>
      <c r="G36" s="167">
        <f t="shared" si="16"/>
        <v>0</v>
      </c>
      <c r="H36" s="167">
        <f t="shared" si="16"/>
        <v>49.138729150443851</v>
      </c>
      <c r="I36" s="167">
        <f t="shared" si="16"/>
        <v>1408.0437317360679</v>
      </c>
      <c r="J36" s="167">
        <f t="shared" si="16"/>
        <v>678.75781343379049</v>
      </c>
      <c r="K36" s="167">
        <f t="shared" si="16"/>
        <v>0</v>
      </c>
      <c r="L36" s="167">
        <f t="shared" si="16"/>
        <v>0</v>
      </c>
      <c r="M36" s="167">
        <f t="shared" si="16"/>
        <v>0</v>
      </c>
      <c r="N36" s="167">
        <f t="shared" si="16"/>
        <v>0</v>
      </c>
      <c r="O36" s="167">
        <f t="shared" si="16"/>
        <v>0</v>
      </c>
      <c r="P36" s="167">
        <f t="shared" si="16"/>
        <v>0</v>
      </c>
      <c r="Q36" s="167">
        <f t="shared" si="16"/>
        <v>303.01206751543913</v>
      </c>
      <c r="R36" s="173">
        <f t="shared" si="12"/>
        <v>3776.3209298299635</v>
      </c>
      <c r="S36" s="170"/>
      <c r="T36" s="170"/>
    </row>
    <row r="37" spans="2:20" x14ac:dyDescent="0.2">
      <c r="B37" s="175" t="s">
        <v>272</v>
      </c>
      <c r="C37" s="168" t="s">
        <v>204</v>
      </c>
      <c r="D37" s="167">
        <f>D35*1%</f>
        <v>0</v>
      </c>
      <c r="E37" s="167">
        <f t="shared" ref="E37:Q37" si="17">E35*1%</f>
        <v>0</v>
      </c>
      <c r="F37" s="167">
        <f t="shared" si="17"/>
        <v>267.47371759884447</v>
      </c>
      <c r="G37" s="167">
        <f t="shared" si="17"/>
        <v>0</v>
      </c>
      <c r="H37" s="167">
        <f t="shared" si="17"/>
        <v>9.8277458300887712</v>
      </c>
      <c r="I37" s="167">
        <f t="shared" si="17"/>
        <v>281.60874634721358</v>
      </c>
      <c r="J37" s="167">
        <f t="shared" si="17"/>
        <v>135.75156268675809</v>
      </c>
      <c r="K37" s="167">
        <f t="shared" si="17"/>
        <v>0</v>
      </c>
      <c r="L37" s="167">
        <f t="shared" si="17"/>
        <v>0</v>
      </c>
      <c r="M37" s="167">
        <f t="shared" si="17"/>
        <v>0</v>
      </c>
      <c r="N37" s="167">
        <f t="shared" si="17"/>
        <v>0</v>
      </c>
      <c r="O37" s="167">
        <f t="shared" si="17"/>
        <v>0</v>
      </c>
      <c r="P37" s="167">
        <f t="shared" si="17"/>
        <v>0</v>
      </c>
      <c r="Q37" s="167">
        <f t="shared" si="17"/>
        <v>60.602413503087817</v>
      </c>
      <c r="R37" s="173">
        <f t="shared" si="12"/>
        <v>755.26418596599274</v>
      </c>
      <c r="S37" s="170"/>
      <c r="T37" s="170"/>
    </row>
    <row r="38" spans="2:20" x14ac:dyDescent="0.2">
      <c r="B38" s="178" t="s">
        <v>273</v>
      </c>
      <c r="C38" s="179" t="s">
        <v>204</v>
      </c>
      <c r="D38" s="180">
        <f>D35*0.5%</f>
        <v>0</v>
      </c>
      <c r="E38" s="180">
        <f t="shared" ref="E38:Q38" si="18">E35*0.5%</f>
        <v>0</v>
      </c>
      <c r="F38" s="180">
        <f t="shared" si="18"/>
        <v>133.73685879942224</v>
      </c>
      <c r="G38" s="180">
        <f t="shared" si="18"/>
        <v>0</v>
      </c>
      <c r="H38" s="180">
        <f t="shared" si="18"/>
        <v>4.9138729150443856</v>
      </c>
      <c r="I38" s="180">
        <f t="shared" si="18"/>
        <v>140.80437317360679</v>
      </c>
      <c r="J38" s="180">
        <f t="shared" si="18"/>
        <v>67.875781343379046</v>
      </c>
      <c r="K38" s="180">
        <f t="shared" si="18"/>
        <v>0</v>
      </c>
      <c r="L38" s="180">
        <f t="shared" si="18"/>
        <v>0</v>
      </c>
      <c r="M38" s="180">
        <f t="shared" si="18"/>
        <v>0</v>
      </c>
      <c r="N38" s="180">
        <f t="shared" si="18"/>
        <v>0</v>
      </c>
      <c r="O38" s="180">
        <f t="shared" si="18"/>
        <v>0</v>
      </c>
      <c r="P38" s="180">
        <f t="shared" si="18"/>
        <v>0</v>
      </c>
      <c r="Q38" s="180">
        <f t="shared" si="18"/>
        <v>30.301206751543909</v>
      </c>
      <c r="R38" s="181">
        <f t="shared" si="12"/>
        <v>377.63209298299637</v>
      </c>
      <c r="S38" s="170"/>
      <c r="T38" s="170"/>
    </row>
    <row r="39" spans="2:20" x14ac:dyDescent="0.2">
      <c r="B39" t="s">
        <v>275</v>
      </c>
      <c r="K39" s="182" t="s">
        <v>276</v>
      </c>
    </row>
    <row r="48" spans="2:20" x14ac:dyDescent="0.2">
      <c r="B48" s="183" t="s">
        <v>244</v>
      </c>
      <c r="C48" s="183">
        <v>2050</v>
      </c>
      <c r="D48" s="184">
        <v>89.282654928198298</v>
      </c>
      <c r="E48" s="184">
        <v>7.8773661711823095E-2</v>
      </c>
      <c r="F48" s="184">
        <v>6.1194728667970398E-2</v>
      </c>
      <c r="G48" s="184">
        <v>10.5129565595362</v>
      </c>
      <c r="H48" s="184">
        <v>0.10474247518457599</v>
      </c>
      <c r="I48" s="184">
        <v>20.640204316911799</v>
      </c>
      <c r="J48" s="184">
        <v>111.73497789213199</v>
      </c>
      <c r="K48" s="184">
        <v>243.75</v>
      </c>
      <c r="L48" s="184"/>
      <c r="M48" s="184">
        <v>0.56272897567094504</v>
      </c>
      <c r="N48" s="184"/>
      <c r="O48" s="184">
        <v>5.4143095589693697</v>
      </c>
      <c r="P48" s="184">
        <v>25.575111709254301</v>
      </c>
      <c r="Q48" s="184">
        <f>'[3]Tuvalu-fghbar-chart'!$B7</f>
        <v>0.14287851913423999</v>
      </c>
      <c r="R48" s="183"/>
      <c r="S48" s="170"/>
      <c r="T48" s="170"/>
    </row>
    <row r="49" spans="2:20" x14ac:dyDescent="0.2">
      <c r="B49" s="183" t="s">
        <v>246</v>
      </c>
      <c r="C49" s="183">
        <v>2050</v>
      </c>
      <c r="D49" s="184">
        <v>60.251614102662202</v>
      </c>
      <c r="E49" s="184">
        <v>7.4311585122944299</v>
      </c>
      <c r="F49" s="184">
        <v>4.3917356756329102</v>
      </c>
      <c r="G49" s="184">
        <v>11.254851169748999</v>
      </c>
      <c r="H49" s="184">
        <v>12.2504045597875</v>
      </c>
      <c r="I49" s="184">
        <v>61.483945087516503</v>
      </c>
      <c r="J49" s="184">
        <v>127.233877681359</v>
      </c>
      <c r="K49" s="184">
        <v>198.14</v>
      </c>
      <c r="L49" s="184"/>
      <c r="M49" s="184">
        <v>65.791888999627204</v>
      </c>
      <c r="N49" s="184"/>
      <c r="O49" s="184">
        <v>33.078953818437903</v>
      </c>
      <c r="P49" s="184">
        <v>16.885284000227099</v>
      </c>
      <c r="Q49" s="184">
        <f>'[3]Tuvalu-fghbar-chart'!$B8</f>
        <v>101.98884865530199</v>
      </c>
      <c r="R49" s="183"/>
      <c r="S49" s="170"/>
      <c r="T49" s="170"/>
    </row>
    <row r="50" spans="2:20" x14ac:dyDescent="0.2">
      <c r="B50" s="183" t="s">
        <v>247</v>
      </c>
      <c r="C50" s="183">
        <v>2050</v>
      </c>
      <c r="D50" s="184">
        <v>228.144101535891</v>
      </c>
      <c r="E50" s="184">
        <v>63.208993982818697</v>
      </c>
      <c r="F50" s="184">
        <v>97.427746548671493</v>
      </c>
      <c r="G50" s="184">
        <v>86.418067516755102</v>
      </c>
      <c r="H50" s="184">
        <v>181.87864574044099</v>
      </c>
      <c r="I50" s="184">
        <v>272.07028554785899</v>
      </c>
      <c r="J50" s="184">
        <v>530.16347728187395</v>
      </c>
      <c r="K50" s="184">
        <v>844.91</v>
      </c>
      <c r="L50" s="184"/>
      <c r="M50" s="184">
        <v>863.47732602306905</v>
      </c>
      <c r="N50" s="184"/>
      <c r="O50" s="184">
        <v>261.048438011781</v>
      </c>
      <c r="P50" s="184">
        <v>254.00152992854601</v>
      </c>
      <c r="Q50" s="184">
        <f>'[3]Tuvalu-fghbar-chart'!$B9</f>
        <v>1039.45103767311</v>
      </c>
      <c r="R50" s="183"/>
      <c r="S50" s="170"/>
      <c r="T50" s="170"/>
    </row>
    <row r="51" spans="2:20" x14ac:dyDescent="0.2">
      <c r="B51" s="183" t="s">
        <v>248</v>
      </c>
      <c r="C51" s="183">
        <v>2050</v>
      </c>
      <c r="D51" s="184">
        <v>16.479407326524999</v>
      </c>
      <c r="E51" s="184">
        <v>15.4999897930493</v>
      </c>
      <c r="F51" s="184">
        <v>45.579622459212601</v>
      </c>
      <c r="G51" s="184">
        <v>29.1081556047892</v>
      </c>
      <c r="H51" s="184">
        <v>232.07152879318301</v>
      </c>
      <c r="I51" s="184">
        <v>83.653168794837995</v>
      </c>
      <c r="J51" s="184">
        <v>267.42682654848102</v>
      </c>
      <c r="K51" s="184">
        <v>0</v>
      </c>
      <c r="L51" s="184"/>
      <c r="M51" s="184">
        <v>0</v>
      </c>
      <c r="N51" s="184"/>
      <c r="O51" s="184">
        <v>62.243907764393803</v>
      </c>
      <c r="P51" s="184">
        <v>41.615106491835299</v>
      </c>
      <c r="Q51" s="184">
        <f>'[3]Tuvalu-fghbar-chart'!$B10</f>
        <v>156.979520910426</v>
      </c>
      <c r="R51" s="183"/>
      <c r="S51" s="170"/>
      <c r="T51" s="170"/>
    </row>
    <row r="52" spans="2:20" s="55" customFormat="1" x14ac:dyDescent="0.2">
      <c r="B52" s="185" t="s">
        <v>250</v>
      </c>
      <c r="C52" s="185">
        <v>2050</v>
      </c>
      <c r="D52" s="186">
        <v>394.157777893277</v>
      </c>
      <c r="E52" s="186">
        <v>86.218915949874201</v>
      </c>
      <c r="F52" s="186">
        <v>147.46029941218501</v>
      </c>
      <c r="G52" s="186">
        <v>137.29403085083001</v>
      </c>
      <c r="H52" s="186">
        <v>426.30532156859499</v>
      </c>
      <c r="I52" s="186">
        <v>437.84760374712499</v>
      </c>
      <c r="J52" s="186">
        <v>1036.5591594038499</v>
      </c>
      <c r="K52" s="186">
        <f>SUM(K48:K51)</f>
        <v>1286.8</v>
      </c>
      <c r="L52" s="186" t="s">
        <v>277</v>
      </c>
      <c r="M52" s="186">
        <v>929.83194399836702</v>
      </c>
      <c r="N52" s="186" t="s">
        <v>277</v>
      </c>
      <c r="O52" s="186">
        <v>361.78560915358202</v>
      </c>
      <c r="P52" s="186">
        <v>338.07703212986303</v>
      </c>
      <c r="Q52" s="186">
        <f>'[3]Tuvalu-fghbar-chart'!$B11</f>
        <v>1298.5622857579699</v>
      </c>
      <c r="R52" s="185"/>
      <c r="S52" s="170"/>
      <c r="T52" s="170"/>
    </row>
    <row r="53" spans="2:20" s="55" customFormat="1" x14ac:dyDescent="0.2">
      <c r="B53" s="185"/>
      <c r="C53" s="185"/>
      <c r="D53" s="186"/>
      <c r="E53" s="187"/>
      <c r="F53" s="187"/>
      <c r="G53" s="187"/>
      <c r="H53" s="187"/>
      <c r="I53" s="187"/>
      <c r="J53" s="187"/>
      <c r="K53" s="187"/>
      <c r="L53" s="187"/>
      <c r="M53" s="187"/>
      <c r="N53" s="187"/>
      <c r="O53" s="187"/>
      <c r="P53" s="187"/>
      <c r="S53" s="170"/>
      <c r="T53" s="170"/>
    </row>
  </sheetData>
  <hyperlinks>
    <hyperlink ref="K39" r:id="rId1" xr:uid="{E5AA0B26-6A8D-4144-9552-99A7FC2C018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7DD01-0948-4336-B3FB-E241073E903C}">
  <sheetPr>
    <tabColor rgb="FF7030A0"/>
  </sheetPr>
  <dimension ref="B2:J16"/>
  <sheetViews>
    <sheetView topLeftCell="A4" workbookViewId="0">
      <selection activeCell="J6" sqref="J6"/>
    </sheetView>
  </sheetViews>
  <sheetFormatPr baseColWidth="10" defaultColWidth="8.83203125" defaultRowHeight="15" x14ac:dyDescent="0.2"/>
  <cols>
    <col min="2" max="2" width="82.83203125" customWidth="1"/>
    <col min="4" max="4" width="16.5" customWidth="1"/>
    <col min="5" max="5" width="11.5" customWidth="1"/>
    <col min="6" max="6" width="13.6640625" customWidth="1"/>
    <col min="8" max="9" width="11.1640625" customWidth="1"/>
  </cols>
  <sheetData>
    <row r="2" spans="2:10" x14ac:dyDescent="0.2">
      <c r="B2" s="55" t="s">
        <v>220</v>
      </c>
    </row>
    <row r="3" spans="2:10" ht="94.75" customHeight="1" x14ac:dyDescent="0.2">
      <c r="B3" s="155" t="s">
        <v>215</v>
      </c>
    </row>
    <row r="4" spans="2:10" ht="52.75" customHeight="1" x14ac:dyDescent="0.2">
      <c r="B4" s="155" t="s">
        <v>216</v>
      </c>
    </row>
    <row r="5" spans="2:10" ht="73.75" customHeight="1" x14ac:dyDescent="0.2">
      <c r="B5" s="155" t="s">
        <v>218</v>
      </c>
    </row>
    <row r="6" spans="2:10" ht="51.5" customHeight="1" x14ac:dyDescent="0.2">
      <c r="B6" s="155" t="s">
        <v>219</v>
      </c>
    </row>
    <row r="8" spans="2:10" ht="33" customHeight="1" x14ac:dyDescent="0.2">
      <c r="D8" s="225" t="s">
        <v>2</v>
      </c>
      <c r="E8" s="225" t="s">
        <v>55</v>
      </c>
      <c r="F8" s="230" t="s">
        <v>288</v>
      </c>
      <c r="G8" s="230" t="s">
        <v>299</v>
      </c>
      <c r="H8" s="230" t="s">
        <v>297</v>
      </c>
      <c r="I8" s="230" t="s">
        <v>300</v>
      </c>
      <c r="J8" s="230" t="s">
        <v>298</v>
      </c>
    </row>
    <row r="9" spans="2:10" x14ac:dyDescent="0.2">
      <c r="D9" s="128" t="s">
        <v>289</v>
      </c>
      <c r="E9" s="228">
        <f>'BYCATCH economic analysis'!C51</f>
        <v>0.11076523257046222</v>
      </c>
      <c r="F9" s="226">
        <f>'BYCATCH economic analysis'!C52</f>
        <v>1.7900123307836613</v>
      </c>
      <c r="G9" s="226">
        <f>'BYCATCH economic analysis'!C59</f>
        <v>11.624052254657188</v>
      </c>
      <c r="H9" s="226">
        <f>'BYCATCH economic analysis'!C60</f>
        <v>13.414064585440849</v>
      </c>
      <c r="I9" s="226"/>
      <c r="J9" s="231">
        <f>'BYCATCH economic analysis'!C62</f>
        <v>1.1539921097710559</v>
      </c>
    </row>
    <row r="10" spans="2:10" x14ac:dyDescent="0.2">
      <c r="D10" s="128" t="s">
        <v>283</v>
      </c>
      <c r="E10" s="229">
        <f>'BYCATCH economic analysis'!C55</f>
        <v>0.14599999999999999</v>
      </c>
      <c r="F10" s="227" t="str">
        <f>'BYCATCH economic analysis'!E55</f>
        <v>$4.27</v>
      </c>
      <c r="G10" s="128"/>
      <c r="H10" s="128"/>
      <c r="I10" s="128"/>
      <c r="J10" s="128"/>
    </row>
    <row r="11" spans="2:10" x14ac:dyDescent="0.2">
      <c r="D11" s="128" t="s">
        <v>290</v>
      </c>
      <c r="E11" s="228">
        <f>'BYCATCH economic analysis'!C54</f>
        <v>8.5000000000000006E-2</v>
      </c>
      <c r="F11" s="227" t="str">
        <f>'BYCATCH economic analysis'!E54</f>
        <v xml:space="preserve">-$0.27 </v>
      </c>
      <c r="G11" s="128"/>
      <c r="H11" s="128"/>
      <c r="I11" s="128"/>
      <c r="J11" s="128"/>
    </row>
    <row r="12" spans="2:10" x14ac:dyDescent="0.2">
      <c r="D12" s="128" t="s">
        <v>291</v>
      </c>
      <c r="E12" s="228">
        <f>'BYCATCH economic analysis'!C56</f>
        <v>0.13600000000000001</v>
      </c>
      <c r="F12" s="227" t="str">
        <f>'BYCATCH economic analysis'!E56</f>
        <v>$4.25</v>
      </c>
      <c r="G12" s="128"/>
      <c r="H12" s="128"/>
      <c r="I12" s="128"/>
      <c r="J12" s="128"/>
    </row>
    <row r="13" spans="2:10" x14ac:dyDescent="0.2">
      <c r="D13" s="128" t="s">
        <v>296</v>
      </c>
      <c r="E13" s="228">
        <f>'BYCATCH economic analysis'!C57</f>
        <v>8.5000000000000006E-2</v>
      </c>
      <c r="F13" s="227" t="str">
        <f>'BYCATCH economic analysis'!E57</f>
        <v xml:space="preserve">-$0.25 </v>
      </c>
      <c r="G13" s="128"/>
      <c r="H13" s="128"/>
      <c r="I13" s="128"/>
      <c r="J13" s="128"/>
    </row>
    <row r="14" spans="2:10" x14ac:dyDescent="0.2">
      <c r="E14" s="143"/>
    </row>
    <row r="15" spans="2:10" ht="10.75" customHeight="1" x14ac:dyDescent="0.2"/>
    <row r="16" spans="2:10" ht="85.75" customHeight="1" x14ac:dyDescent="0.2">
      <c r="B16" s="156" t="s">
        <v>217</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C4FDB-3BE5-46F1-B397-233C5CB648FD}">
  <sheetPr>
    <tabColor rgb="FFFF0000"/>
  </sheetPr>
  <dimension ref="B2:AH80"/>
  <sheetViews>
    <sheetView showGridLines="0" topLeftCell="A53" workbookViewId="0">
      <selection activeCell="C61" sqref="C61"/>
    </sheetView>
  </sheetViews>
  <sheetFormatPr baseColWidth="10" defaultColWidth="8.83203125" defaultRowHeight="12" x14ac:dyDescent="0.15"/>
  <cols>
    <col min="1" max="1" width="8.83203125" style="58"/>
    <col min="2" max="2" width="39" style="58" customWidth="1"/>
    <col min="3" max="3" width="8.5" style="58" customWidth="1"/>
    <col min="4" max="4" width="5.33203125" style="58" customWidth="1"/>
    <col min="5" max="5" width="8.6640625" style="58" customWidth="1"/>
    <col min="6" max="6" width="6.5" style="58" customWidth="1"/>
    <col min="7" max="24" width="7.6640625" style="58" customWidth="1"/>
    <col min="25" max="28" width="7.6640625" style="58" hidden="1" customWidth="1"/>
    <col min="29" max="30" width="7.6640625" style="58" customWidth="1"/>
    <col min="31" max="16384" width="8.83203125" style="58"/>
  </cols>
  <sheetData>
    <row r="2" spans="2:34" x14ac:dyDescent="0.15">
      <c r="B2" s="57" t="s">
        <v>0</v>
      </c>
    </row>
    <row r="3" spans="2:34" x14ac:dyDescent="0.15">
      <c r="C3" s="58" t="s">
        <v>1</v>
      </c>
      <c r="E3" s="198"/>
      <c r="F3" s="198"/>
      <c r="G3" s="198"/>
      <c r="H3" s="198"/>
      <c r="I3" s="198"/>
      <c r="J3" s="198"/>
      <c r="K3" s="198"/>
      <c r="L3" s="198"/>
      <c r="M3" s="198"/>
      <c r="N3" s="198"/>
      <c r="O3" s="198"/>
      <c r="P3" s="198"/>
      <c r="Q3" s="198"/>
      <c r="R3" s="198"/>
      <c r="S3" s="198"/>
      <c r="T3" s="198"/>
      <c r="U3" s="198"/>
      <c r="V3" s="198"/>
      <c r="W3" s="198"/>
      <c r="X3" s="198"/>
      <c r="Y3" s="198"/>
      <c r="Z3" s="198"/>
      <c r="AA3" s="198"/>
      <c r="AB3" s="198"/>
      <c r="AC3" s="198"/>
      <c r="AD3" s="198"/>
      <c r="AE3" s="198"/>
      <c r="AF3" s="198"/>
      <c r="AG3" s="198"/>
      <c r="AH3" s="198"/>
    </row>
    <row r="4" spans="2:34" x14ac:dyDescent="0.15">
      <c r="B4" s="56" t="s">
        <v>2</v>
      </c>
      <c r="C4" s="56"/>
      <c r="D4" s="56" t="s">
        <v>3</v>
      </c>
      <c r="E4" s="192" t="s">
        <v>4</v>
      </c>
      <c r="F4" s="199" t="s">
        <v>5</v>
      </c>
      <c r="G4" s="199" t="s">
        <v>6</v>
      </c>
      <c r="H4" s="199" t="s">
        <v>7</v>
      </c>
      <c r="I4" s="192" t="s">
        <v>8</v>
      </c>
      <c r="J4" s="199" t="s">
        <v>9</v>
      </c>
      <c r="K4" s="199" t="s">
        <v>10</v>
      </c>
      <c r="L4" s="199" t="s">
        <v>11</v>
      </c>
      <c r="M4" s="199" t="s">
        <v>12</v>
      </c>
      <c r="N4" s="192" t="s">
        <v>13</v>
      </c>
      <c r="O4" s="199" t="s">
        <v>14</v>
      </c>
      <c r="P4" s="199" t="s">
        <v>15</v>
      </c>
      <c r="Q4" s="199" t="s">
        <v>16</v>
      </c>
      <c r="R4" s="199" t="s">
        <v>17</v>
      </c>
      <c r="S4" s="192" t="s">
        <v>18</v>
      </c>
      <c r="T4" s="199" t="s">
        <v>19</v>
      </c>
      <c r="U4" s="199" t="s">
        <v>20</v>
      </c>
      <c r="V4" s="199" t="s">
        <v>21</v>
      </c>
      <c r="W4" s="199" t="s">
        <v>22</v>
      </c>
      <c r="X4" s="192" t="s">
        <v>23</v>
      </c>
      <c r="Y4" s="199" t="s">
        <v>24</v>
      </c>
      <c r="Z4" s="200" t="s">
        <v>25</v>
      </c>
      <c r="AA4" s="199" t="s">
        <v>26</v>
      </c>
      <c r="AB4" s="200" t="s">
        <v>27</v>
      </c>
      <c r="AC4" s="192" t="s">
        <v>28</v>
      </c>
      <c r="AD4" s="201" t="s">
        <v>29</v>
      </c>
      <c r="AE4" s="198"/>
      <c r="AF4" s="198"/>
      <c r="AG4" s="198"/>
      <c r="AH4" s="198"/>
    </row>
    <row r="5" spans="2:34" ht="5.5" customHeight="1" x14ac:dyDescent="0.15">
      <c r="E5" s="191"/>
      <c r="F5" s="198"/>
      <c r="G5" s="198"/>
      <c r="H5" s="198"/>
      <c r="I5" s="191"/>
      <c r="J5" s="198"/>
      <c r="K5" s="198"/>
      <c r="L5" s="198"/>
      <c r="M5" s="198"/>
      <c r="N5" s="191"/>
      <c r="O5" s="198"/>
      <c r="P5" s="198"/>
      <c r="Q5" s="198"/>
      <c r="R5" s="198"/>
      <c r="S5" s="191"/>
      <c r="T5" s="198"/>
      <c r="U5" s="198"/>
      <c r="V5" s="198"/>
      <c r="W5" s="198"/>
      <c r="X5" s="191"/>
      <c r="Y5" s="198"/>
      <c r="Z5" s="198"/>
      <c r="AA5" s="198"/>
      <c r="AB5" s="198"/>
      <c r="AC5" s="191"/>
      <c r="AD5" s="198"/>
      <c r="AE5" s="198"/>
      <c r="AF5" s="198"/>
      <c r="AG5" s="198"/>
      <c r="AH5" s="198"/>
    </row>
    <row r="6" spans="2:34" x14ac:dyDescent="0.15">
      <c r="B6" s="57" t="s">
        <v>30</v>
      </c>
      <c r="C6" s="57"/>
      <c r="E6" s="191"/>
      <c r="F6" s="198"/>
      <c r="G6" s="198"/>
      <c r="H6" s="198"/>
      <c r="I6" s="191"/>
      <c r="J6" s="198"/>
      <c r="K6" s="198"/>
      <c r="L6" s="198"/>
      <c r="M6" s="198"/>
      <c r="N6" s="191"/>
      <c r="O6" s="198"/>
      <c r="P6" s="198"/>
      <c r="Q6" s="198"/>
      <c r="R6" s="198"/>
      <c r="S6" s="191"/>
      <c r="T6" s="198"/>
      <c r="U6" s="198"/>
      <c r="V6" s="198"/>
      <c r="W6" s="198"/>
      <c r="X6" s="191"/>
      <c r="Y6" s="198"/>
      <c r="Z6" s="198"/>
      <c r="AA6" s="198"/>
      <c r="AB6" s="198"/>
      <c r="AC6" s="191"/>
      <c r="AD6" s="198"/>
      <c r="AE6" s="198"/>
      <c r="AF6" s="198"/>
      <c r="AG6" s="198"/>
      <c r="AH6" s="198"/>
    </row>
    <row r="7" spans="2:34" x14ac:dyDescent="0.15">
      <c r="B7" s="93" t="s">
        <v>31</v>
      </c>
      <c r="C7" s="94"/>
      <c r="E7" s="193"/>
      <c r="F7" s="202"/>
      <c r="G7" s="202"/>
      <c r="H7" s="202"/>
      <c r="I7" s="193"/>
      <c r="J7" s="202"/>
      <c r="K7" s="202"/>
      <c r="L7" s="198"/>
      <c r="M7" s="198"/>
      <c r="N7" s="193"/>
      <c r="O7" s="202"/>
      <c r="P7" s="198"/>
      <c r="Q7" s="198"/>
      <c r="R7" s="198"/>
      <c r="S7" s="193"/>
      <c r="T7" s="202"/>
      <c r="U7" s="198"/>
      <c r="V7" s="198"/>
      <c r="W7" s="198"/>
      <c r="X7" s="193"/>
      <c r="Y7" s="202"/>
      <c r="Z7" s="198"/>
      <c r="AA7" s="198"/>
      <c r="AB7" s="198"/>
      <c r="AC7" s="193"/>
      <c r="AD7" s="202"/>
      <c r="AE7" s="198"/>
      <c r="AF7" s="198"/>
      <c r="AG7" s="198"/>
      <c r="AH7" s="198"/>
    </row>
    <row r="8" spans="2:34" ht="29" customHeight="1" x14ac:dyDescent="0.15">
      <c r="B8" s="73" t="str">
        <f>'Comp A Cost Summary (old)'!B32</f>
        <v>Activity 2.1: Implement strategies to deliver more transshipped and unloaded bycatch and tuna to urban/peri-urban communities</v>
      </c>
      <c r="C8" s="95"/>
      <c r="E8" s="194">
        <f>'GFC Costs'!D203/10^3</f>
        <v>351.92281248301549</v>
      </c>
      <c r="F8" s="203">
        <f>'GFC Costs'!E203/10^3</f>
        <v>2061.9532096541402</v>
      </c>
      <c r="G8" s="203">
        <f>'GFC Costs'!F203/10^3</f>
        <v>1839.8434514111136</v>
      </c>
      <c r="H8" s="203">
        <f>'GFC Costs'!G203/10^3</f>
        <v>1526.517702309473</v>
      </c>
      <c r="I8" s="194">
        <f>'GFC Costs'!H203/10^3</f>
        <v>1136.5336739995844</v>
      </c>
      <c r="J8" s="203">
        <f>'GFC Costs'!I203/10^3</f>
        <v>726.61956909814899</v>
      </c>
      <c r="K8" s="203">
        <f>'GFC Costs'!J203/10^3</f>
        <v>497.22878340257182</v>
      </c>
      <c r="L8" s="203">
        <f>'GFC Costs'!K203/10^3</f>
        <v>51.142606363636368</v>
      </c>
      <c r="M8" s="203"/>
      <c r="N8" s="194"/>
      <c r="O8" s="203"/>
      <c r="P8" s="204"/>
      <c r="Q8" s="204"/>
      <c r="R8" s="204"/>
      <c r="S8" s="194"/>
      <c r="T8" s="203"/>
      <c r="U8" s="204"/>
      <c r="V8" s="204"/>
      <c r="W8" s="204"/>
      <c r="X8" s="194"/>
      <c r="Y8" s="203"/>
      <c r="Z8" s="204"/>
      <c r="AA8" s="204"/>
      <c r="AB8" s="204"/>
      <c r="AC8" s="194"/>
      <c r="AD8" s="204"/>
      <c r="AE8" s="198"/>
      <c r="AF8" s="198"/>
      <c r="AG8" s="198"/>
      <c r="AH8" s="198"/>
    </row>
    <row r="9" spans="2:34" ht="39" x14ac:dyDescent="0.15">
      <c r="B9" s="73" t="str">
        <f>'Comp A Cost Summary (old)'!B39</f>
        <v>Activity 2.2: Strengthen/develop post-harvest practices and improve market opportunities to distribute bycatch and tuna from transhipping and unloading operations to urban communities</v>
      </c>
      <c r="C9" s="95"/>
      <c r="E9" s="194">
        <f>'GFC Costs'!D206/10^3</f>
        <v>219.67234999999999</v>
      </c>
      <c r="F9" s="203">
        <f>'GFC Costs'!E206/10^3</f>
        <v>850.52983000000006</v>
      </c>
      <c r="G9" s="203">
        <f>'GFC Costs'!F206/10^3</f>
        <v>1636.1176521386503</v>
      </c>
      <c r="H9" s="203">
        <f>'GFC Costs'!G206/10^3</f>
        <v>1698.5264219480907</v>
      </c>
      <c r="I9" s="194">
        <f>'GFC Costs'!H206/10^3</f>
        <v>1447.3651565383163</v>
      </c>
      <c r="J9" s="203">
        <f>'GFC Costs'!I206/10^3</f>
        <v>1138.6221258530395</v>
      </c>
      <c r="K9" s="203">
        <f>'GFC Costs'!J206/10^3</f>
        <v>548.04483654642388</v>
      </c>
      <c r="L9" s="203">
        <f>'GFC Costs'!K206/10^3</f>
        <v>17.155169999999998</v>
      </c>
      <c r="M9" s="204"/>
      <c r="N9" s="194"/>
      <c r="O9" s="203"/>
      <c r="P9" s="204"/>
      <c r="Q9" s="204"/>
      <c r="R9" s="204"/>
      <c r="S9" s="194"/>
      <c r="T9" s="203"/>
      <c r="U9" s="204"/>
      <c r="V9" s="204"/>
      <c r="W9" s="204"/>
      <c r="X9" s="194"/>
      <c r="Y9" s="203"/>
      <c r="Z9" s="204"/>
      <c r="AA9" s="204"/>
      <c r="AB9" s="204"/>
      <c r="AC9" s="194"/>
      <c r="AD9" s="204"/>
      <c r="AE9" s="198"/>
      <c r="AF9" s="198"/>
      <c r="AG9" s="198"/>
      <c r="AH9" s="198"/>
    </row>
    <row r="10" spans="2:34" x14ac:dyDescent="0.15">
      <c r="B10" s="57" t="s">
        <v>32</v>
      </c>
      <c r="C10" s="144">
        <f>SUM(E10:L10)</f>
        <v>15747.795351746205</v>
      </c>
      <c r="D10" s="58">
        <v>1</v>
      </c>
      <c r="E10" s="195">
        <f>SUM(E8:E9)*$D10</f>
        <v>571.59516248301543</v>
      </c>
      <c r="F10" s="205">
        <f t="shared" ref="F10:L10" si="0">SUM(F8:F9)*$D10</f>
        <v>2912.4830396541402</v>
      </c>
      <c r="G10" s="205">
        <f t="shared" si="0"/>
        <v>3475.9611035497637</v>
      </c>
      <c r="H10" s="205">
        <f t="shared" si="0"/>
        <v>3225.0441242575635</v>
      </c>
      <c r="I10" s="195">
        <f t="shared" si="0"/>
        <v>2583.8988305379007</v>
      </c>
      <c r="J10" s="205">
        <f t="shared" si="0"/>
        <v>1865.2416949511885</v>
      </c>
      <c r="K10" s="205">
        <f t="shared" si="0"/>
        <v>1045.2736199489957</v>
      </c>
      <c r="L10" s="205">
        <f t="shared" si="0"/>
        <v>68.297776363636359</v>
      </c>
      <c r="M10" s="205">
        <f t="shared" ref="M10:AD10" si="1">SUM(M8:M9)</f>
        <v>0</v>
      </c>
      <c r="N10" s="195">
        <f t="shared" si="1"/>
        <v>0</v>
      </c>
      <c r="O10" s="205">
        <f t="shared" si="1"/>
        <v>0</v>
      </c>
      <c r="P10" s="205">
        <f t="shared" si="1"/>
        <v>0</v>
      </c>
      <c r="Q10" s="205">
        <f t="shared" si="1"/>
        <v>0</v>
      </c>
      <c r="R10" s="205">
        <f t="shared" si="1"/>
        <v>0</v>
      </c>
      <c r="S10" s="195">
        <f t="shared" si="1"/>
        <v>0</v>
      </c>
      <c r="T10" s="205">
        <f t="shared" si="1"/>
        <v>0</v>
      </c>
      <c r="U10" s="205">
        <f t="shared" si="1"/>
        <v>0</v>
      </c>
      <c r="V10" s="205">
        <f t="shared" si="1"/>
        <v>0</v>
      </c>
      <c r="W10" s="205">
        <f t="shared" si="1"/>
        <v>0</v>
      </c>
      <c r="X10" s="195">
        <f t="shared" si="1"/>
        <v>0</v>
      </c>
      <c r="Y10" s="205">
        <f t="shared" si="1"/>
        <v>0</v>
      </c>
      <c r="Z10" s="205">
        <f t="shared" si="1"/>
        <v>0</v>
      </c>
      <c r="AA10" s="205">
        <f t="shared" si="1"/>
        <v>0</v>
      </c>
      <c r="AB10" s="205">
        <f t="shared" si="1"/>
        <v>0</v>
      </c>
      <c r="AC10" s="195">
        <f t="shared" si="1"/>
        <v>0</v>
      </c>
      <c r="AD10" s="205">
        <f t="shared" si="1"/>
        <v>0</v>
      </c>
      <c r="AE10" s="198"/>
      <c r="AF10" s="198"/>
      <c r="AG10" s="198"/>
      <c r="AH10" s="198"/>
    </row>
    <row r="11" spans="2:34" ht="8" customHeight="1" x14ac:dyDescent="0.15">
      <c r="E11" s="191"/>
      <c r="F11" s="198"/>
      <c r="G11" s="198"/>
      <c r="H11" s="198"/>
      <c r="I11" s="191"/>
      <c r="J11" s="198"/>
      <c r="K11" s="198"/>
      <c r="L11" s="198"/>
      <c r="M11" s="198"/>
      <c r="N11" s="191"/>
      <c r="O11" s="198"/>
      <c r="P11" s="198"/>
      <c r="Q11" s="198"/>
      <c r="R11" s="198"/>
      <c r="S11" s="191"/>
      <c r="T11" s="198"/>
      <c r="U11" s="198"/>
      <c r="V11" s="198"/>
      <c r="W11" s="198"/>
      <c r="X11" s="191"/>
      <c r="Y11" s="198"/>
      <c r="Z11" s="198"/>
      <c r="AA11" s="198"/>
      <c r="AB11" s="198"/>
      <c r="AC11" s="191"/>
      <c r="AD11" s="198"/>
      <c r="AE11" s="198"/>
      <c r="AF11" s="198"/>
      <c r="AG11" s="198"/>
      <c r="AH11" s="198"/>
    </row>
    <row r="12" spans="2:34" x14ac:dyDescent="0.15">
      <c r="B12" s="57" t="s">
        <v>33</v>
      </c>
      <c r="E12" s="191"/>
      <c r="F12" s="198"/>
      <c r="G12" s="198"/>
      <c r="H12" s="198"/>
      <c r="I12" s="191"/>
      <c r="J12" s="198"/>
      <c r="K12" s="198"/>
      <c r="L12" s="198"/>
      <c r="M12" s="198"/>
      <c r="N12" s="191"/>
      <c r="O12" s="198"/>
      <c r="P12" s="198"/>
      <c r="Q12" s="198"/>
      <c r="R12" s="198"/>
      <c r="S12" s="191"/>
      <c r="T12" s="198"/>
      <c r="U12" s="198"/>
      <c r="V12" s="198"/>
      <c r="W12" s="198"/>
      <c r="X12" s="191"/>
      <c r="Y12" s="198"/>
      <c r="Z12" s="198"/>
      <c r="AA12" s="198"/>
      <c r="AB12" s="198"/>
      <c r="AC12" s="191"/>
      <c r="AD12" s="198"/>
      <c r="AE12" s="198"/>
      <c r="AF12" s="198"/>
      <c r="AG12" s="198"/>
      <c r="AH12" s="198"/>
    </row>
    <row r="13" spans="2:34" x14ac:dyDescent="0.15">
      <c r="B13" s="96" t="s">
        <v>34</v>
      </c>
      <c r="C13" s="58" t="s">
        <v>35</v>
      </c>
      <c r="E13" s="219">
        <v>0</v>
      </c>
      <c r="F13" s="206">
        <f>E13</f>
        <v>0</v>
      </c>
      <c r="G13" s="206">
        <v>10</v>
      </c>
      <c r="H13" s="206">
        <f t="shared" ref="H13" si="2">G13</f>
        <v>10</v>
      </c>
      <c r="I13" s="219">
        <v>5</v>
      </c>
      <c r="J13" s="198"/>
      <c r="K13" s="198"/>
      <c r="L13" s="198"/>
      <c r="M13" s="198"/>
      <c r="N13" s="219"/>
      <c r="O13" s="198"/>
      <c r="P13" s="198"/>
      <c r="Q13" s="198"/>
      <c r="R13" s="198"/>
      <c r="S13" s="219"/>
      <c r="T13" s="198"/>
      <c r="U13" s="198"/>
      <c r="V13" s="198"/>
      <c r="W13" s="198"/>
      <c r="X13" s="219"/>
      <c r="Y13" s="198"/>
      <c r="Z13" s="198"/>
      <c r="AA13" s="198"/>
      <c r="AB13" s="198"/>
      <c r="AC13" s="219"/>
      <c r="AD13" s="198"/>
      <c r="AE13" s="198"/>
      <c r="AF13" s="198"/>
      <c r="AG13" s="198"/>
      <c r="AH13" s="198"/>
    </row>
    <row r="14" spans="2:34" x14ac:dyDescent="0.15">
      <c r="B14" s="96" t="s">
        <v>36</v>
      </c>
      <c r="C14" s="147" t="s">
        <v>37</v>
      </c>
      <c r="E14" s="219">
        <v>0</v>
      </c>
      <c r="F14" s="206">
        <v>0</v>
      </c>
      <c r="G14" s="206">
        <v>25</v>
      </c>
      <c r="H14" s="206">
        <v>50</v>
      </c>
      <c r="I14" s="219">
        <v>50</v>
      </c>
      <c r="J14" s="198"/>
      <c r="K14" s="198"/>
      <c r="L14" s="198"/>
      <c r="M14" s="198"/>
      <c r="N14" s="219"/>
      <c r="O14" s="198"/>
      <c r="P14" s="198"/>
      <c r="Q14" s="198"/>
      <c r="R14" s="198"/>
      <c r="S14" s="219"/>
      <c r="T14" s="198"/>
      <c r="U14" s="198"/>
      <c r="V14" s="198"/>
      <c r="W14" s="198"/>
      <c r="X14" s="219"/>
      <c r="Y14" s="198"/>
      <c r="Z14" s="198"/>
      <c r="AA14" s="198"/>
      <c r="AB14" s="198"/>
      <c r="AC14" s="219"/>
      <c r="AD14" s="198"/>
      <c r="AE14" s="198"/>
      <c r="AF14" s="198"/>
      <c r="AG14" s="198"/>
      <c r="AH14" s="198"/>
    </row>
    <row r="15" spans="2:34" x14ac:dyDescent="0.15">
      <c r="B15" s="96" t="s">
        <v>38</v>
      </c>
      <c r="C15" s="147" t="s">
        <v>37</v>
      </c>
      <c r="D15" s="71"/>
      <c r="E15" s="219">
        <v>0</v>
      </c>
      <c r="F15" s="206">
        <f>E15</f>
        <v>0</v>
      </c>
      <c r="G15" s="206">
        <v>10</v>
      </c>
      <c r="H15" s="206">
        <f>G15</f>
        <v>10</v>
      </c>
      <c r="I15" s="219">
        <v>5</v>
      </c>
      <c r="J15" s="207"/>
      <c r="K15" s="207"/>
      <c r="L15" s="207"/>
      <c r="M15" s="207"/>
      <c r="N15" s="219"/>
      <c r="O15" s="207"/>
      <c r="P15" s="207"/>
      <c r="Q15" s="207"/>
      <c r="R15" s="207"/>
      <c r="S15" s="219"/>
      <c r="T15" s="207"/>
      <c r="U15" s="207"/>
      <c r="V15" s="207"/>
      <c r="W15" s="207"/>
      <c r="X15" s="219"/>
      <c r="Y15" s="207"/>
      <c r="Z15" s="198"/>
      <c r="AA15" s="198"/>
      <c r="AB15" s="198"/>
      <c r="AC15" s="219"/>
      <c r="AD15" s="207"/>
      <c r="AE15" s="198"/>
      <c r="AF15" s="198"/>
      <c r="AG15" s="198"/>
      <c r="AH15" s="198"/>
    </row>
    <row r="16" spans="2:34" x14ac:dyDescent="0.15">
      <c r="B16" s="96" t="s">
        <v>39</v>
      </c>
      <c r="C16" s="147" t="s">
        <v>37</v>
      </c>
      <c r="E16" s="219">
        <v>0</v>
      </c>
      <c r="F16" s="206">
        <v>0</v>
      </c>
      <c r="G16" s="206">
        <v>50</v>
      </c>
      <c r="H16" s="206">
        <v>75</v>
      </c>
      <c r="I16" s="219">
        <v>75</v>
      </c>
      <c r="J16" s="198"/>
      <c r="K16" s="198"/>
      <c r="L16" s="208"/>
      <c r="M16" s="208"/>
      <c r="N16" s="219"/>
      <c r="O16" s="198"/>
      <c r="P16" s="208"/>
      <c r="Q16" s="208"/>
      <c r="R16" s="208"/>
      <c r="S16" s="219"/>
      <c r="T16" s="198"/>
      <c r="U16" s="208"/>
      <c r="V16" s="208"/>
      <c r="W16" s="208"/>
      <c r="X16" s="219"/>
      <c r="Y16" s="198"/>
      <c r="Z16" s="198"/>
      <c r="AA16" s="198"/>
      <c r="AB16" s="198"/>
      <c r="AC16" s="219"/>
      <c r="AD16" s="198"/>
      <c r="AE16" s="198"/>
      <c r="AF16" s="198"/>
      <c r="AG16" s="198"/>
      <c r="AH16" s="198"/>
    </row>
    <row r="17" spans="2:34" x14ac:dyDescent="0.15">
      <c r="B17" s="96" t="s">
        <v>40</v>
      </c>
      <c r="C17" s="147" t="s">
        <v>37</v>
      </c>
      <c r="D17" s="61"/>
      <c r="E17" s="219">
        <v>0</v>
      </c>
      <c r="F17" s="206">
        <f>E17</f>
        <v>0</v>
      </c>
      <c r="G17" s="206">
        <v>10</v>
      </c>
      <c r="H17" s="206">
        <f t="shared" ref="H17" si="3">G17</f>
        <v>10</v>
      </c>
      <c r="I17" s="219">
        <v>5</v>
      </c>
      <c r="J17" s="198"/>
      <c r="K17" s="198"/>
      <c r="L17" s="198"/>
      <c r="M17" s="198"/>
      <c r="N17" s="219"/>
      <c r="O17" s="198"/>
      <c r="P17" s="198"/>
      <c r="Q17" s="198"/>
      <c r="R17" s="198"/>
      <c r="S17" s="219"/>
      <c r="T17" s="198"/>
      <c r="U17" s="198"/>
      <c r="V17" s="198"/>
      <c r="W17" s="198"/>
      <c r="X17" s="219"/>
      <c r="Y17" s="198"/>
      <c r="Z17" s="198"/>
      <c r="AA17" s="198"/>
      <c r="AB17" s="198"/>
      <c r="AC17" s="219"/>
      <c r="AD17" s="198"/>
      <c r="AE17" s="198"/>
      <c r="AF17" s="198"/>
      <c r="AG17" s="198"/>
      <c r="AH17" s="198"/>
    </row>
    <row r="18" spans="2:34" x14ac:dyDescent="0.15">
      <c r="B18" s="57" t="s">
        <v>41</v>
      </c>
      <c r="C18" s="148">
        <f>SUM(E18:I18)</f>
        <v>400</v>
      </c>
      <c r="E18" s="197">
        <f t="shared" ref="E18:AD18" si="4">SUM(E13:E17)</f>
        <v>0</v>
      </c>
      <c r="F18" s="209">
        <f t="shared" si="4"/>
        <v>0</v>
      </c>
      <c r="G18" s="209">
        <f>SUM(G13:G17)</f>
        <v>105</v>
      </c>
      <c r="H18" s="209">
        <f t="shared" si="4"/>
        <v>155</v>
      </c>
      <c r="I18" s="197">
        <f t="shared" si="4"/>
        <v>140</v>
      </c>
      <c r="J18" s="210">
        <f t="shared" si="4"/>
        <v>0</v>
      </c>
      <c r="K18" s="210">
        <f t="shared" si="4"/>
        <v>0</v>
      </c>
      <c r="L18" s="210">
        <f t="shared" si="4"/>
        <v>0</v>
      </c>
      <c r="M18" s="210">
        <f t="shared" si="4"/>
        <v>0</v>
      </c>
      <c r="N18" s="197">
        <f t="shared" si="4"/>
        <v>0</v>
      </c>
      <c r="O18" s="210">
        <f t="shared" si="4"/>
        <v>0</v>
      </c>
      <c r="P18" s="210">
        <f t="shared" si="4"/>
        <v>0</v>
      </c>
      <c r="Q18" s="210">
        <f t="shared" si="4"/>
        <v>0</v>
      </c>
      <c r="R18" s="210">
        <f t="shared" si="4"/>
        <v>0</v>
      </c>
      <c r="S18" s="197">
        <f t="shared" si="4"/>
        <v>0</v>
      </c>
      <c r="T18" s="210">
        <f t="shared" si="4"/>
        <v>0</v>
      </c>
      <c r="U18" s="210">
        <f t="shared" si="4"/>
        <v>0</v>
      </c>
      <c r="V18" s="210">
        <f t="shared" si="4"/>
        <v>0</v>
      </c>
      <c r="W18" s="210">
        <f t="shared" si="4"/>
        <v>0</v>
      </c>
      <c r="X18" s="197">
        <f t="shared" si="4"/>
        <v>0</v>
      </c>
      <c r="Y18" s="210">
        <f t="shared" si="4"/>
        <v>0</v>
      </c>
      <c r="Z18" s="210">
        <f t="shared" si="4"/>
        <v>0</v>
      </c>
      <c r="AA18" s="210">
        <f t="shared" si="4"/>
        <v>0</v>
      </c>
      <c r="AB18" s="210">
        <f t="shared" si="4"/>
        <v>0</v>
      </c>
      <c r="AC18" s="197">
        <f t="shared" si="4"/>
        <v>0</v>
      </c>
      <c r="AD18" s="210">
        <f t="shared" si="4"/>
        <v>0</v>
      </c>
      <c r="AE18" s="198"/>
      <c r="AF18" s="198"/>
      <c r="AG18" s="198"/>
      <c r="AH18" s="198"/>
    </row>
    <row r="19" spans="2:34" ht="8" customHeight="1" x14ac:dyDescent="0.15">
      <c r="B19" s="57"/>
      <c r="E19" s="191"/>
      <c r="F19" s="198"/>
      <c r="G19" s="198"/>
      <c r="H19" s="198"/>
      <c r="I19" s="191"/>
      <c r="J19" s="198"/>
      <c r="K19" s="198"/>
      <c r="L19" s="198"/>
      <c r="M19" s="198"/>
      <c r="N19" s="191"/>
      <c r="O19" s="198"/>
      <c r="P19" s="198"/>
      <c r="Q19" s="198"/>
      <c r="R19" s="198"/>
      <c r="S19" s="191"/>
      <c r="T19" s="198"/>
      <c r="U19" s="198"/>
      <c r="V19" s="198"/>
      <c r="W19" s="198"/>
      <c r="X19" s="191"/>
      <c r="Y19" s="198"/>
      <c r="Z19" s="198"/>
      <c r="AA19" s="198"/>
      <c r="AB19" s="198"/>
      <c r="AC19" s="191"/>
      <c r="AD19" s="198"/>
      <c r="AE19" s="198"/>
      <c r="AF19" s="198"/>
      <c r="AG19" s="198"/>
      <c r="AH19" s="198"/>
    </row>
    <row r="20" spans="2:34" x14ac:dyDescent="0.15">
      <c r="B20" s="57" t="s">
        <v>42</v>
      </c>
      <c r="E20" s="195">
        <f>E18+E10</f>
        <v>571.59516248301543</v>
      </c>
      <c r="F20" s="205">
        <f t="shared" ref="F20:M20" si="5">F18+F10</f>
        <v>2912.4830396541402</v>
      </c>
      <c r="G20" s="205">
        <f t="shared" si="5"/>
        <v>3580.9611035497637</v>
      </c>
      <c r="H20" s="205">
        <f>H18+H10</f>
        <v>3380.0441242575635</v>
      </c>
      <c r="I20" s="195">
        <f t="shared" si="5"/>
        <v>2723.8988305379007</v>
      </c>
      <c r="J20" s="205">
        <f t="shared" si="5"/>
        <v>1865.2416949511885</v>
      </c>
      <c r="K20" s="205">
        <f t="shared" si="5"/>
        <v>1045.2736199489957</v>
      </c>
      <c r="L20" s="205">
        <f t="shared" si="5"/>
        <v>68.297776363636359</v>
      </c>
      <c r="M20" s="205">
        <f t="shared" si="5"/>
        <v>0</v>
      </c>
      <c r="N20" s="195">
        <f t="shared" ref="N20:AD20" si="6">N17+N10</f>
        <v>0</v>
      </c>
      <c r="O20" s="205">
        <f t="shared" si="6"/>
        <v>0</v>
      </c>
      <c r="P20" s="205">
        <f t="shared" si="6"/>
        <v>0</v>
      </c>
      <c r="Q20" s="205">
        <f t="shared" si="6"/>
        <v>0</v>
      </c>
      <c r="R20" s="205">
        <f t="shared" si="6"/>
        <v>0</v>
      </c>
      <c r="S20" s="195">
        <f t="shared" si="6"/>
        <v>0</v>
      </c>
      <c r="T20" s="205">
        <f t="shared" si="6"/>
        <v>0</v>
      </c>
      <c r="U20" s="205">
        <f t="shared" si="6"/>
        <v>0</v>
      </c>
      <c r="V20" s="205">
        <f t="shared" si="6"/>
        <v>0</v>
      </c>
      <c r="W20" s="205">
        <f t="shared" si="6"/>
        <v>0</v>
      </c>
      <c r="X20" s="195">
        <f t="shared" si="6"/>
        <v>0</v>
      </c>
      <c r="Y20" s="205">
        <f t="shared" si="6"/>
        <v>0</v>
      </c>
      <c r="Z20" s="205">
        <f t="shared" si="6"/>
        <v>0</v>
      </c>
      <c r="AA20" s="205">
        <f t="shared" si="6"/>
        <v>0</v>
      </c>
      <c r="AB20" s="205">
        <f t="shared" si="6"/>
        <v>0</v>
      </c>
      <c r="AC20" s="195">
        <f t="shared" si="6"/>
        <v>0</v>
      </c>
      <c r="AD20" s="205">
        <f t="shared" si="6"/>
        <v>0</v>
      </c>
      <c r="AE20" s="198"/>
      <c r="AF20" s="198"/>
      <c r="AG20" s="198"/>
      <c r="AH20" s="198"/>
    </row>
    <row r="21" spans="2:34" ht="9" customHeight="1" x14ac:dyDescent="0.15">
      <c r="E21" s="191"/>
      <c r="F21" s="198"/>
      <c r="G21" s="198"/>
      <c r="H21" s="198"/>
      <c r="I21" s="191"/>
      <c r="J21" s="198"/>
      <c r="K21" s="198"/>
      <c r="L21" s="198"/>
      <c r="M21" s="198"/>
      <c r="N21" s="191"/>
      <c r="O21" s="198"/>
      <c r="P21" s="198"/>
      <c r="Q21" s="198"/>
      <c r="R21" s="198"/>
      <c r="S21" s="191"/>
      <c r="T21" s="198"/>
      <c r="U21" s="198"/>
      <c r="V21" s="198"/>
      <c r="W21" s="198"/>
      <c r="X21" s="191"/>
      <c r="Y21" s="198"/>
      <c r="Z21" s="198"/>
      <c r="AA21" s="198"/>
      <c r="AB21" s="198"/>
      <c r="AC21" s="191"/>
      <c r="AD21" s="198"/>
      <c r="AE21" s="198"/>
      <c r="AF21" s="198"/>
      <c r="AG21" s="198"/>
      <c r="AH21" s="198"/>
    </row>
    <row r="22" spans="2:34" x14ac:dyDescent="0.15">
      <c r="B22" s="57" t="s">
        <v>43</v>
      </c>
      <c r="E22" s="191"/>
      <c r="F22" s="198"/>
      <c r="G22" s="198"/>
      <c r="H22" s="198"/>
      <c r="I22" s="191"/>
      <c r="J22" s="198"/>
      <c r="K22" s="198"/>
      <c r="L22" s="198"/>
      <c r="M22" s="198"/>
      <c r="N22" s="191"/>
      <c r="O22" s="198"/>
      <c r="P22" s="198"/>
      <c r="Q22" s="198"/>
      <c r="R22" s="198"/>
      <c r="S22" s="191"/>
      <c r="T22" s="198"/>
      <c r="U22" s="198"/>
      <c r="V22" s="198"/>
      <c r="W22" s="198"/>
      <c r="X22" s="191"/>
      <c r="Y22" s="198"/>
      <c r="Z22" s="198"/>
      <c r="AA22" s="198"/>
      <c r="AB22" s="198"/>
      <c r="AC22" s="191"/>
      <c r="AD22" s="198"/>
      <c r="AE22" s="198"/>
      <c r="AF22" s="198"/>
      <c r="AG22" s="198"/>
      <c r="AH22" s="198"/>
    </row>
    <row r="23" spans="2:34" x14ac:dyDescent="0.15">
      <c r="B23" s="57" t="s">
        <v>285</v>
      </c>
      <c r="D23" s="58" t="s">
        <v>44</v>
      </c>
      <c r="E23" s="191"/>
      <c r="F23" s="207"/>
      <c r="G23" s="207"/>
      <c r="H23" s="207"/>
      <c r="I23" s="191"/>
      <c r="J23" s="207"/>
      <c r="K23" s="202"/>
      <c r="L23" s="202"/>
      <c r="M23" s="202"/>
      <c r="N23" s="191"/>
      <c r="O23" s="207"/>
      <c r="P23" s="202"/>
      <c r="Q23" s="202"/>
      <c r="R23" s="202"/>
      <c r="S23" s="191"/>
      <c r="T23" s="207"/>
      <c r="U23" s="202"/>
      <c r="V23" s="202"/>
      <c r="W23" s="202"/>
      <c r="X23" s="191"/>
      <c r="Y23" s="207"/>
      <c r="Z23" s="198"/>
      <c r="AA23" s="198"/>
      <c r="AB23" s="198"/>
      <c r="AC23" s="191"/>
      <c r="AD23" s="207"/>
      <c r="AE23" s="198"/>
      <c r="AF23" s="198"/>
      <c r="AG23" s="198"/>
      <c r="AH23" s="198"/>
    </row>
    <row r="24" spans="2:34" x14ac:dyDescent="0.15">
      <c r="B24" s="96" t="s">
        <v>34</v>
      </c>
      <c r="C24" s="58" t="s">
        <v>45</v>
      </c>
      <c r="D24" s="98">
        <v>0</v>
      </c>
      <c r="E24" s="191"/>
      <c r="F24" s="208">
        <f t="shared" ref="F24" si="7">F23*$D24*1000</f>
        <v>0</v>
      </c>
      <c r="G24" s="208">
        <f>J24*0.25</f>
        <v>16.875</v>
      </c>
      <c r="H24" s="208">
        <f>J24*0.5</f>
        <v>33.75</v>
      </c>
      <c r="I24" s="191">
        <f>J24*0.75</f>
        <v>50.625</v>
      </c>
      <c r="J24" s="208">
        <f>'Bycatch +50%'!R8</f>
        <v>67.5</v>
      </c>
      <c r="K24" s="208">
        <f>J24*(1+$D24)</f>
        <v>67.5</v>
      </c>
      <c r="L24" s="208">
        <f t="shared" ref="L24:X24" si="8">K24*(1+$D24)</f>
        <v>67.5</v>
      </c>
      <c r="M24" s="208">
        <f t="shared" si="8"/>
        <v>67.5</v>
      </c>
      <c r="N24" s="191">
        <f t="shared" si="8"/>
        <v>67.5</v>
      </c>
      <c r="O24" s="208">
        <f t="shared" si="8"/>
        <v>67.5</v>
      </c>
      <c r="P24" s="208">
        <f t="shared" si="8"/>
        <v>67.5</v>
      </c>
      <c r="Q24" s="208">
        <f t="shared" si="8"/>
        <v>67.5</v>
      </c>
      <c r="R24" s="208">
        <f t="shared" si="8"/>
        <v>67.5</v>
      </c>
      <c r="S24" s="191">
        <f t="shared" si="8"/>
        <v>67.5</v>
      </c>
      <c r="T24" s="208">
        <f t="shared" si="8"/>
        <v>67.5</v>
      </c>
      <c r="U24" s="208">
        <f t="shared" si="8"/>
        <v>67.5</v>
      </c>
      <c r="V24" s="208">
        <f t="shared" si="8"/>
        <v>67.5</v>
      </c>
      <c r="W24" s="208">
        <f t="shared" si="8"/>
        <v>67.5</v>
      </c>
      <c r="X24" s="191">
        <f t="shared" si="8"/>
        <v>67.5</v>
      </c>
      <c r="Y24" s="208">
        <f t="shared" ref="Y24" si="9">X24*(1+$D24)</f>
        <v>67.5</v>
      </c>
      <c r="Z24" s="208">
        <f t="shared" ref="Z24" si="10">Y24*(1+$D24)</f>
        <v>67.5</v>
      </c>
      <c r="AA24" s="208">
        <f t="shared" ref="AA24" si="11">Z24*(1+$D24)</f>
        <v>67.5</v>
      </c>
      <c r="AB24" s="208">
        <f t="shared" ref="AB24" si="12">AA24*(1+$D24)</f>
        <v>67.5</v>
      </c>
      <c r="AC24" s="191">
        <f t="shared" ref="AC24" si="13">AB24*(1+$D24)</f>
        <v>67.5</v>
      </c>
      <c r="AD24" s="208">
        <f t="shared" ref="AD24" si="14">AC24*(1+$D24)</f>
        <v>67.5</v>
      </c>
      <c r="AE24" s="198"/>
      <c r="AF24" s="198"/>
      <c r="AG24" s="198"/>
      <c r="AH24" s="198"/>
    </row>
    <row r="25" spans="2:34" x14ac:dyDescent="0.15">
      <c r="B25" s="96" t="s">
        <v>36</v>
      </c>
      <c r="C25" s="58" t="s">
        <v>45</v>
      </c>
      <c r="D25" s="99">
        <v>0</v>
      </c>
      <c r="E25" s="191"/>
      <c r="F25" s="208">
        <f t="shared" ref="F25" si="15">F23*$D25*1000</f>
        <v>0</v>
      </c>
      <c r="G25" s="208">
        <f>J25*0.33</f>
        <v>63.690000000000005</v>
      </c>
      <c r="H25" s="208">
        <f>J25*0.5</f>
        <v>96.5</v>
      </c>
      <c r="I25" s="191">
        <f>J25*0.8</f>
        <v>154.4</v>
      </c>
      <c r="J25" s="208">
        <f>'Bycatch +50%'!R9</f>
        <v>193</v>
      </c>
      <c r="K25" s="208">
        <f>J25*(1+$D25)</f>
        <v>193</v>
      </c>
      <c r="L25" s="208">
        <f t="shared" ref="K25:X28" si="16">K25*(1+$D25)</f>
        <v>193</v>
      </c>
      <c r="M25" s="208">
        <f t="shared" si="16"/>
        <v>193</v>
      </c>
      <c r="N25" s="191">
        <f t="shared" si="16"/>
        <v>193</v>
      </c>
      <c r="O25" s="208">
        <f t="shared" si="16"/>
        <v>193</v>
      </c>
      <c r="P25" s="208">
        <f t="shared" si="16"/>
        <v>193</v>
      </c>
      <c r="Q25" s="208">
        <f t="shared" si="16"/>
        <v>193</v>
      </c>
      <c r="R25" s="208">
        <f t="shared" si="16"/>
        <v>193</v>
      </c>
      <c r="S25" s="191">
        <f t="shared" si="16"/>
        <v>193</v>
      </c>
      <c r="T25" s="208">
        <f t="shared" si="16"/>
        <v>193</v>
      </c>
      <c r="U25" s="208">
        <f t="shared" si="16"/>
        <v>193</v>
      </c>
      <c r="V25" s="208">
        <f t="shared" si="16"/>
        <v>193</v>
      </c>
      <c r="W25" s="208">
        <f t="shared" si="16"/>
        <v>193</v>
      </c>
      <c r="X25" s="191">
        <f t="shared" si="16"/>
        <v>193</v>
      </c>
      <c r="Y25" s="208">
        <f t="shared" ref="Y25:AD25" si="17">X25*(1+$D25)</f>
        <v>193</v>
      </c>
      <c r="Z25" s="208">
        <f t="shared" si="17"/>
        <v>193</v>
      </c>
      <c r="AA25" s="208">
        <f t="shared" si="17"/>
        <v>193</v>
      </c>
      <c r="AB25" s="208">
        <f t="shared" si="17"/>
        <v>193</v>
      </c>
      <c r="AC25" s="191">
        <f t="shared" si="17"/>
        <v>193</v>
      </c>
      <c r="AD25" s="208">
        <f t="shared" si="17"/>
        <v>193</v>
      </c>
      <c r="AE25" s="198"/>
      <c r="AF25" s="198"/>
      <c r="AG25" s="198"/>
      <c r="AH25" s="198"/>
    </row>
    <row r="26" spans="2:34" x14ac:dyDescent="0.15">
      <c r="B26" s="96" t="s">
        <v>38</v>
      </c>
      <c r="C26" s="58" t="s">
        <v>45</v>
      </c>
      <c r="D26" s="99">
        <v>0</v>
      </c>
      <c r="E26" s="191"/>
      <c r="F26" s="208">
        <f t="shared" ref="F26" si="18">F24-F25</f>
        <v>0</v>
      </c>
      <c r="G26" s="208">
        <f t="shared" ref="G26:G28" si="19">J26*0.33</f>
        <v>12.705</v>
      </c>
      <c r="H26" s="208">
        <f t="shared" ref="H26:H28" si="20">J26*0.5</f>
        <v>19.25</v>
      </c>
      <c r="I26" s="191">
        <f t="shared" ref="I26:I28" si="21">J26*0.8</f>
        <v>30.8</v>
      </c>
      <c r="J26" s="208">
        <f>'Bycatch +50%'!R10</f>
        <v>38.5</v>
      </c>
      <c r="K26" s="208">
        <f t="shared" si="16"/>
        <v>38.5</v>
      </c>
      <c r="L26" s="208">
        <f t="shared" si="16"/>
        <v>38.5</v>
      </c>
      <c r="M26" s="208">
        <f t="shared" si="16"/>
        <v>38.5</v>
      </c>
      <c r="N26" s="191">
        <f t="shared" si="16"/>
        <v>38.5</v>
      </c>
      <c r="O26" s="208">
        <f t="shared" si="16"/>
        <v>38.5</v>
      </c>
      <c r="P26" s="208">
        <f t="shared" si="16"/>
        <v>38.5</v>
      </c>
      <c r="Q26" s="208">
        <f t="shared" si="16"/>
        <v>38.5</v>
      </c>
      <c r="R26" s="208">
        <f t="shared" si="16"/>
        <v>38.5</v>
      </c>
      <c r="S26" s="191">
        <f t="shared" si="16"/>
        <v>38.5</v>
      </c>
      <c r="T26" s="208">
        <f t="shared" si="16"/>
        <v>38.5</v>
      </c>
      <c r="U26" s="208">
        <f t="shared" si="16"/>
        <v>38.5</v>
      </c>
      <c r="V26" s="208">
        <f t="shared" si="16"/>
        <v>38.5</v>
      </c>
      <c r="W26" s="208">
        <f t="shared" si="16"/>
        <v>38.5</v>
      </c>
      <c r="X26" s="191">
        <f t="shared" si="16"/>
        <v>38.5</v>
      </c>
      <c r="Y26" s="208">
        <f t="shared" ref="Y26:AD26" si="22">X26*(1+$D26)</f>
        <v>38.5</v>
      </c>
      <c r="Z26" s="208">
        <f t="shared" si="22"/>
        <v>38.5</v>
      </c>
      <c r="AA26" s="208">
        <f t="shared" si="22"/>
        <v>38.5</v>
      </c>
      <c r="AB26" s="208">
        <f t="shared" si="22"/>
        <v>38.5</v>
      </c>
      <c r="AC26" s="191">
        <f t="shared" si="22"/>
        <v>38.5</v>
      </c>
      <c r="AD26" s="208">
        <f t="shared" si="22"/>
        <v>38.5</v>
      </c>
      <c r="AE26" s="198"/>
      <c r="AF26" s="198"/>
      <c r="AG26" s="198"/>
      <c r="AH26" s="198"/>
    </row>
    <row r="27" spans="2:34" x14ac:dyDescent="0.15">
      <c r="B27" s="96" t="s">
        <v>39</v>
      </c>
      <c r="C27" s="58" t="s">
        <v>45</v>
      </c>
      <c r="D27" s="99">
        <v>0</v>
      </c>
      <c r="E27" s="191"/>
      <c r="F27" s="208"/>
      <c r="G27" s="208">
        <f t="shared" si="19"/>
        <v>170.94</v>
      </c>
      <c r="H27" s="208">
        <f t="shared" si="20"/>
        <v>259</v>
      </c>
      <c r="I27" s="191">
        <f t="shared" si="21"/>
        <v>414.40000000000003</v>
      </c>
      <c r="J27" s="208">
        <f>'Bycatch +50%'!R11</f>
        <v>518</v>
      </c>
      <c r="K27" s="208">
        <f t="shared" si="16"/>
        <v>518</v>
      </c>
      <c r="L27" s="208">
        <f t="shared" si="16"/>
        <v>518</v>
      </c>
      <c r="M27" s="208">
        <f t="shared" si="16"/>
        <v>518</v>
      </c>
      <c r="N27" s="191">
        <f t="shared" si="16"/>
        <v>518</v>
      </c>
      <c r="O27" s="208">
        <f t="shared" si="16"/>
        <v>518</v>
      </c>
      <c r="P27" s="208">
        <f t="shared" si="16"/>
        <v>518</v>
      </c>
      <c r="Q27" s="208">
        <f t="shared" si="16"/>
        <v>518</v>
      </c>
      <c r="R27" s="208">
        <f t="shared" si="16"/>
        <v>518</v>
      </c>
      <c r="S27" s="191">
        <f t="shared" si="16"/>
        <v>518</v>
      </c>
      <c r="T27" s="208">
        <f t="shared" si="16"/>
        <v>518</v>
      </c>
      <c r="U27" s="208">
        <f t="shared" si="16"/>
        <v>518</v>
      </c>
      <c r="V27" s="208">
        <f t="shared" si="16"/>
        <v>518</v>
      </c>
      <c r="W27" s="208">
        <f t="shared" si="16"/>
        <v>518</v>
      </c>
      <c r="X27" s="191">
        <f t="shared" si="16"/>
        <v>518</v>
      </c>
      <c r="Y27" s="208">
        <f t="shared" ref="Y27:AD27" si="23">X27*(1+$D27)</f>
        <v>518</v>
      </c>
      <c r="Z27" s="208">
        <f t="shared" si="23"/>
        <v>518</v>
      </c>
      <c r="AA27" s="208">
        <f t="shared" si="23"/>
        <v>518</v>
      </c>
      <c r="AB27" s="208">
        <f t="shared" si="23"/>
        <v>518</v>
      </c>
      <c r="AC27" s="191">
        <f t="shared" si="23"/>
        <v>518</v>
      </c>
      <c r="AD27" s="208">
        <f t="shared" si="23"/>
        <v>518</v>
      </c>
      <c r="AE27" s="198"/>
      <c r="AF27" s="198"/>
      <c r="AG27" s="198"/>
      <c r="AH27" s="198"/>
    </row>
    <row r="28" spans="2:34" x14ac:dyDescent="0.15">
      <c r="B28" s="96" t="s">
        <v>40</v>
      </c>
      <c r="C28" s="58" t="s">
        <v>45</v>
      </c>
      <c r="D28" s="99">
        <v>0</v>
      </c>
      <c r="E28" s="191"/>
      <c r="F28" s="208"/>
      <c r="G28" s="208">
        <f t="shared" si="19"/>
        <v>0.72600000000000009</v>
      </c>
      <c r="H28" s="208">
        <f t="shared" si="20"/>
        <v>1.1000000000000001</v>
      </c>
      <c r="I28" s="191">
        <f t="shared" si="21"/>
        <v>1.7600000000000002</v>
      </c>
      <c r="J28" s="208">
        <f>'Bycatch +50%'!R12</f>
        <v>2.2000000000000002</v>
      </c>
      <c r="K28" s="208">
        <f t="shared" si="16"/>
        <v>2.2000000000000002</v>
      </c>
      <c r="L28" s="208">
        <f t="shared" si="16"/>
        <v>2.2000000000000002</v>
      </c>
      <c r="M28" s="208">
        <f t="shared" si="16"/>
        <v>2.2000000000000002</v>
      </c>
      <c r="N28" s="191">
        <f t="shared" si="16"/>
        <v>2.2000000000000002</v>
      </c>
      <c r="O28" s="208">
        <f t="shared" si="16"/>
        <v>2.2000000000000002</v>
      </c>
      <c r="P28" s="208">
        <f t="shared" si="16"/>
        <v>2.2000000000000002</v>
      </c>
      <c r="Q28" s="208">
        <f t="shared" si="16"/>
        <v>2.2000000000000002</v>
      </c>
      <c r="R28" s="208">
        <f t="shared" si="16"/>
        <v>2.2000000000000002</v>
      </c>
      <c r="S28" s="191">
        <f t="shared" si="16"/>
        <v>2.2000000000000002</v>
      </c>
      <c r="T28" s="208">
        <f t="shared" si="16"/>
        <v>2.2000000000000002</v>
      </c>
      <c r="U28" s="208">
        <f t="shared" si="16"/>
        <v>2.2000000000000002</v>
      </c>
      <c r="V28" s="208">
        <f t="shared" si="16"/>
        <v>2.2000000000000002</v>
      </c>
      <c r="W28" s="208">
        <f t="shared" si="16"/>
        <v>2.2000000000000002</v>
      </c>
      <c r="X28" s="191">
        <f t="shared" si="16"/>
        <v>2.2000000000000002</v>
      </c>
      <c r="Y28" s="208">
        <f t="shared" ref="Y28:AD28" si="24">X28*(1+$D28)</f>
        <v>2.2000000000000002</v>
      </c>
      <c r="Z28" s="208">
        <f t="shared" si="24"/>
        <v>2.2000000000000002</v>
      </c>
      <c r="AA28" s="208">
        <f t="shared" si="24"/>
        <v>2.2000000000000002</v>
      </c>
      <c r="AB28" s="208">
        <f t="shared" si="24"/>
        <v>2.2000000000000002</v>
      </c>
      <c r="AC28" s="191">
        <f t="shared" si="24"/>
        <v>2.2000000000000002</v>
      </c>
      <c r="AD28" s="208">
        <f t="shared" si="24"/>
        <v>2.2000000000000002</v>
      </c>
      <c r="AE28" s="198"/>
      <c r="AF28" s="198"/>
      <c r="AG28" s="198"/>
      <c r="AH28" s="198"/>
    </row>
    <row r="29" spans="2:34" x14ac:dyDescent="0.15">
      <c r="B29" s="57" t="s">
        <v>46</v>
      </c>
      <c r="E29" s="196">
        <f t="shared" ref="E29:AD29" si="25">SUM(E24:E28)</f>
        <v>0</v>
      </c>
      <c r="F29" s="211">
        <f t="shared" si="25"/>
        <v>0</v>
      </c>
      <c r="G29" s="211">
        <f t="shared" si="25"/>
        <v>264.93599999999998</v>
      </c>
      <c r="H29" s="211">
        <f t="shared" si="25"/>
        <v>409.6</v>
      </c>
      <c r="I29" s="196">
        <f t="shared" si="25"/>
        <v>651.98500000000001</v>
      </c>
      <c r="J29" s="211">
        <f t="shared" si="25"/>
        <v>819.2</v>
      </c>
      <c r="K29" s="211">
        <f t="shared" si="25"/>
        <v>819.2</v>
      </c>
      <c r="L29" s="211">
        <f t="shared" si="25"/>
        <v>819.2</v>
      </c>
      <c r="M29" s="211">
        <f t="shared" si="25"/>
        <v>819.2</v>
      </c>
      <c r="N29" s="196">
        <f t="shared" si="25"/>
        <v>819.2</v>
      </c>
      <c r="O29" s="211">
        <f t="shared" si="25"/>
        <v>819.2</v>
      </c>
      <c r="P29" s="211">
        <f t="shared" si="25"/>
        <v>819.2</v>
      </c>
      <c r="Q29" s="211">
        <f t="shared" si="25"/>
        <v>819.2</v>
      </c>
      <c r="R29" s="211">
        <f t="shared" si="25"/>
        <v>819.2</v>
      </c>
      <c r="S29" s="196">
        <f t="shared" si="25"/>
        <v>819.2</v>
      </c>
      <c r="T29" s="211">
        <f t="shared" si="25"/>
        <v>819.2</v>
      </c>
      <c r="U29" s="211">
        <f t="shared" si="25"/>
        <v>819.2</v>
      </c>
      <c r="V29" s="211">
        <f t="shared" si="25"/>
        <v>819.2</v>
      </c>
      <c r="W29" s="211">
        <f t="shared" si="25"/>
        <v>819.2</v>
      </c>
      <c r="X29" s="196">
        <f t="shared" si="25"/>
        <v>819.2</v>
      </c>
      <c r="Y29" s="211">
        <f t="shared" si="25"/>
        <v>819.2</v>
      </c>
      <c r="Z29" s="211">
        <f t="shared" si="25"/>
        <v>819.2</v>
      </c>
      <c r="AA29" s="211">
        <f t="shared" si="25"/>
        <v>819.2</v>
      </c>
      <c r="AB29" s="211">
        <f t="shared" si="25"/>
        <v>819.2</v>
      </c>
      <c r="AC29" s="196">
        <f t="shared" si="25"/>
        <v>819.2</v>
      </c>
      <c r="AD29" s="211">
        <f t="shared" si="25"/>
        <v>819.2</v>
      </c>
      <c r="AE29" s="198"/>
      <c r="AF29" s="198"/>
      <c r="AG29" s="198"/>
      <c r="AH29" s="198"/>
    </row>
    <row r="30" spans="2:34" ht="6.5" customHeight="1" x14ac:dyDescent="0.15">
      <c r="E30" s="191"/>
      <c r="F30" s="208"/>
      <c r="G30" s="208"/>
      <c r="H30" s="208"/>
      <c r="I30" s="191"/>
      <c r="J30" s="208"/>
      <c r="K30" s="208"/>
      <c r="L30" s="208"/>
      <c r="M30" s="208"/>
      <c r="N30" s="191"/>
      <c r="O30" s="208"/>
      <c r="P30" s="208"/>
      <c r="Q30" s="208"/>
      <c r="R30" s="208"/>
      <c r="S30" s="191"/>
      <c r="T30" s="208"/>
      <c r="U30" s="208"/>
      <c r="V30" s="208"/>
      <c r="W30" s="208"/>
      <c r="X30" s="191"/>
      <c r="Y30" s="208"/>
      <c r="Z30" s="208"/>
      <c r="AA30" s="208"/>
      <c r="AB30" s="208"/>
      <c r="AC30" s="191"/>
      <c r="AD30" s="208"/>
      <c r="AE30" s="198"/>
      <c r="AF30" s="198"/>
      <c r="AG30" s="198"/>
      <c r="AH30" s="198"/>
    </row>
    <row r="31" spans="2:34" x14ac:dyDescent="0.15">
      <c r="B31" s="57" t="s">
        <v>47</v>
      </c>
      <c r="C31" s="58" t="s">
        <v>48</v>
      </c>
      <c r="D31" s="58" t="s">
        <v>35</v>
      </c>
      <c r="E31" s="223">
        <f>1.2</f>
        <v>1.2</v>
      </c>
      <c r="F31" s="211">
        <f>F29*$E31*1000</f>
        <v>0</v>
      </c>
      <c r="G31" s="209">
        <f>G29*$E31</f>
        <v>317.92319999999995</v>
      </c>
      <c r="H31" s="209">
        <f t="shared" ref="H31:AD31" si="26">H29*$E31</f>
        <v>491.52</v>
      </c>
      <c r="I31" s="220">
        <f t="shared" si="26"/>
        <v>782.38199999999995</v>
      </c>
      <c r="J31" s="209">
        <f t="shared" si="26"/>
        <v>983.04</v>
      </c>
      <c r="K31" s="209">
        <f t="shared" si="26"/>
        <v>983.04</v>
      </c>
      <c r="L31" s="209">
        <f t="shared" si="26"/>
        <v>983.04</v>
      </c>
      <c r="M31" s="209">
        <f t="shared" si="26"/>
        <v>983.04</v>
      </c>
      <c r="N31" s="220">
        <f t="shared" si="26"/>
        <v>983.04</v>
      </c>
      <c r="O31" s="209">
        <f t="shared" si="26"/>
        <v>983.04</v>
      </c>
      <c r="P31" s="209">
        <f t="shared" si="26"/>
        <v>983.04</v>
      </c>
      <c r="Q31" s="209">
        <f t="shared" si="26"/>
        <v>983.04</v>
      </c>
      <c r="R31" s="209">
        <f t="shared" si="26"/>
        <v>983.04</v>
      </c>
      <c r="S31" s="220">
        <f t="shared" si="26"/>
        <v>983.04</v>
      </c>
      <c r="T31" s="209">
        <f t="shared" si="26"/>
        <v>983.04</v>
      </c>
      <c r="U31" s="209">
        <f t="shared" si="26"/>
        <v>983.04</v>
      </c>
      <c r="V31" s="209">
        <f t="shared" si="26"/>
        <v>983.04</v>
      </c>
      <c r="W31" s="209">
        <f t="shared" si="26"/>
        <v>983.04</v>
      </c>
      <c r="X31" s="220">
        <f t="shared" si="26"/>
        <v>983.04</v>
      </c>
      <c r="Y31" s="209">
        <f t="shared" si="26"/>
        <v>983.04</v>
      </c>
      <c r="Z31" s="209">
        <f t="shared" si="26"/>
        <v>983.04</v>
      </c>
      <c r="AA31" s="209">
        <f t="shared" si="26"/>
        <v>983.04</v>
      </c>
      <c r="AB31" s="209">
        <f t="shared" si="26"/>
        <v>983.04</v>
      </c>
      <c r="AC31" s="220">
        <f t="shared" si="26"/>
        <v>983.04</v>
      </c>
      <c r="AD31" s="209">
        <f t="shared" si="26"/>
        <v>983.04</v>
      </c>
      <c r="AE31" s="198"/>
      <c r="AF31" s="198"/>
      <c r="AG31" s="198"/>
      <c r="AH31" s="198"/>
    </row>
    <row r="32" spans="2:34" x14ac:dyDescent="0.15">
      <c r="B32" s="58" t="s">
        <v>49</v>
      </c>
      <c r="D32" s="97"/>
      <c r="E32" s="196"/>
      <c r="F32" s="211"/>
      <c r="G32" s="211"/>
      <c r="H32" s="211"/>
      <c r="I32" s="196"/>
      <c r="J32" s="211"/>
      <c r="K32" s="211"/>
      <c r="L32" s="211"/>
      <c r="M32" s="211"/>
      <c r="N32" s="196"/>
      <c r="O32" s="211"/>
      <c r="P32" s="211"/>
      <c r="Q32" s="211"/>
      <c r="R32" s="211"/>
      <c r="S32" s="196"/>
      <c r="T32" s="211"/>
      <c r="U32" s="211"/>
      <c r="V32" s="211"/>
      <c r="W32" s="211"/>
      <c r="X32" s="196"/>
      <c r="Y32" s="211"/>
      <c r="Z32" s="211"/>
      <c r="AA32" s="211"/>
      <c r="AB32" s="211"/>
      <c r="AC32" s="196"/>
      <c r="AD32" s="211"/>
      <c r="AE32" s="198"/>
      <c r="AF32" s="198"/>
      <c r="AG32" s="198"/>
      <c r="AH32" s="198"/>
    </row>
    <row r="33" spans="2:34" ht="6.5" customHeight="1" x14ac:dyDescent="0.15">
      <c r="E33" s="191"/>
      <c r="F33" s="198"/>
      <c r="G33" s="198"/>
      <c r="H33" s="198"/>
      <c r="I33" s="191"/>
      <c r="J33" s="211"/>
      <c r="K33" s="211"/>
      <c r="L33" s="211"/>
      <c r="M33" s="211"/>
      <c r="N33" s="191"/>
      <c r="O33" s="211"/>
      <c r="P33" s="211"/>
      <c r="Q33" s="211"/>
      <c r="R33" s="211"/>
      <c r="S33" s="191"/>
      <c r="T33" s="211"/>
      <c r="U33" s="211"/>
      <c r="V33" s="211"/>
      <c r="W33" s="211"/>
      <c r="X33" s="191"/>
      <c r="Y33" s="211"/>
      <c r="Z33" s="211"/>
      <c r="AA33" s="211"/>
      <c r="AB33" s="211"/>
      <c r="AC33" s="191"/>
      <c r="AD33" s="211"/>
      <c r="AE33" s="198"/>
      <c r="AF33" s="198"/>
      <c r="AG33" s="198"/>
      <c r="AH33" s="198"/>
    </row>
    <row r="34" spans="2:34" x14ac:dyDescent="0.15">
      <c r="B34" s="57" t="s">
        <v>286</v>
      </c>
      <c r="C34" s="57" t="s">
        <v>50</v>
      </c>
      <c r="E34" s="191"/>
      <c r="F34" s="207"/>
      <c r="G34" s="207"/>
      <c r="H34" s="207"/>
      <c r="I34" s="191"/>
      <c r="J34" s="212">
        <v>0.3</v>
      </c>
      <c r="K34" s="202"/>
      <c r="L34" s="202"/>
      <c r="M34" s="202"/>
      <c r="N34" s="191"/>
      <c r="O34" s="212"/>
      <c r="P34" s="202"/>
      <c r="Q34" s="202"/>
      <c r="R34" s="202"/>
      <c r="S34" s="191"/>
      <c r="T34" s="212"/>
      <c r="U34" s="202"/>
      <c r="V34" s="202"/>
      <c r="W34" s="202"/>
      <c r="X34" s="191"/>
      <c r="Y34" s="212"/>
      <c r="Z34" s="198"/>
      <c r="AA34" s="198"/>
      <c r="AB34" s="198"/>
      <c r="AC34" s="191"/>
      <c r="AD34" s="207"/>
      <c r="AE34" s="198"/>
      <c r="AF34" s="198"/>
      <c r="AG34" s="198"/>
      <c r="AH34" s="198"/>
    </row>
    <row r="35" spans="2:34" x14ac:dyDescent="0.15">
      <c r="B35" s="96" t="s">
        <v>34</v>
      </c>
      <c r="C35" s="58" t="s">
        <v>45</v>
      </c>
      <c r="D35" s="61">
        <f>'Bycatch +50%'!F8</f>
        <v>135</v>
      </c>
      <c r="E35" s="191"/>
      <c r="F35" s="208">
        <f t="shared" ref="F35" si="27">F34*$D35*1000</f>
        <v>0</v>
      </c>
      <c r="G35" s="208">
        <f>J35*0.25</f>
        <v>10.125</v>
      </c>
      <c r="H35" s="208">
        <f>J35*0.5</f>
        <v>20.25</v>
      </c>
      <c r="I35" s="191">
        <f>J35*0.75</f>
        <v>30.375</v>
      </c>
      <c r="J35" s="208">
        <f>D35*J$34</f>
        <v>40.5</v>
      </c>
      <c r="K35" s="208">
        <f>J35</f>
        <v>40.5</v>
      </c>
      <c r="L35" s="208">
        <f t="shared" ref="L35:O35" si="28">K35</f>
        <v>40.5</v>
      </c>
      <c r="M35" s="208">
        <f t="shared" si="28"/>
        <v>40.5</v>
      </c>
      <c r="N35" s="191">
        <f t="shared" si="28"/>
        <v>40.5</v>
      </c>
      <c r="O35" s="208">
        <f t="shared" si="28"/>
        <v>40.5</v>
      </c>
      <c r="P35" s="208">
        <f t="shared" ref="P35:AD35" si="29">O35</f>
        <v>40.5</v>
      </c>
      <c r="Q35" s="208">
        <f t="shared" si="29"/>
        <v>40.5</v>
      </c>
      <c r="R35" s="208">
        <f t="shared" si="29"/>
        <v>40.5</v>
      </c>
      <c r="S35" s="191">
        <f t="shared" si="29"/>
        <v>40.5</v>
      </c>
      <c r="T35" s="208">
        <f t="shared" si="29"/>
        <v>40.5</v>
      </c>
      <c r="U35" s="208">
        <f t="shared" si="29"/>
        <v>40.5</v>
      </c>
      <c r="V35" s="208">
        <f t="shared" si="29"/>
        <v>40.5</v>
      </c>
      <c r="W35" s="208">
        <f t="shared" si="29"/>
        <v>40.5</v>
      </c>
      <c r="X35" s="191">
        <f t="shared" si="29"/>
        <v>40.5</v>
      </c>
      <c r="Y35" s="208">
        <f t="shared" si="29"/>
        <v>40.5</v>
      </c>
      <c r="Z35" s="208">
        <f t="shared" si="29"/>
        <v>40.5</v>
      </c>
      <c r="AA35" s="208">
        <f t="shared" si="29"/>
        <v>40.5</v>
      </c>
      <c r="AB35" s="208">
        <f t="shared" si="29"/>
        <v>40.5</v>
      </c>
      <c r="AC35" s="191">
        <f t="shared" si="29"/>
        <v>40.5</v>
      </c>
      <c r="AD35" s="208">
        <f t="shared" si="29"/>
        <v>40.5</v>
      </c>
      <c r="AE35" s="198"/>
      <c r="AF35" s="198"/>
      <c r="AG35" s="198"/>
      <c r="AH35" s="198"/>
    </row>
    <row r="36" spans="2:34" x14ac:dyDescent="0.15">
      <c r="B36" s="96" t="s">
        <v>36</v>
      </c>
      <c r="C36" s="58" t="s">
        <v>45</v>
      </c>
      <c r="D36" s="61">
        <f>'Bycatch +50%'!F9</f>
        <v>386</v>
      </c>
      <c r="E36" s="191"/>
      <c r="F36" s="208">
        <f t="shared" ref="F36" si="30">F34*$D36*1000</f>
        <v>0</v>
      </c>
      <c r="G36" s="208">
        <f>J36*0.33</f>
        <v>38.213999999999999</v>
      </c>
      <c r="H36" s="208">
        <f>J36*0.5</f>
        <v>57.9</v>
      </c>
      <c r="I36" s="191">
        <f>J36*0.8</f>
        <v>92.64</v>
      </c>
      <c r="J36" s="208">
        <f t="shared" ref="J36:J39" si="31">D36*J$34</f>
        <v>115.8</v>
      </c>
      <c r="K36" s="208">
        <f t="shared" ref="K36:N39" si="32">J36</f>
        <v>115.8</v>
      </c>
      <c r="L36" s="208">
        <f t="shared" si="32"/>
        <v>115.8</v>
      </c>
      <c r="M36" s="208">
        <f t="shared" si="32"/>
        <v>115.8</v>
      </c>
      <c r="N36" s="191">
        <f t="shared" si="32"/>
        <v>115.8</v>
      </c>
      <c r="O36" s="208">
        <f t="shared" ref="O36:AD36" si="33">N36</f>
        <v>115.8</v>
      </c>
      <c r="P36" s="208">
        <f t="shared" si="33"/>
        <v>115.8</v>
      </c>
      <c r="Q36" s="208">
        <f t="shared" si="33"/>
        <v>115.8</v>
      </c>
      <c r="R36" s="208">
        <f t="shared" si="33"/>
        <v>115.8</v>
      </c>
      <c r="S36" s="191">
        <f t="shared" si="33"/>
        <v>115.8</v>
      </c>
      <c r="T36" s="208">
        <f t="shared" si="33"/>
        <v>115.8</v>
      </c>
      <c r="U36" s="208">
        <f t="shared" si="33"/>
        <v>115.8</v>
      </c>
      <c r="V36" s="208">
        <f t="shared" si="33"/>
        <v>115.8</v>
      </c>
      <c r="W36" s="208">
        <f t="shared" si="33"/>
        <v>115.8</v>
      </c>
      <c r="X36" s="191">
        <f t="shared" si="33"/>
        <v>115.8</v>
      </c>
      <c r="Y36" s="208">
        <f t="shared" si="33"/>
        <v>115.8</v>
      </c>
      <c r="Z36" s="208">
        <f t="shared" si="33"/>
        <v>115.8</v>
      </c>
      <c r="AA36" s="208">
        <f t="shared" si="33"/>
        <v>115.8</v>
      </c>
      <c r="AB36" s="208">
        <f t="shared" si="33"/>
        <v>115.8</v>
      </c>
      <c r="AC36" s="191">
        <f t="shared" si="33"/>
        <v>115.8</v>
      </c>
      <c r="AD36" s="208">
        <f t="shared" si="33"/>
        <v>115.8</v>
      </c>
      <c r="AE36" s="198"/>
      <c r="AF36" s="198"/>
      <c r="AG36" s="198"/>
      <c r="AH36" s="198"/>
    </row>
    <row r="37" spans="2:34" x14ac:dyDescent="0.15">
      <c r="B37" s="96" t="s">
        <v>38</v>
      </c>
      <c r="C37" s="58" t="s">
        <v>45</v>
      </c>
      <c r="D37" s="61">
        <f>'Bycatch +50%'!F10</f>
        <v>77</v>
      </c>
      <c r="E37" s="191"/>
      <c r="F37" s="208">
        <f t="shared" ref="F37" si="34">F35-F36</f>
        <v>0</v>
      </c>
      <c r="G37" s="208">
        <f t="shared" ref="G37:G39" si="35">J37*0.33</f>
        <v>7.6229999999999993</v>
      </c>
      <c r="H37" s="208">
        <f t="shared" ref="H37:H39" si="36">J37*0.5</f>
        <v>11.549999999999999</v>
      </c>
      <c r="I37" s="191">
        <f t="shared" ref="I37:I39" si="37">J37*0.8</f>
        <v>18.48</v>
      </c>
      <c r="J37" s="208">
        <f t="shared" si="31"/>
        <v>23.099999999999998</v>
      </c>
      <c r="K37" s="208">
        <f t="shared" si="32"/>
        <v>23.099999999999998</v>
      </c>
      <c r="L37" s="208">
        <f t="shared" si="32"/>
        <v>23.099999999999998</v>
      </c>
      <c r="M37" s="208">
        <f t="shared" si="32"/>
        <v>23.099999999999998</v>
      </c>
      <c r="N37" s="191">
        <f t="shared" si="32"/>
        <v>23.099999999999998</v>
      </c>
      <c r="O37" s="208">
        <f t="shared" ref="O37:AD37" si="38">N37</f>
        <v>23.099999999999998</v>
      </c>
      <c r="P37" s="208">
        <f t="shared" si="38"/>
        <v>23.099999999999998</v>
      </c>
      <c r="Q37" s="208">
        <f t="shared" si="38"/>
        <v>23.099999999999998</v>
      </c>
      <c r="R37" s="208">
        <f t="shared" si="38"/>
        <v>23.099999999999998</v>
      </c>
      <c r="S37" s="191">
        <f t="shared" si="38"/>
        <v>23.099999999999998</v>
      </c>
      <c r="T37" s="208">
        <f t="shared" si="38"/>
        <v>23.099999999999998</v>
      </c>
      <c r="U37" s="208">
        <f t="shared" si="38"/>
        <v>23.099999999999998</v>
      </c>
      <c r="V37" s="208">
        <f t="shared" si="38"/>
        <v>23.099999999999998</v>
      </c>
      <c r="W37" s="208">
        <f t="shared" si="38"/>
        <v>23.099999999999998</v>
      </c>
      <c r="X37" s="191">
        <f t="shared" si="38"/>
        <v>23.099999999999998</v>
      </c>
      <c r="Y37" s="208">
        <f t="shared" si="38"/>
        <v>23.099999999999998</v>
      </c>
      <c r="Z37" s="208">
        <f t="shared" si="38"/>
        <v>23.099999999999998</v>
      </c>
      <c r="AA37" s="208">
        <f t="shared" si="38"/>
        <v>23.099999999999998</v>
      </c>
      <c r="AB37" s="208">
        <f t="shared" si="38"/>
        <v>23.099999999999998</v>
      </c>
      <c r="AC37" s="191">
        <f t="shared" si="38"/>
        <v>23.099999999999998</v>
      </c>
      <c r="AD37" s="208">
        <f t="shared" si="38"/>
        <v>23.099999999999998</v>
      </c>
      <c r="AE37" s="198"/>
      <c r="AF37" s="198"/>
      <c r="AG37" s="198"/>
      <c r="AH37" s="198"/>
    </row>
    <row r="38" spans="2:34" x14ac:dyDescent="0.15">
      <c r="B38" s="96" t="s">
        <v>39</v>
      </c>
      <c r="C38" s="58" t="s">
        <v>45</v>
      </c>
      <c r="D38" s="61">
        <f>'Bycatch +50%'!F11</f>
        <v>1036</v>
      </c>
      <c r="E38" s="191"/>
      <c r="F38" s="208"/>
      <c r="G38" s="208">
        <f t="shared" si="35"/>
        <v>102.56400000000001</v>
      </c>
      <c r="H38" s="208">
        <f t="shared" si="36"/>
        <v>155.4</v>
      </c>
      <c r="I38" s="191">
        <f t="shared" si="37"/>
        <v>248.64000000000001</v>
      </c>
      <c r="J38" s="208">
        <f t="shared" si="31"/>
        <v>310.8</v>
      </c>
      <c r="K38" s="208">
        <f t="shared" si="32"/>
        <v>310.8</v>
      </c>
      <c r="L38" s="208">
        <f t="shared" si="32"/>
        <v>310.8</v>
      </c>
      <c r="M38" s="208">
        <f t="shared" si="32"/>
        <v>310.8</v>
      </c>
      <c r="N38" s="191">
        <f t="shared" si="32"/>
        <v>310.8</v>
      </c>
      <c r="O38" s="208">
        <f t="shared" ref="O38:AD38" si="39">N38</f>
        <v>310.8</v>
      </c>
      <c r="P38" s="208">
        <f t="shared" si="39"/>
        <v>310.8</v>
      </c>
      <c r="Q38" s="208">
        <f t="shared" si="39"/>
        <v>310.8</v>
      </c>
      <c r="R38" s="208">
        <f t="shared" si="39"/>
        <v>310.8</v>
      </c>
      <c r="S38" s="191">
        <f t="shared" si="39"/>
        <v>310.8</v>
      </c>
      <c r="T38" s="208">
        <f t="shared" si="39"/>
        <v>310.8</v>
      </c>
      <c r="U38" s="208">
        <f t="shared" si="39"/>
        <v>310.8</v>
      </c>
      <c r="V38" s="208">
        <f t="shared" si="39"/>
        <v>310.8</v>
      </c>
      <c r="W38" s="208">
        <f t="shared" si="39"/>
        <v>310.8</v>
      </c>
      <c r="X38" s="191">
        <f t="shared" si="39"/>
        <v>310.8</v>
      </c>
      <c r="Y38" s="208">
        <f t="shared" si="39"/>
        <v>310.8</v>
      </c>
      <c r="Z38" s="208">
        <f t="shared" si="39"/>
        <v>310.8</v>
      </c>
      <c r="AA38" s="208">
        <f t="shared" si="39"/>
        <v>310.8</v>
      </c>
      <c r="AB38" s="208">
        <f t="shared" si="39"/>
        <v>310.8</v>
      </c>
      <c r="AC38" s="191">
        <f t="shared" si="39"/>
        <v>310.8</v>
      </c>
      <c r="AD38" s="208">
        <f t="shared" si="39"/>
        <v>310.8</v>
      </c>
      <c r="AE38" s="198"/>
      <c r="AF38" s="198"/>
      <c r="AG38" s="198"/>
      <c r="AH38" s="198"/>
    </row>
    <row r="39" spans="2:34" x14ac:dyDescent="0.15">
      <c r="B39" s="96" t="s">
        <v>40</v>
      </c>
      <c r="C39" s="58" t="s">
        <v>45</v>
      </c>
      <c r="D39" s="61">
        <f>'Bycatch +50%'!F12</f>
        <v>4.4000000000000004</v>
      </c>
      <c r="E39" s="191"/>
      <c r="F39" s="208"/>
      <c r="G39" s="208">
        <f t="shared" si="35"/>
        <v>0.43560000000000004</v>
      </c>
      <c r="H39" s="208">
        <f t="shared" si="36"/>
        <v>0.66</v>
      </c>
      <c r="I39" s="191">
        <f t="shared" si="37"/>
        <v>1.056</v>
      </c>
      <c r="J39" s="208">
        <f t="shared" si="31"/>
        <v>1.32</v>
      </c>
      <c r="K39" s="208">
        <f t="shared" si="32"/>
        <v>1.32</v>
      </c>
      <c r="L39" s="208">
        <f t="shared" si="32"/>
        <v>1.32</v>
      </c>
      <c r="M39" s="208">
        <f t="shared" si="32"/>
        <v>1.32</v>
      </c>
      <c r="N39" s="191">
        <f t="shared" si="32"/>
        <v>1.32</v>
      </c>
      <c r="O39" s="208">
        <f t="shared" ref="O39:AD39" si="40">N39</f>
        <v>1.32</v>
      </c>
      <c r="P39" s="208">
        <f t="shared" si="40"/>
        <v>1.32</v>
      </c>
      <c r="Q39" s="208">
        <f t="shared" si="40"/>
        <v>1.32</v>
      </c>
      <c r="R39" s="208">
        <f t="shared" si="40"/>
        <v>1.32</v>
      </c>
      <c r="S39" s="191">
        <f t="shared" si="40"/>
        <v>1.32</v>
      </c>
      <c r="T39" s="208">
        <f t="shared" si="40"/>
        <v>1.32</v>
      </c>
      <c r="U39" s="208">
        <f t="shared" si="40"/>
        <v>1.32</v>
      </c>
      <c r="V39" s="208">
        <f t="shared" si="40"/>
        <v>1.32</v>
      </c>
      <c r="W39" s="208">
        <f t="shared" si="40"/>
        <v>1.32</v>
      </c>
      <c r="X39" s="191">
        <f t="shared" si="40"/>
        <v>1.32</v>
      </c>
      <c r="Y39" s="208">
        <f t="shared" si="40"/>
        <v>1.32</v>
      </c>
      <c r="Z39" s="208">
        <f t="shared" si="40"/>
        <v>1.32</v>
      </c>
      <c r="AA39" s="208">
        <f t="shared" si="40"/>
        <v>1.32</v>
      </c>
      <c r="AB39" s="208">
        <f t="shared" si="40"/>
        <v>1.32</v>
      </c>
      <c r="AC39" s="191">
        <f t="shared" si="40"/>
        <v>1.32</v>
      </c>
      <c r="AD39" s="208">
        <f t="shared" si="40"/>
        <v>1.32</v>
      </c>
      <c r="AE39" s="198"/>
      <c r="AF39" s="198"/>
      <c r="AG39" s="198"/>
      <c r="AH39" s="198"/>
    </row>
    <row r="40" spans="2:34" x14ac:dyDescent="0.15">
      <c r="B40" s="57" t="s">
        <v>46</v>
      </c>
      <c r="D40" s="71">
        <f>SUM(D35:D39)</f>
        <v>1638.4</v>
      </c>
      <c r="E40" s="196">
        <f t="shared" ref="E40:AD40" si="41">SUM(E35:E39)</f>
        <v>0</v>
      </c>
      <c r="F40" s="211">
        <f t="shared" si="41"/>
        <v>0</v>
      </c>
      <c r="G40" s="211">
        <f t="shared" si="41"/>
        <v>158.9616</v>
      </c>
      <c r="H40" s="211">
        <f t="shared" si="41"/>
        <v>245.76000000000002</v>
      </c>
      <c r="I40" s="196">
        <f t="shared" si="41"/>
        <v>391.19099999999997</v>
      </c>
      <c r="J40" s="211">
        <f t="shared" si="41"/>
        <v>491.52000000000004</v>
      </c>
      <c r="K40" s="211">
        <f t="shared" si="41"/>
        <v>491.52000000000004</v>
      </c>
      <c r="L40" s="211">
        <f t="shared" si="41"/>
        <v>491.52000000000004</v>
      </c>
      <c r="M40" s="211">
        <f t="shared" si="41"/>
        <v>491.52000000000004</v>
      </c>
      <c r="N40" s="196">
        <f t="shared" si="41"/>
        <v>491.52000000000004</v>
      </c>
      <c r="O40" s="211">
        <f t="shared" si="41"/>
        <v>491.52000000000004</v>
      </c>
      <c r="P40" s="211">
        <f t="shared" si="41"/>
        <v>491.52000000000004</v>
      </c>
      <c r="Q40" s="211">
        <f t="shared" si="41"/>
        <v>491.52000000000004</v>
      </c>
      <c r="R40" s="211">
        <f t="shared" si="41"/>
        <v>491.52000000000004</v>
      </c>
      <c r="S40" s="196">
        <f t="shared" si="41"/>
        <v>491.52000000000004</v>
      </c>
      <c r="T40" s="211">
        <f t="shared" si="41"/>
        <v>491.52000000000004</v>
      </c>
      <c r="U40" s="211">
        <f t="shared" si="41"/>
        <v>491.52000000000004</v>
      </c>
      <c r="V40" s="211">
        <f t="shared" si="41"/>
        <v>491.52000000000004</v>
      </c>
      <c r="W40" s="211">
        <f t="shared" si="41"/>
        <v>491.52000000000004</v>
      </c>
      <c r="X40" s="196">
        <f t="shared" si="41"/>
        <v>491.52000000000004</v>
      </c>
      <c r="Y40" s="211">
        <f t="shared" si="41"/>
        <v>491.52000000000004</v>
      </c>
      <c r="Z40" s="211">
        <f t="shared" si="41"/>
        <v>491.52000000000004</v>
      </c>
      <c r="AA40" s="211">
        <f t="shared" si="41"/>
        <v>491.52000000000004</v>
      </c>
      <c r="AB40" s="211">
        <f t="shared" si="41"/>
        <v>491.52000000000004</v>
      </c>
      <c r="AC40" s="196">
        <f t="shared" si="41"/>
        <v>491.52000000000004</v>
      </c>
      <c r="AD40" s="211">
        <f t="shared" si="41"/>
        <v>491.52000000000004</v>
      </c>
      <c r="AE40" s="198"/>
      <c r="AF40" s="198"/>
      <c r="AG40" s="198"/>
      <c r="AH40" s="198"/>
    </row>
    <row r="41" spans="2:34" x14ac:dyDescent="0.15">
      <c r="E41" s="191"/>
      <c r="F41" s="208"/>
      <c r="G41" s="208"/>
      <c r="H41" s="208"/>
      <c r="I41" s="191"/>
      <c r="J41" s="208"/>
      <c r="K41" s="208"/>
      <c r="L41" s="208"/>
      <c r="M41" s="208"/>
      <c r="N41" s="191"/>
      <c r="O41" s="208"/>
      <c r="P41" s="208"/>
      <c r="Q41" s="208"/>
      <c r="R41" s="208"/>
      <c r="S41" s="191"/>
      <c r="T41" s="208"/>
      <c r="U41" s="208"/>
      <c r="V41" s="208"/>
      <c r="W41" s="208"/>
      <c r="X41" s="191"/>
      <c r="Y41" s="208"/>
      <c r="Z41" s="208"/>
      <c r="AA41" s="208"/>
      <c r="AB41" s="208"/>
      <c r="AC41" s="191"/>
      <c r="AD41" s="208"/>
      <c r="AE41" s="198"/>
      <c r="AF41" s="198"/>
      <c r="AG41" s="198"/>
      <c r="AH41" s="198"/>
    </row>
    <row r="42" spans="2:34" x14ac:dyDescent="0.15">
      <c r="B42" s="57" t="s">
        <v>51</v>
      </c>
      <c r="C42" s="58" t="s">
        <v>278</v>
      </c>
      <c r="D42" s="97" t="s">
        <v>35</v>
      </c>
      <c r="E42" s="196">
        <f>E40*1*1000</f>
        <v>0</v>
      </c>
      <c r="F42" s="211">
        <f>F40*$E31*1000</f>
        <v>0</v>
      </c>
      <c r="G42" s="209">
        <f t="shared" ref="G42:AD42" si="42">G40*$E31</f>
        <v>190.75391999999999</v>
      </c>
      <c r="H42" s="209">
        <f t="shared" si="42"/>
        <v>294.91200000000003</v>
      </c>
      <c r="I42" s="196">
        <f t="shared" si="42"/>
        <v>469.42919999999992</v>
      </c>
      <c r="J42" s="209">
        <f>J40*$E31</f>
        <v>589.82400000000007</v>
      </c>
      <c r="K42" s="209">
        <f t="shared" si="42"/>
        <v>589.82400000000007</v>
      </c>
      <c r="L42" s="209">
        <f t="shared" si="42"/>
        <v>589.82400000000007</v>
      </c>
      <c r="M42" s="209">
        <f t="shared" si="42"/>
        <v>589.82400000000007</v>
      </c>
      <c r="N42" s="196">
        <f t="shared" si="42"/>
        <v>589.82400000000007</v>
      </c>
      <c r="O42" s="209">
        <f t="shared" si="42"/>
        <v>589.82400000000007</v>
      </c>
      <c r="P42" s="209">
        <f t="shared" si="42"/>
        <v>589.82400000000007</v>
      </c>
      <c r="Q42" s="209">
        <f t="shared" si="42"/>
        <v>589.82400000000007</v>
      </c>
      <c r="R42" s="209">
        <f t="shared" si="42"/>
        <v>589.82400000000007</v>
      </c>
      <c r="S42" s="196">
        <f t="shared" si="42"/>
        <v>589.82400000000007</v>
      </c>
      <c r="T42" s="209">
        <f t="shared" si="42"/>
        <v>589.82400000000007</v>
      </c>
      <c r="U42" s="209">
        <f t="shared" si="42"/>
        <v>589.82400000000007</v>
      </c>
      <c r="V42" s="209">
        <f t="shared" si="42"/>
        <v>589.82400000000007</v>
      </c>
      <c r="W42" s="209">
        <f t="shared" si="42"/>
        <v>589.82400000000007</v>
      </c>
      <c r="X42" s="196">
        <f t="shared" si="42"/>
        <v>589.82400000000007</v>
      </c>
      <c r="Y42" s="209">
        <f t="shared" si="42"/>
        <v>589.82400000000007</v>
      </c>
      <c r="Z42" s="209">
        <f t="shared" si="42"/>
        <v>589.82400000000007</v>
      </c>
      <c r="AA42" s="209">
        <f t="shared" si="42"/>
        <v>589.82400000000007</v>
      </c>
      <c r="AB42" s="209">
        <f t="shared" si="42"/>
        <v>589.82400000000007</v>
      </c>
      <c r="AC42" s="196">
        <f t="shared" si="42"/>
        <v>589.82400000000007</v>
      </c>
      <c r="AD42" s="209">
        <f t="shared" si="42"/>
        <v>589.82400000000007</v>
      </c>
      <c r="AE42" s="198"/>
      <c r="AF42" s="198"/>
      <c r="AG42" s="198"/>
      <c r="AH42" s="198"/>
    </row>
    <row r="43" spans="2:34" x14ac:dyDescent="0.15">
      <c r="B43" s="58" t="s">
        <v>49</v>
      </c>
      <c r="D43" s="97"/>
      <c r="E43" s="196"/>
      <c r="F43" s="211"/>
      <c r="G43" s="211"/>
      <c r="H43" s="211"/>
      <c r="I43" s="196"/>
      <c r="J43" s="211"/>
      <c r="K43" s="211"/>
      <c r="L43" s="211"/>
      <c r="M43" s="211"/>
      <c r="N43" s="196"/>
      <c r="O43" s="211"/>
      <c r="P43" s="211"/>
      <c r="Q43" s="211"/>
      <c r="R43" s="211"/>
      <c r="S43" s="196"/>
      <c r="T43" s="211"/>
      <c r="U43" s="211"/>
      <c r="V43" s="211"/>
      <c r="W43" s="211"/>
      <c r="X43" s="196"/>
      <c r="Y43" s="211"/>
      <c r="Z43" s="211"/>
      <c r="AA43" s="211"/>
      <c r="AB43" s="211"/>
      <c r="AC43" s="196"/>
      <c r="AD43" s="211"/>
      <c r="AE43" s="198"/>
      <c r="AF43" s="198"/>
      <c r="AG43" s="198"/>
      <c r="AH43" s="198"/>
    </row>
    <row r="44" spans="2:34" ht="1.75" customHeight="1" x14ac:dyDescent="0.15">
      <c r="D44" s="97"/>
      <c r="E44" s="196"/>
      <c r="F44" s="211"/>
      <c r="G44" s="211"/>
      <c r="H44" s="211"/>
      <c r="I44" s="196"/>
      <c r="J44" s="211"/>
      <c r="K44" s="211"/>
      <c r="L44" s="211"/>
      <c r="M44" s="211"/>
      <c r="N44" s="196"/>
      <c r="O44" s="211"/>
      <c r="P44" s="211"/>
      <c r="Q44" s="211"/>
      <c r="R44" s="211"/>
      <c r="S44" s="196"/>
      <c r="T44" s="211"/>
      <c r="U44" s="211"/>
      <c r="V44" s="211"/>
      <c r="W44" s="211"/>
      <c r="X44" s="196"/>
      <c r="Y44" s="211"/>
      <c r="Z44" s="211"/>
      <c r="AA44" s="211"/>
      <c r="AB44" s="211"/>
      <c r="AC44" s="196"/>
      <c r="AD44" s="211"/>
      <c r="AE44" s="198"/>
      <c r="AF44" s="198"/>
      <c r="AG44" s="198"/>
      <c r="AH44" s="198"/>
    </row>
    <row r="45" spans="2:34" x14ac:dyDescent="0.15">
      <c r="B45" s="57" t="s">
        <v>279</v>
      </c>
      <c r="C45" s="188" t="s">
        <v>280</v>
      </c>
      <c r="D45" s="97" t="s">
        <v>35</v>
      </c>
      <c r="E45" s="196"/>
      <c r="F45" s="211"/>
      <c r="G45" s="211">
        <v>0</v>
      </c>
      <c r="H45" s="211">
        <f>(G42/J42)*J45</f>
        <v>97.200296027337458</v>
      </c>
      <c r="I45" s="196">
        <f>(H42/K42)*J45</f>
        <v>150.27493905244069</v>
      </c>
      <c r="J45" s="213">
        <f>I42/J42*L45</f>
        <v>300.54987810488137</v>
      </c>
      <c r="K45" s="211">
        <f>I42/J42*L45</f>
        <v>300.54987810488137</v>
      </c>
      <c r="L45" s="211">
        <f>'PICs '!R38</f>
        <v>377.63209298299637</v>
      </c>
      <c r="M45" s="211">
        <f>L45</f>
        <v>377.63209298299637</v>
      </c>
      <c r="N45" s="196">
        <f>M45</f>
        <v>377.63209298299637</v>
      </c>
      <c r="O45" s="213">
        <f>N45</f>
        <v>377.63209298299637</v>
      </c>
      <c r="P45" s="211">
        <f t="shared" ref="P45:AD45" si="43">O45</f>
        <v>377.63209298299637</v>
      </c>
      <c r="Q45" s="211">
        <f t="shared" si="43"/>
        <v>377.63209298299637</v>
      </c>
      <c r="R45" s="211">
        <f t="shared" si="43"/>
        <v>377.63209298299637</v>
      </c>
      <c r="S45" s="196">
        <f t="shared" si="43"/>
        <v>377.63209298299637</v>
      </c>
      <c r="T45" s="213">
        <f t="shared" si="43"/>
        <v>377.63209298299637</v>
      </c>
      <c r="U45" s="211">
        <f t="shared" si="43"/>
        <v>377.63209298299637</v>
      </c>
      <c r="V45" s="211">
        <f t="shared" si="43"/>
        <v>377.63209298299637</v>
      </c>
      <c r="W45" s="211">
        <f t="shared" si="43"/>
        <v>377.63209298299637</v>
      </c>
      <c r="X45" s="196">
        <f t="shared" si="43"/>
        <v>377.63209298299637</v>
      </c>
      <c r="Y45" s="213">
        <f t="shared" si="43"/>
        <v>377.63209298299637</v>
      </c>
      <c r="Z45" s="222">
        <f t="shared" si="43"/>
        <v>377.63209298299637</v>
      </c>
      <c r="AA45" s="222">
        <f t="shared" si="43"/>
        <v>377.63209298299637</v>
      </c>
      <c r="AB45" s="222">
        <f t="shared" si="43"/>
        <v>377.63209298299637</v>
      </c>
      <c r="AC45" s="196">
        <f t="shared" si="43"/>
        <v>377.63209298299637</v>
      </c>
      <c r="AD45" s="211">
        <f t="shared" si="43"/>
        <v>377.63209298299637</v>
      </c>
      <c r="AE45" s="198"/>
      <c r="AF45" s="198"/>
      <c r="AG45" s="198"/>
      <c r="AH45" s="198"/>
    </row>
    <row r="46" spans="2:34" ht="0.5" customHeight="1" x14ac:dyDescent="0.15">
      <c r="D46" s="97"/>
      <c r="E46" s="196"/>
      <c r="F46" s="211"/>
      <c r="G46" s="211"/>
      <c r="H46" s="211"/>
      <c r="I46" s="196"/>
      <c r="J46" s="211"/>
      <c r="K46" s="211"/>
      <c r="L46" s="211"/>
      <c r="M46" s="211"/>
      <c r="N46" s="196"/>
      <c r="O46" s="211"/>
      <c r="P46" s="211"/>
      <c r="Q46" s="211"/>
      <c r="R46" s="211"/>
      <c r="S46" s="196"/>
      <c r="T46" s="211"/>
      <c r="U46" s="211"/>
      <c r="V46" s="211"/>
      <c r="W46" s="211"/>
      <c r="X46" s="196"/>
      <c r="Y46" s="211"/>
      <c r="Z46" s="211"/>
      <c r="AA46" s="211"/>
      <c r="AB46" s="211"/>
      <c r="AC46" s="196"/>
      <c r="AD46" s="211"/>
      <c r="AE46" s="198"/>
      <c r="AF46" s="198"/>
      <c r="AG46" s="198"/>
      <c r="AH46" s="198"/>
    </row>
    <row r="47" spans="2:34" x14ac:dyDescent="0.15">
      <c r="B47" s="57" t="s">
        <v>53</v>
      </c>
      <c r="E47" s="221">
        <v>0</v>
      </c>
      <c r="F47" s="214">
        <f>SUM(F31,F42)</f>
        <v>0</v>
      </c>
      <c r="G47" s="205">
        <f>SUM(G31,G42,G45)</f>
        <v>508.67711999999995</v>
      </c>
      <c r="H47" s="205">
        <f t="shared" ref="H47:AD47" si="44">SUM(H31,H42,H45)</f>
        <v>883.63229602733747</v>
      </c>
      <c r="I47" s="221">
        <f>SUM(I31,I42,I45)</f>
        <v>1402.0861390524406</v>
      </c>
      <c r="J47" s="205">
        <f t="shared" si="44"/>
        <v>1873.4138781048814</v>
      </c>
      <c r="K47" s="205">
        <f t="shared" si="44"/>
        <v>1873.4138781048814</v>
      </c>
      <c r="L47" s="205">
        <f t="shared" si="44"/>
        <v>1950.4960929829963</v>
      </c>
      <c r="M47" s="205">
        <f t="shared" si="44"/>
        <v>1950.4960929829963</v>
      </c>
      <c r="N47" s="221">
        <f t="shared" si="44"/>
        <v>1950.4960929829963</v>
      </c>
      <c r="O47" s="205">
        <f t="shared" si="44"/>
        <v>1950.4960929829963</v>
      </c>
      <c r="P47" s="205">
        <f t="shared" si="44"/>
        <v>1950.4960929829963</v>
      </c>
      <c r="Q47" s="205">
        <f t="shared" si="44"/>
        <v>1950.4960929829963</v>
      </c>
      <c r="R47" s="205">
        <f t="shared" si="44"/>
        <v>1950.4960929829963</v>
      </c>
      <c r="S47" s="221">
        <f t="shared" si="44"/>
        <v>1950.4960929829963</v>
      </c>
      <c r="T47" s="205">
        <f t="shared" si="44"/>
        <v>1950.4960929829963</v>
      </c>
      <c r="U47" s="205">
        <f t="shared" si="44"/>
        <v>1950.4960929829963</v>
      </c>
      <c r="V47" s="205">
        <f t="shared" si="44"/>
        <v>1950.4960929829963</v>
      </c>
      <c r="W47" s="205">
        <f t="shared" si="44"/>
        <v>1950.4960929829963</v>
      </c>
      <c r="X47" s="221">
        <f t="shared" si="44"/>
        <v>1950.4960929829963</v>
      </c>
      <c r="Y47" s="205">
        <f t="shared" si="44"/>
        <v>1950.4960929829963</v>
      </c>
      <c r="Z47" s="215">
        <f t="shared" si="44"/>
        <v>1950.4960929829963</v>
      </c>
      <c r="AA47" s="215">
        <f t="shared" si="44"/>
        <v>1950.4960929829963</v>
      </c>
      <c r="AB47" s="215">
        <f t="shared" si="44"/>
        <v>1950.4960929829963</v>
      </c>
      <c r="AC47" s="221">
        <f t="shared" si="44"/>
        <v>1950.4960929829963</v>
      </c>
      <c r="AD47" s="215">
        <f t="shared" si="44"/>
        <v>1950.4960929829963</v>
      </c>
      <c r="AE47" s="216">
        <f>AVERAGE(L47:AD47)</f>
        <v>1950.496092982997</v>
      </c>
      <c r="AF47" s="198"/>
      <c r="AG47" s="198"/>
      <c r="AH47" s="198"/>
    </row>
    <row r="48" spans="2:34" ht="9" customHeight="1" x14ac:dyDescent="0.15">
      <c r="E48" s="191"/>
      <c r="F48" s="198"/>
      <c r="G48" s="198"/>
      <c r="H48" s="198"/>
      <c r="I48" s="191"/>
      <c r="J48" s="198"/>
      <c r="K48" s="198"/>
      <c r="L48" s="198"/>
      <c r="M48" s="198"/>
      <c r="N48" s="191"/>
      <c r="O48" s="198"/>
      <c r="P48" s="198"/>
      <c r="Q48" s="198"/>
      <c r="R48" s="198"/>
      <c r="S48" s="191"/>
      <c r="T48" s="198"/>
      <c r="U48" s="198"/>
      <c r="V48" s="198"/>
      <c r="W48" s="198"/>
      <c r="X48" s="191"/>
      <c r="Y48" s="198"/>
      <c r="Z48" s="217"/>
      <c r="AA48" s="217"/>
      <c r="AB48" s="217"/>
      <c r="AC48" s="191"/>
      <c r="AD48" s="217"/>
      <c r="AE48" s="198"/>
      <c r="AF48" s="198"/>
      <c r="AG48" s="198"/>
      <c r="AH48" s="198"/>
    </row>
    <row r="49" spans="2:34" x14ac:dyDescent="0.15">
      <c r="B49" s="56" t="s">
        <v>54</v>
      </c>
      <c r="C49" s="100"/>
      <c r="D49" s="100" t="s">
        <v>35</v>
      </c>
      <c r="E49" s="195">
        <f>E47-E20</f>
        <v>-571.59516248301543</v>
      </c>
      <c r="F49" s="205">
        <f t="shared" ref="F49:AD49" si="45">F47-F20</f>
        <v>-2912.4830396541402</v>
      </c>
      <c r="G49" s="205">
        <f t="shared" si="45"/>
        <v>-3072.2839835497639</v>
      </c>
      <c r="H49" s="205">
        <f t="shared" si="45"/>
        <v>-2496.4118282302261</v>
      </c>
      <c r="I49" s="195">
        <f t="shared" si="45"/>
        <v>-1321.8126914854602</v>
      </c>
      <c r="J49" s="205">
        <f t="shared" si="45"/>
        <v>8.172183153692913</v>
      </c>
      <c r="K49" s="205">
        <f t="shared" si="45"/>
        <v>828.1402581558857</v>
      </c>
      <c r="L49" s="205">
        <f t="shared" si="45"/>
        <v>1882.19831661936</v>
      </c>
      <c r="M49" s="205">
        <f t="shared" si="45"/>
        <v>1950.4960929829963</v>
      </c>
      <c r="N49" s="195">
        <f t="shared" si="45"/>
        <v>1950.4960929829963</v>
      </c>
      <c r="O49" s="205">
        <f t="shared" si="45"/>
        <v>1950.4960929829963</v>
      </c>
      <c r="P49" s="205">
        <f t="shared" si="45"/>
        <v>1950.4960929829963</v>
      </c>
      <c r="Q49" s="205">
        <f t="shared" si="45"/>
        <v>1950.4960929829963</v>
      </c>
      <c r="R49" s="205">
        <f t="shared" si="45"/>
        <v>1950.4960929829963</v>
      </c>
      <c r="S49" s="195">
        <f t="shared" si="45"/>
        <v>1950.4960929829963</v>
      </c>
      <c r="T49" s="205">
        <f t="shared" si="45"/>
        <v>1950.4960929829963</v>
      </c>
      <c r="U49" s="205">
        <f t="shared" si="45"/>
        <v>1950.4960929829963</v>
      </c>
      <c r="V49" s="205">
        <f t="shared" si="45"/>
        <v>1950.4960929829963</v>
      </c>
      <c r="W49" s="205">
        <f t="shared" si="45"/>
        <v>1950.4960929829963</v>
      </c>
      <c r="X49" s="195">
        <f t="shared" si="45"/>
        <v>1950.4960929829963</v>
      </c>
      <c r="Y49" s="205">
        <f t="shared" si="45"/>
        <v>1950.4960929829963</v>
      </c>
      <c r="Z49" s="205">
        <f t="shared" si="45"/>
        <v>1950.4960929829963</v>
      </c>
      <c r="AA49" s="205">
        <f t="shared" si="45"/>
        <v>1950.4960929829963</v>
      </c>
      <c r="AB49" s="205">
        <f t="shared" si="45"/>
        <v>1950.4960929829963</v>
      </c>
      <c r="AC49" s="195">
        <f t="shared" si="45"/>
        <v>1950.4960929829963</v>
      </c>
      <c r="AD49" s="205">
        <f t="shared" si="45"/>
        <v>1950.4960929829963</v>
      </c>
      <c r="AE49" s="216">
        <f>AVERAGE(L49:AD49)</f>
        <v>1946.9014731743844</v>
      </c>
      <c r="AF49" s="198"/>
      <c r="AG49" s="198"/>
      <c r="AH49" s="198"/>
    </row>
    <row r="50" spans="2:34" ht="3.5" customHeight="1" x14ac:dyDescent="0.15">
      <c r="E50" s="198"/>
      <c r="F50" s="198"/>
      <c r="G50" s="198"/>
      <c r="H50" s="198"/>
      <c r="I50" s="198"/>
      <c r="J50" s="198"/>
      <c r="K50" s="198"/>
      <c r="L50" s="198"/>
      <c r="M50" s="198"/>
      <c r="N50" s="198"/>
      <c r="O50" s="198"/>
      <c r="P50" s="198"/>
      <c r="Q50" s="198"/>
      <c r="R50" s="198"/>
      <c r="S50" s="198"/>
      <c r="T50" s="198"/>
      <c r="U50" s="198"/>
      <c r="V50" s="198"/>
      <c r="W50" s="198"/>
      <c r="X50" s="198"/>
      <c r="Y50" s="198"/>
      <c r="Z50" s="198"/>
      <c r="AA50" s="198"/>
      <c r="AB50" s="198"/>
      <c r="AC50" s="198"/>
      <c r="AD50" s="198"/>
      <c r="AE50" s="198"/>
      <c r="AF50" s="198"/>
      <c r="AG50" s="198"/>
      <c r="AH50" s="198"/>
    </row>
    <row r="51" spans="2:34" x14ac:dyDescent="0.15">
      <c r="B51" s="57" t="s">
        <v>55</v>
      </c>
      <c r="C51" s="101">
        <f>IRR(E49:AC49,0.1)</f>
        <v>0.11076523257046222</v>
      </c>
      <c r="E51" s="198"/>
      <c r="F51" s="198"/>
      <c r="G51" s="198"/>
      <c r="H51" s="198"/>
      <c r="I51" s="198"/>
      <c r="J51" s="198"/>
      <c r="K51" s="198"/>
      <c r="L51" s="198"/>
      <c r="M51" s="198"/>
      <c r="N51" s="198"/>
      <c r="O51" s="198"/>
      <c r="P51" s="198"/>
      <c r="Q51" s="198"/>
      <c r="R51" s="198"/>
      <c r="S51" s="198">
        <v>1950.5</v>
      </c>
      <c r="T51" s="198"/>
      <c r="U51" s="198"/>
      <c r="V51" s="198"/>
      <c r="W51" s="198"/>
      <c r="X51" s="198"/>
      <c r="Y51" s="198"/>
      <c r="Z51" s="198"/>
      <c r="AA51" s="198"/>
      <c r="AB51" s="198"/>
      <c r="AC51" s="198"/>
      <c r="AD51" s="198"/>
      <c r="AE51" s="198"/>
      <c r="AF51" s="198"/>
      <c r="AG51" s="198"/>
      <c r="AH51" s="198"/>
    </row>
    <row r="52" spans="2:34" x14ac:dyDescent="0.15">
      <c r="B52" s="57" t="s">
        <v>56</v>
      </c>
      <c r="C52" s="102">
        <f>NPV(9%,E49:AC50)/10^3</f>
        <v>1.7900123307836613</v>
      </c>
      <c r="D52" s="58" t="s">
        <v>221</v>
      </c>
      <c r="E52" s="198"/>
      <c r="F52" s="207">
        <f>C52*1000</f>
        <v>1790.0123307836614</v>
      </c>
      <c r="G52" s="198"/>
      <c r="H52" s="198"/>
      <c r="I52" s="198"/>
      <c r="J52" s="198"/>
      <c r="K52" s="198"/>
      <c r="L52" s="198"/>
      <c r="M52" s="198"/>
      <c r="N52" s="198"/>
      <c r="O52" s="198"/>
      <c r="P52" s="198"/>
      <c r="Q52" s="198"/>
      <c r="R52" s="198"/>
      <c r="S52" s="218">
        <f>S51-S49</f>
        <v>3.9070170037120988E-3</v>
      </c>
      <c r="T52" s="198"/>
      <c r="U52" s="198"/>
      <c r="V52" s="198"/>
      <c r="W52" s="198"/>
      <c r="X52" s="198"/>
      <c r="Y52" s="198"/>
      <c r="Z52" s="198"/>
      <c r="AA52" s="198"/>
      <c r="AB52" s="198"/>
      <c r="AC52" s="198"/>
      <c r="AD52" s="198"/>
      <c r="AE52" s="198"/>
      <c r="AF52" s="198"/>
      <c r="AG52" s="198"/>
      <c r="AH52" s="198"/>
    </row>
    <row r="53" spans="2:34" x14ac:dyDescent="0.15">
      <c r="B53" s="57" t="s">
        <v>57</v>
      </c>
    </row>
    <row r="54" spans="2:34" x14ac:dyDescent="0.15">
      <c r="B54" s="58" t="s">
        <v>282</v>
      </c>
      <c r="C54" s="101">
        <v>8.5000000000000006E-2</v>
      </c>
      <c r="E54" s="103" t="s">
        <v>292</v>
      </c>
      <c r="F54" s="58" t="s">
        <v>221</v>
      </c>
    </row>
    <row r="55" spans="2:34" x14ac:dyDescent="0.15">
      <c r="B55" s="58" t="s">
        <v>283</v>
      </c>
      <c r="C55" s="99">
        <v>0.14599999999999999</v>
      </c>
      <c r="E55" s="103" t="s">
        <v>293</v>
      </c>
    </row>
    <row r="56" spans="2:34" x14ac:dyDescent="0.15">
      <c r="B56" s="58" t="s">
        <v>58</v>
      </c>
      <c r="C56" s="101">
        <v>0.13600000000000001</v>
      </c>
      <c r="E56" s="103" t="s">
        <v>294</v>
      </c>
    </row>
    <row r="57" spans="2:34" x14ac:dyDescent="0.15">
      <c r="B57" s="58" t="s">
        <v>281</v>
      </c>
      <c r="C57" s="101">
        <v>8.5000000000000006E-2</v>
      </c>
      <c r="E57" s="103" t="s">
        <v>295</v>
      </c>
    </row>
    <row r="58" spans="2:34" ht="0.5" customHeight="1" x14ac:dyDescent="0.15"/>
    <row r="59" spans="2:34" x14ac:dyDescent="0.15">
      <c r="B59" s="58" t="s">
        <v>59</v>
      </c>
      <c r="C59" s="102">
        <f>NPV(9%,E20:AC20)/10^3</f>
        <v>11.624052254657188</v>
      </c>
    </row>
    <row r="60" spans="2:34" x14ac:dyDescent="0.15">
      <c r="B60" s="58" t="s">
        <v>287</v>
      </c>
      <c r="C60" s="102">
        <f>NPV(9%,E47:AC47)/10^3</f>
        <v>13.414064585440849</v>
      </c>
    </row>
    <row r="61" spans="2:34" x14ac:dyDescent="0.15">
      <c r="B61" s="58" t="s">
        <v>60</v>
      </c>
      <c r="C61" s="102">
        <f>C60-C59</f>
        <v>1.7900123307836608</v>
      </c>
    </row>
    <row r="62" spans="2:34" x14ac:dyDescent="0.15">
      <c r="B62" s="189" t="s">
        <v>284</v>
      </c>
      <c r="C62" s="190">
        <f>C60/C59</f>
        <v>1.1539921097710559</v>
      </c>
      <c r="D62" s="189"/>
      <c r="E62" s="189"/>
      <c r="F62" s="189"/>
      <c r="G62" s="189"/>
      <c r="H62" s="189"/>
      <c r="I62" s="189"/>
      <c r="J62" s="189"/>
      <c r="K62" s="189"/>
      <c r="L62" s="189"/>
      <c r="M62" s="189"/>
      <c r="N62" s="189"/>
      <c r="O62" s="189"/>
      <c r="P62" s="189"/>
      <c r="Q62" s="189"/>
      <c r="R62" s="189"/>
      <c r="S62" s="189"/>
      <c r="T62" s="189"/>
      <c r="U62" s="189"/>
      <c r="V62" s="189"/>
      <c r="W62" s="189"/>
      <c r="X62" s="189"/>
      <c r="Y62" s="189"/>
      <c r="Z62" s="189"/>
      <c r="AA62" s="189"/>
      <c r="AB62" s="189"/>
      <c r="AC62" s="189"/>
      <c r="AD62" s="189"/>
    </row>
    <row r="79" spans="24:24" x14ac:dyDescent="0.15">
      <c r="X79" s="92"/>
    </row>
    <row r="80" spans="24:24" x14ac:dyDescent="0.15">
      <c r="X80" s="92"/>
    </row>
  </sheetData>
  <phoneticPr fontId="2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DF668-4E45-43EA-B0D8-64619D602B3E}">
  <sheetPr>
    <tabColor rgb="FF0070C0"/>
  </sheetPr>
  <dimension ref="A2:N228"/>
  <sheetViews>
    <sheetView topLeftCell="A81" workbookViewId="0">
      <selection activeCell="O203" sqref="O203"/>
    </sheetView>
  </sheetViews>
  <sheetFormatPr baseColWidth="10" defaultColWidth="8.83203125" defaultRowHeight="15" x14ac:dyDescent="0.2"/>
  <cols>
    <col min="2" max="2" width="21.83203125" customWidth="1"/>
    <col min="4" max="5" width="12.5" customWidth="1"/>
    <col min="6" max="6" width="11.83203125" customWidth="1"/>
    <col min="7" max="8" width="12.6640625" customWidth="1"/>
    <col min="9" max="9" width="12.33203125" customWidth="1"/>
    <col min="10" max="10" width="12.5" customWidth="1"/>
    <col min="11" max="12" width="13.33203125" customWidth="1"/>
    <col min="14" max="14" width="10" bestFit="1" customWidth="1"/>
  </cols>
  <sheetData>
    <row r="2" spans="2:12" x14ac:dyDescent="0.2">
      <c r="B2" s="55" t="s">
        <v>61</v>
      </c>
    </row>
    <row r="4" spans="2:12" ht="32" x14ac:dyDescent="0.2">
      <c r="B4" s="104" t="s">
        <v>62</v>
      </c>
      <c r="C4" s="105" t="s">
        <v>63</v>
      </c>
      <c r="D4" s="104" t="s">
        <v>64</v>
      </c>
      <c r="E4" s="104" t="s">
        <v>65</v>
      </c>
      <c r="F4" s="104" t="s">
        <v>66</v>
      </c>
      <c r="G4" s="104" t="s">
        <v>67</v>
      </c>
      <c r="H4" s="104" t="s">
        <v>68</v>
      </c>
      <c r="I4" s="104" t="s">
        <v>69</v>
      </c>
      <c r="J4" s="104" t="s">
        <v>70</v>
      </c>
      <c r="K4" s="104" t="s">
        <v>71</v>
      </c>
      <c r="L4" s="106" t="s">
        <v>72</v>
      </c>
    </row>
    <row r="5" spans="2:12" ht="16" x14ac:dyDescent="0.2">
      <c r="B5" s="107" t="s">
        <v>73</v>
      </c>
      <c r="C5" s="108"/>
      <c r="D5" s="109"/>
      <c r="E5" s="109"/>
      <c r="F5" s="109"/>
      <c r="G5" s="109"/>
      <c r="H5" s="109"/>
      <c r="I5" s="109"/>
      <c r="J5" s="109"/>
      <c r="K5" s="109"/>
      <c r="L5" s="110"/>
    </row>
    <row r="6" spans="2:12" ht="16" x14ac:dyDescent="0.2">
      <c r="B6" s="232" t="s">
        <v>74</v>
      </c>
      <c r="C6" s="111" t="s">
        <v>75</v>
      </c>
      <c r="D6" s="112">
        <f>'[1]Staffing SPC Total'!V94</f>
        <v>220505.65333333332</v>
      </c>
      <c r="E6" s="112">
        <f>'[1]Staffing SPC Total'!V95</f>
        <v>1340381.6556774853</v>
      </c>
      <c r="F6" s="112">
        <f>'[1]Staffing SPC Total'!V96</f>
        <v>1642046.2439213011</v>
      </c>
      <c r="G6" s="112">
        <f>'[1]Staffing SPC Total'!V97</f>
        <v>1488856.3970991441</v>
      </c>
      <c r="H6" s="112">
        <f>'[1]Staffing SPC Total'!V98</f>
        <v>1321439.8551202517</v>
      </c>
      <c r="I6" s="112">
        <f>'[1]Staffing SPC Total'!V99</f>
        <v>1093077.5331543058</v>
      </c>
      <c r="J6" s="112">
        <f>'[1]Staffing SPC Total'!V100</f>
        <v>676925.80997646216</v>
      </c>
      <c r="K6" s="112">
        <f>'[1]Staffing SPC Total'!V101</f>
        <v>81146.14</v>
      </c>
      <c r="L6" s="113">
        <f>SUM(D6:K6)</f>
        <v>7864379.2882822836</v>
      </c>
    </row>
    <row r="7" spans="2:12" ht="16" x14ac:dyDescent="0.2">
      <c r="B7" s="233"/>
      <c r="C7" s="111" t="s">
        <v>75</v>
      </c>
      <c r="D7" s="112">
        <f>'[1]Local Consultant '!AH88</f>
        <v>223754.01</v>
      </c>
      <c r="E7" s="112">
        <f>'[1]Local Consultant '!AH89</f>
        <v>27483.41</v>
      </c>
      <c r="F7" s="112">
        <f>'[1]Local Consultant '!AH90</f>
        <v>160556.41</v>
      </c>
      <c r="G7" s="112">
        <f>'[1]Local Consultant '!AH91</f>
        <v>131808.46</v>
      </c>
      <c r="H7" s="112">
        <f>'[1]Local Consultant '!AH92</f>
        <v>77472.25</v>
      </c>
      <c r="I7" s="112">
        <f>'[1]Local Consultant '!AH93</f>
        <v>40607.339999999997</v>
      </c>
      <c r="J7" s="112">
        <f>'[1]Local Consultant '!AH94</f>
        <v>0</v>
      </c>
      <c r="K7" s="112">
        <f>'[1]Local Consultant '!AH95</f>
        <v>0</v>
      </c>
      <c r="L7" s="113">
        <f t="shared" ref="L7:L73" si="0">SUM(D7:K7)</f>
        <v>661681.88</v>
      </c>
    </row>
    <row r="8" spans="2:12" ht="16" x14ac:dyDescent="0.2">
      <c r="B8" s="233"/>
      <c r="C8" s="111" t="s">
        <v>75</v>
      </c>
      <c r="D8" s="112">
        <f>'[1]International Consultant'!AR70</f>
        <v>6372.65</v>
      </c>
      <c r="E8" s="115">
        <f>'[1]International Consultant'!AR71</f>
        <v>57642.080000000002</v>
      </c>
      <c r="F8" s="115">
        <f>'[1]International Consultant'!AR72</f>
        <v>212212.4</v>
      </c>
      <c r="G8" s="115">
        <f>'[1]International Consultant'!AR73</f>
        <v>224634.97</v>
      </c>
      <c r="H8" s="115">
        <f>'[1]International Consultant'!AR74</f>
        <v>169879.12</v>
      </c>
      <c r="I8" s="115">
        <f>'[1]International Consultant'!AR75</f>
        <v>73267.7</v>
      </c>
      <c r="J8" s="115">
        <f>'[1]International Consultant'!AR76</f>
        <v>7390.32</v>
      </c>
      <c r="K8" s="115">
        <f>'[1]International Consultant'!AR77</f>
        <v>0</v>
      </c>
      <c r="L8" s="113">
        <f t="shared" si="0"/>
        <v>751399.23999999987</v>
      </c>
    </row>
    <row r="9" spans="2:12" ht="16" x14ac:dyDescent="0.2">
      <c r="B9" s="233"/>
      <c r="C9" s="111" t="s">
        <v>75</v>
      </c>
      <c r="D9" s="115">
        <f>'[1]Equipment Supplies'!AN402</f>
        <v>15125.46389154604</v>
      </c>
      <c r="E9" s="115">
        <f>'[1]Equipment Supplies'!AN403</f>
        <v>231332.77037373019</v>
      </c>
      <c r="F9" s="115">
        <f>'[1]Equipment Supplies'!AN404</f>
        <v>432451.82857764594</v>
      </c>
      <c r="G9" s="115">
        <f>'[1]Equipment Supplies'!AN405</f>
        <v>371234.95227106172</v>
      </c>
      <c r="H9" s="115">
        <f>'[1]Equipment Supplies'!AN406</f>
        <v>245436.21867649254</v>
      </c>
      <c r="I9" s="115">
        <f>'[1]Equipment Supplies'!AN407</f>
        <v>128858.23278485666</v>
      </c>
      <c r="J9" s="115">
        <f>'[1]Equipment Supplies'!AN408</f>
        <v>0</v>
      </c>
      <c r="K9" s="115"/>
      <c r="L9" s="113">
        <f t="shared" si="0"/>
        <v>1424439.4665753329</v>
      </c>
    </row>
    <row r="10" spans="2:12" ht="16" hidden="1" x14ac:dyDescent="0.2">
      <c r="B10" s="233"/>
      <c r="C10" s="111" t="s">
        <v>75</v>
      </c>
      <c r="D10" s="115">
        <f>'[1]Construction cost '!AG28</f>
        <v>0</v>
      </c>
      <c r="E10" s="115">
        <f>'[1]Construction cost '!AG29</f>
        <v>0</v>
      </c>
      <c r="F10" s="115">
        <f>'[1]Construction cost '!AG30</f>
        <v>0</v>
      </c>
      <c r="G10" s="115">
        <f>'[1]Construction cost '!AG31</f>
        <v>0</v>
      </c>
      <c r="H10" s="115">
        <f>'[1]Construction cost '!AG32</f>
        <v>0</v>
      </c>
      <c r="I10" s="115">
        <f>'[1]Construction cost '!AG33</f>
        <v>0</v>
      </c>
      <c r="J10" s="115">
        <f>'[1]Construction cost '!AG34</f>
        <v>0</v>
      </c>
      <c r="K10" s="115">
        <f>'[1]Construction cost '!AG35</f>
        <v>0</v>
      </c>
      <c r="L10" s="113">
        <f t="shared" si="0"/>
        <v>0</v>
      </c>
    </row>
    <row r="11" spans="2:12" ht="16" hidden="1" x14ac:dyDescent="0.2">
      <c r="B11" s="233"/>
      <c r="C11" s="111" t="s">
        <v>75</v>
      </c>
      <c r="D11" s="112">
        <f>[1]Workshop!AL621</f>
        <v>0</v>
      </c>
      <c r="E11" s="112">
        <f>[1]Workshop!AL622</f>
        <v>0</v>
      </c>
      <c r="F11" s="112">
        <f>[1]Workshop!AL623</f>
        <v>0</v>
      </c>
      <c r="G11" s="112">
        <f>[1]Workshop!AL624</f>
        <v>0</v>
      </c>
      <c r="H11" s="112">
        <f>[1]Workshop!AL625</f>
        <v>0</v>
      </c>
      <c r="I11" s="112">
        <f>[1]Workshop!AL626</f>
        <v>0</v>
      </c>
      <c r="J11" s="112">
        <f>[1]Workshop!AL627</f>
        <v>0</v>
      </c>
      <c r="K11" s="112">
        <f>[1]Workshop!AL628</f>
        <v>0</v>
      </c>
      <c r="L11" s="116">
        <f t="shared" si="0"/>
        <v>0</v>
      </c>
    </row>
    <row r="12" spans="2:12" ht="16" x14ac:dyDescent="0.2">
      <c r="B12" s="233"/>
      <c r="C12" s="111" t="s">
        <v>75</v>
      </c>
      <c r="D12" s="115">
        <f>'[1]Travel Worksheet'!BJ368</f>
        <v>153793.73486445757</v>
      </c>
      <c r="E12" s="115">
        <f>'[1]Travel Worksheet'!BJ369</f>
        <v>945614.4826147866</v>
      </c>
      <c r="F12" s="115">
        <f>'[1]Travel Worksheet'!BJ370</f>
        <v>858732.70788290829</v>
      </c>
      <c r="G12" s="115">
        <f>'[1]Travel Worksheet'!BJ371</f>
        <v>375374.92421909294</v>
      </c>
      <c r="H12" s="115">
        <f>'[1]Travel Worksheet'!BJ372</f>
        <v>356415.04403627897</v>
      </c>
      <c r="I12" s="115">
        <f>'[1]Travel Worksheet'!BJ373</f>
        <v>292029.08556670538</v>
      </c>
      <c r="J12" s="115">
        <f>'[1]Travel Worksheet'!BJ374</f>
        <v>256704.70091431076</v>
      </c>
      <c r="K12" s="115">
        <f>'[1]Travel Worksheet'!BJ375</f>
        <v>0</v>
      </c>
      <c r="L12" s="116">
        <f>SUM(D12:K12)</f>
        <v>3238664.6800985406</v>
      </c>
    </row>
    <row r="13" spans="2:12" ht="16" x14ac:dyDescent="0.2">
      <c r="B13" s="233"/>
      <c r="C13" s="111" t="s">
        <v>75</v>
      </c>
      <c r="D13" s="112">
        <f>'[1]Professional Services'!AP205</f>
        <v>0</v>
      </c>
      <c r="E13" s="112">
        <f>'[1]Professional Services'!AP206</f>
        <v>21500</v>
      </c>
      <c r="F13" s="112">
        <f>'[1]Professional Services'!AP207</f>
        <v>83000</v>
      </c>
      <c r="G13" s="112">
        <f>'[1]Professional Services'!AP208</f>
        <v>78000</v>
      </c>
      <c r="H13" s="112">
        <f>'[1]Professional Services'!AP209</f>
        <v>78000</v>
      </c>
      <c r="I13" s="112">
        <f>'[1]Professional Services'!AP210</f>
        <v>43000</v>
      </c>
      <c r="J13" s="112">
        <f>'[1]Professional Services'!AP211</f>
        <v>21500</v>
      </c>
      <c r="K13" s="112">
        <f>'[1]Professional Services'!AP212</f>
        <v>0</v>
      </c>
      <c r="L13" s="116">
        <f t="shared" si="0"/>
        <v>325000</v>
      </c>
    </row>
    <row r="14" spans="2:12" ht="16" x14ac:dyDescent="0.2">
      <c r="B14" s="233"/>
      <c r="C14" s="111" t="s">
        <v>75</v>
      </c>
      <c r="D14" s="112">
        <f>'[1]Other Cost'!AP66</f>
        <v>69910.86</v>
      </c>
      <c r="E14" s="112">
        <f>'[1]Other Cost'!AP67</f>
        <v>234474.38</v>
      </c>
      <c r="F14" s="112">
        <f>'[1]Other Cost'!AP68</f>
        <v>203801.12</v>
      </c>
      <c r="G14" s="112">
        <f>'[1]Other Cost'!AP69</f>
        <v>260962.71</v>
      </c>
      <c r="H14" s="112">
        <f>'[1]Other Cost'!AP70</f>
        <v>207455.98</v>
      </c>
      <c r="I14" s="112">
        <f>'[1]Other Cost'!AP71</f>
        <v>206046.25</v>
      </c>
      <c r="J14" s="112">
        <f>'[1]Other Cost'!AP72</f>
        <v>197973.94</v>
      </c>
      <c r="K14" s="112">
        <f>'[1]Other Cost'!AP73</f>
        <v>41910.28</v>
      </c>
      <c r="L14" s="116">
        <f t="shared" si="0"/>
        <v>1422535.5199999998</v>
      </c>
    </row>
    <row r="15" spans="2:12" ht="16" x14ac:dyDescent="0.2">
      <c r="B15" s="233"/>
      <c r="C15" s="111" t="s">
        <v>75</v>
      </c>
      <c r="D15">
        <f>'[1]Co-Finance'!AG78</f>
        <v>0</v>
      </c>
      <c r="E15">
        <f>'[1]Co-Finance'!AG79</f>
        <v>70479.399999999994</v>
      </c>
      <c r="F15">
        <f>'[1]Co-Finance'!AG80</f>
        <v>72240.800000000003</v>
      </c>
      <c r="G15">
        <f>'[1]Co-Finance'!AG81</f>
        <v>74044.600000000006</v>
      </c>
      <c r="H15">
        <f>'[1]Co-Finance'!AG82</f>
        <v>75896.800000000003</v>
      </c>
      <c r="I15">
        <f>'[1]Co-Finance'!AG83</f>
        <v>77795.199999999997</v>
      </c>
      <c r="J15">
        <f>'[1]Co-Finance'!AG84</f>
        <v>79739</v>
      </c>
      <c r="K15">
        <f>'[1]Co-Finance'!AG85</f>
        <v>0</v>
      </c>
      <c r="L15" s="116">
        <f>SUM(D15:K15)</f>
        <v>450195.80000000005</v>
      </c>
    </row>
    <row r="16" spans="2:12" ht="16" x14ac:dyDescent="0.2">
      <c r="B16" s="233"/>
      <c r="C16" s="117" t="s">
        <v>76</v>
      </c>
      <c r="D16" s="118">
        <f>'[1]Staffing CSIRO Comp A-Act2'!U32+'[1]Staffing National'!U119+'[1]Staffing CSIRO Comp B'!U44+'[1]Staffing FFA Comp B'!U50+'[1]Staffing FFA Comp A-Act2'!U38</f>
        <v>65222.5</v>
      </c>
      <c r="E16" s="118">
        <f>'[1]Staffing CSIRO Comp A-Act2'!U33+'[1]Staffing National'!U120+'[1]Staffing CSIRO Comp B'!U45+'[1]Staffing FFA Comp B'!U51+'[1]Staffing FFA Comp A-Act2'!U39</f>
        <v>267397.5</v>
      </c>
      <c r="F16" s="118">
        <f>'[1]Staffing CSIRO Comp A-Act2'!U34+'[1]Staffing National'!U121+'[1]Staffing CSIRO Comp B'!U46+'[1]Staffing FFA Comp B'!U52+'[1]Staffing FFA Comp A-Act2'!U40</f>
        <v>274083.5</v>
      </c>
      <c r="G16" s="118">
        <f>'[1]Staffing CSIRO Comp A-Act2'!U35+'[1]Staffing National'!U122+'[1]Staffing CSIRO Comp B'!U47+'[1]Staffing FFA Comp B'!U53+'[1]Staffing FFA Comp A-Act2'!U41</f>
        <v>241085</v>
      </c>
      <c r="H16" s="118">
        <f>'[1]Staffing CSIRO Comp A-Act2'!U36+'[1]Staffing National'!U123+'[1]Staffing CSIRO Comp B'!U48+'[1]Staffing FFA Comp B'!U54+'[1]Staffing FFA Comp A-Act2'!U42</f>
        <v>111091.5</v>
      </c>
      <c r="I16" s="118">
        <f>'[1]Staffing CSIRO Comp A-Act2'!U37+'[1]Staffing National'!U124+'[1]Staffing CSIRO Comp B'!U49+'[1]Staffing FFA Comp B'!U55+'[1]Staffing FFA Comp A-Act2'!U43</f>
        <v>72001.5</v>
      </c>
      <c r="J16" s="118">
        <f>'[1]Staffing CSIRO Comp A-Act2'!U38+'[1]Staffing National'!U125+'[1]Staffing CSIRO Comp B'!U50+'[1]Staffing FFA Comp B'!U56+'[1]Staffing FFA Comp A-Act2'!U44</f>
        <v>30891</v>
      </c>
      <c r="K16" s="118">
        <f>'[1]Staffing CSIRO Comp A-Act2'!U39+'[1]Staffing National'!U126+'[1]Staffing CSIRO Comp B'!U51+'[1]Staffing FFA Comp B'!U57+'[1]Staffing FFA Comp A-Act2'!U45</f>
        <v>0</v>
      </c>
      <c r="L16" s="119">
        <f t="shared" si="0"/>
        <v>1061772.5</v>
      </c>
    </row>
    <row r="17" spans="2:14" ht="16" x14ac:dyDescent="0.2">
      <c r="B17" s="233"/>
      <c r="C17" s="117" t="s">
        <v>76</v>
      </c>
      <c r="D17" s="118">
        <f>'[1]Local Consultant '!AU88</f>
        <v>0</v>
      </c>
      <c r="E17" s="118">
        <f>'[1]Local Consultant '!AU89</f>
        <v>182520</v>
      </c>
      <c r="F17" s="118">
        <f>'[1]Local Consultant '!AU90</f>
        <v>0</v>
      </c>
      <c r="G17" s="118">
        <f>'[1]Local Consultant '!AU91</f>
        <v>0</v>
      </c>
      <c r="H17" s="118">
        <f>'[1]Local Consultant '!AU92</f>
        <v>0</v>
      </c>
      <c r="I17" s="118">
        <f>'[1]Local Consultant '!AU93</f>
        <v>0</v>
      </c>
      <c r="J17" s="118">
        <f>'[1]Local Consultant '!AU94</f>
        <v>0</v>
      </c>
      <c r="K17" s="118">
        <f>'[1]Local Consultant '!AU95</f>
        <v>0</v>
      </c>
      <c r="L17" s="119">
        <f t="shared" si="0"/>
        <v>182520</v>
      </c>
    </row>
    <row r="18" spans="2:14" ht="16" hidden="1" x14ac:dyDescent="0.2">
      <c r="B18" s="233"/>
      <c r="C18" s="117" t="s">
        <v>76</v>
      </c>
      <c r="D18" s="118">
        <f>'[1]International Consultant'!BE70</f>
        <v>0</v>
      </c>
      <c r="E18" s="118">
        <f>'[1]International Consultant'!BE71</f>
        <v>0</v>
      </c>
      <c r="F18" s="118">
        <f>'[1]International Consultant'!BE72</f>
        <v>0</v>
      </c>
      <c r="G18" s="118">
        <f>'[1]International Consultant'!BE73</f>
        <v>0</v>
      </c>
      <c r="H18" s="118">
        <f>'[1]International Consultant'!BE74</f>
        <v>0</v>
      </c>
      <c r="I18" s="118">
        <f>'[1]International Consultant'!BE75</f>
        <v>0</v>
      </c>
      <c r="J18" s="118">
        <f>'[1]International Consultant'!BE76</f>
        <v>0</v>
      </c>
      <c r="K18" s="118">
        <f>'[1]International Consultant'!BE77</f>
        <v>0</v>
      </c>
      <c r="L18" s="119">
        <f t="shared" si="0"/>
        <v>0</v>
      </c>
    </row>
    <row r="19" spans="2:14" ht="16" x14ac:dyDescent="0.2">
      <c r="B19" s="233"/>
      <c r="C19" s="117" t="s">
        <v>76</v>
      </c>
      <c r="D19" s="120">
        <f>'[1]Equipment Supplies'!BA402</f>
        <v>67587.475000000006</v>
      </c>
      <c r="E19" s="120">
        <f>'[1]Equipment Supplies'!BA403</f>
        <v>3186714.7756250016</v>
      </c>
      <c r="F19" s="120">
        <f>'[1]Equipment Supplies'!BA404</f>
        <v>762363.18015625014</v>
      </c>
      <c r="G19" s="120">
        <f>'[1]Equipment Supplies'!BA405</f>
        <v>1750350.318863672</v>
      </c>
      <c r="H19" s="120">
        <f>'[1]Equipment Supplies'!BA406</f>
        <v>170851.6914121875</v>
      </c>
      <c r="I19" s="120">
        <f>'[1]Equipment Supplies'!BA407</f>
        <v>25400.764939116954</v>
      </c>
      <c r="J19" s="120">
        <f>'[1]Equipment Supplies'!BA408</f>
        <v>0</v>
      </c>
      <c r="K19" s="120"/>
      <c r="L19" s="119">
        <f>SUM(D19:K19)</f>
        <v>5963268.2059962284</v>
      </c>
    </row>
    <row r="20" spans="2:14" ht="16" hidden="1" x14ac:dyDescent="0.2">
      <c r="B20" s="233"/>
      <c r="C20" s="117" t="s">
        <v>76</v>
      </c>
      <c r="D20" s="120">
        <f>'[1]Construction cost '!AT28</f>
        <v>0</v>
      </c>
      <c r="E20" s="120">
        <f>'[1]Construction cost '!AT29</f>
        <v>0</v>
      </c>
      <c r="F20" s="120">
        <f>'[1]Construction cost '!AT30</f>
        <v>0</v>
      </c>
      <c r="G20" s="120">
        <f>'[1]Construction cost '!AT31</f>
        <v>0</v>
      </c>
      <c r="H20" s="120">
        <f>'[1]Construction cost '!AT32</f>
        <v>0</v>
      </c>
      <c r="I20" s="120">
        <f>'[1]Construction cost '!AT33</f>
        <v>0</v>
      </c>
      <c r="J20" s="120">
        <f>'[1]Construction cost '!AT34</f>
        <v>0</v>
      </c>
      <c r="K20" s="120">
        <f>'[1]Construction cost '!AT35</f>
        <v>0</v>
      </c>
      <c r="L20" s="119">
        <f t="shared" si="0"/>
        <v>0</v>
      </c>
    </row>
    <row r="21" spans="2:14" ht="16" x14ac:dyDescent="0.2">
      <c r="B21" s="233"/>
      <c r="C21" s="117" t="s">
        <v>76</v>
      </c>
      <c r="D21" s="118">
        <f>[1]Workshop!AY621</f>
        <v>0</v>
      </c>
      <c r="E21" s="118">
        <f>[1]Workshop!AY622</f>
        <v>211105</v>
      </c>
      <c r="F21" s="118">
        <f>[1]Workshop!AY623</f>
        <v>194413.33333333331</v>
      </c>
      <c r="G21" s="118">
        <f>[1]Workshop!AY624</f>
        <v>126148.33333333334</v>
      </c>
      <c r="H21" s="118">
        <f>[1]Workshop!AY625</f>
        <v>62880</v>
      </c>
      <c r="I21" s="118">
        <f>[1]Workshop!AY626</f>
        <v>8245</v>
      </c>
      <c r="J21" s="118">
        <f>[1]Workshop!AY627</f>
        <v>8245</v>
      </c>
      <c r="K21" s="118">
        <f>[1]Workshop!AY628</f>
        <v>0</v>
      </c>
      <c r="L21" s="119">
        <f t="shared" si="0"/>
        <v>611036.66666666663</v>
      </c>
    </row>
    <row r="22" spans="2:14" ht="16" hidden="1" x14ac:dyDescent="0.2">
      <c r="B22" s="233"/>
      <c r="C22" s="117" t="s">
        <v>76</v>
      </c>
      <c r="D22" s="118"/>
      <c r="E22" s="118"/>
      <c r="F22" s="118"/>
      <c r="G22" s="118"/>
      <c r="H22" s="118"/>
      <c r="I22" s="118"/>
      <c r="J22" s="118"/>
      <c r="K22" s="118"/>
      <c r="L22" s="119">
        <f t="shared" si="0"/>
        <v>0</v>
      </c>
    </row>
    <row r="23" spans="2:14" ht="16" x14ac:dyDescent="0.2">
      <c r="B23" s="233"/>
      <c r="C23" s="117" t="s">
        <v>76</v>
      </c>
      <c r="D23" s="118">
        <f>'[1]Professional Services'!BC205</f>
        <v>75707</v>
      </c>
      <c r="E23" s="118">
        <f>'[1]Professional Services'!BC206</f>
        <v>350094</v>
      </c>
      <c r="F23" s="118">
        <f>'[1]Professional Services'!BC207</f>
        <v>566924</v>
      </c>
      <c r="G23" s="118">
        <f>'[1]Professional Services'!BC208</f>
        <v>287509</v>
      </c>
      <c r="H23" s="118">
        <f>'[1]Professional Services'!BC209</f>
        <v>234319</v>
      </c>
      <c r="I23" s="118">
        <f>'[1]Professional Services'!BC210</f>
        <v>79634</v>
      </c>
      <c r="J23" s="118">
        <f>'[1]Professional Services'!BC211</f>
        <v>0</v>
      </c>
      <c r="K23" s="118">
        <f>'[1]Professional Services'!BC212</f>
        <v>0</v>
      </c>
      <c r="L23" s="119">
        <f t="shared" si="0"/>
        <v>1594187</v>
      </c>
    </row>
    <row r="24" spans="2:14" ht="16" x14ac:dyDescent="0.2">
      <c r="B24" s="233"/>
      <c r="C24" s="117" t="s">
        <v>76</v>
      </c>
      <c r="D24" s="118">
        <f>'[1]Other Cost'!BC66</f>
        <v>20101.960000000006</v>
      </c>
      <c r="E24" s="118">
        <f>'[1]Other Cost'!BC67</f>
        <v>41209.010000000009</v>
      </c>
      <c r="F24" s="118">
        <f>'[1]Other Cost'!BC68</f>
        <v>42239.239999999991</v>
      </c>
      <c r="G24" s="118">
        <f>'[1]Other Cost'!BC69</f>
        <v>43295.22</v>
      </c>
      <c r="H24" s="118">
        <f>'[1]Other Cost'!BC70</f>
        <v>26626.559999999998</v>
      </c>
      <c r="I24" s="118">
        <f>'[1]Other Cost'!BC71</f>
        <v>27292.23000000001</v>
      </c>
      <c r="J24" s="118">
        <f>'[1]Other Cost'!BC72</f>
        <v>27974.53</v>
      </c>
      <c r="K24" s="118">
        <f>'[1]Other Cost'!BC73</f>
        <v>0</v>
      </c>
      <c r="L24" s="119">
        <f t="shared" si="0"/>
        <v>228738.75</v>
      </c>
    </row>
    <row r="25" spans="2:14" ht="16" x14ac:dyDescent="0.2">
      <c r="B25" s="233"/>
      <c r="C25" s="117" t="s">
        <v>76</v>
      </c>
      <c r="D25" s="121"/>
      <c r="E25" s="121"/>
      <c r="F25" s="122">
        <v>125000</v>
      </c>
      <c r="G25" s="122">
        <v>100000</v>
      </c>
      <c r="H25" s="121"/>
      <c r="I25" s="121"/>
      <c r="J25" s="121"/>
      <c r="K25" s="118"/>
      <c r="L25" s="119">
        <f t="shared" si="0"/>
        <v>225000</v>
      </c>
      <c r="N25" t="s">
        <v>77</v>
      </c>
    </row>
    <row r="26" spans="2:14" ht="16" x14ac:dyDescent="0.2">
      <c r="B26" s="234"/>
      <c r="C26" s="124" t="s">
        <v>78</v>
      </c>
      <c r="D26" s="125">
        <f>SUM(D6:D25)</f>
        <v>918081.30708933691</v>
      </c>
      <c r="E26" s="125">
        <f t="shared" ref="E26:K26" si="1">SUM(E6:E25)</f>
        <v>7167948.4642910026</v>
      </c>
      <c r="F26" s="125">
        <f>SUM(F6:F25)</f>
        <v>5630064.7638714388</v>
      </c>
      <c r="G26" s="125">
        <f t="shared" si="1"/>
        <v>5553304.8857863033</v>
      </c>
      <c r="H26" s="125">
        <f t="shared" si="1"/>
        <v>3137764.0192452106</v>
      </c>
      <c r="I26" s="125">
        <f t="shared" si="1"/>
        <v>2167254.8364449847</v>
      </c>
      <c r="J26" s="125">
        <f>SUM(J6:J25)</f>
        <v>1307344.3008907728</v>
      </c>
      <c r="K26" s="125">
        <f t="shared" si="1"/>
        <v>123056.42</v>
      </c>
      <c r="L26" s="125">
        <f>SUM(L6:L25)</f>
        <v>26004818.997619051</v>
      </c>
      <c r="M26" s="126"/>
    </row>
    <row r="27" spans="2:14" ht="16" x14ac:dyDescent="0.2">
      <c r="B27" s="232" t="s">
        <v>79</v>
      </c>
      <c r="C27" s="127" t="s">
        <v>75</v>
      </c>
      <c r="D27" s="112">
        <f>'[1]Staffing SPC Total'!W94</f>
        <v>28115.576666666664</v>
      </c>
      <c r="E27" s="112">
        <f>'[1]Staffing SPC Total'!W95</f>
        <v>104619.43847290211</v>
      </c>
      <c r="F27" s="112">
        <f>'[1]Staffing SPC Total'!W96</f>
        <v>116069.44797033026</v>
      </c>
      <c r="G27" s="112">
        <f>'[1]Staffing SPC Total'!W97</f>
        <v>109470.49348635874</v>
      </c>
      <c r="H27" s="112">
        <f>'[1]Staffing SPC Total'!W98</f>
        <v>112207.16917234861</v>
      </c>
      <c r="I27" s="112">
        <f>'[1]Staffing SPC Total'!W99</f>
        <v>115012.35431637554</v>
      </c>
      <c r="J27" s="112">
        <f>'[1]Staffing SPC Total'!W100</f>
        <v>88782.488800347011</v>
      </c>
      <c r="K27" s="112">
        <f>'[1]Staffing SPC Total'!W101</f>
        <v>16059.22</v>
      </c>
      <c r="L27" s="113">
        <f t="shared" si="0"/>
        <v>690336.18888532883</v>
      </c>
    </row>
    <row r="28" spans="2:14" ht="16" hidden="1" x14ac:dyDescent="0.2">
      <c r="B28" s="233"/>
      <c r="C28" s="117" t="s">
        <v>75</v>
      </c>
      <c r="D28" s="112">
        <f>'[1]Local Consultant '!AI88</f>
        <v>0</v>
      </c>
      <c r="E28" s="112">
        <f>'[1]Local Consultant '!AI89</f>
        <v>0</v>
      </c>
      <c r="F28" s="112">
        <f>'[1]Local Consultant '!AI90</f>
        <v>0</v>
      </c>
      <c r="G28" s="112">
        <f>'[1]Local Consultant '!AI91</f>
        <v>0</v>
      </c>
      <c r="H28" s="112">
        <f>'[1]Local Consultant '!AI92</f>
        <v>0</v>
      </c>
      <c r="I28" s="112">
        <f>'[1]Local Consultant '!AI93</f>
        <v>0</v>
      </c>
      <c r="J28" s="112">
        <f>'[1]Local Consultant '!AI94</f>
        <v>0</v>
      </c>
      <c r="K28" s="112">
        <f>'[1]Local Consultant '!AI95</f>
        <v>0</v>
      </c>
      <c r="L28" s="113">
        <f t="shared" si="0"/>
        <v>0</v>
      </c>
    </row>
    <row r="29" spans="2:14" ht="16" x14ac:dyDescent="0.2">
      <c r="B29" s="233"/>
      <c r="C29" s="117" t="s">
        <v>75</v>
      </c>
      <c r="D29" s="115">
        <f>'[1]International Consultant'!AS70</f>
        <v>1062.1099999999999</v>
      </c>
      <c r="E29" s="115">
        <f>'[1]International Consultant'!AS71</f>
        <v>607.01</v>
      </c>
      <c r="F29" s="115">
        <f>'[1]International Consultant'!AS72</f>
        <v>1818.73</v>
      </c>
      <c r="G29" s="115">
        <f>'[1]International Consultant'!AS73</f>
        <v>18189.16</v>
      </c>
      <c r="H29" s="115">
        <f>'[1]International Consultant'!AS74</f>
        <v>2063.19</v>
      </c>
      <c r="I29" s="115">
        <f>'[1]International Consultant'!AS75</f>
        <v>1411.28</v>
      </c>
      <c r="J29" s="115">
        <f>'[1]International Consultant'!AS76</f>
        <v>1231.72</v>
      </c>
      <c r="K29" s="115">
        <f>'[1]International Consultant'!AS77</f>
        <v>0</v>
      </c>
      <c r="L29" s="113">
        <f t="shared" si="0"/>
        <v>26383.199999999997</v>
      </c>
    </row>
    <row r="30" spans="2:14" ht="16" hidden="1" x14ac:dyDescent="0.2">
      <c r="B30" s="233"/>
      <c r="C30" s="117" t="s">
        <v>75</v>
      </c>
      <c r="D30" s="115"/>
      <c r="E30" s="115"/>
      <c r="F30" s="115"/>
      <c r="G30" s="115"/>
      <c r="H30" s="115"/>
      <c r="I30" s="115"/>
      <c r="J30" s="115"/>
      <c r="K30" s="115"/>
      <c r="L30" s="113">
        <f>SUM(D30:K30)</f>
        <v>0</v>
      </c>
    </row>
    <row r="31" spans="2:14" ht="16" hidden="1" x14ac:dyDescent="0.2">
      <c r="B31" s="233"/>
      <c r="C31" s="117" t="s">
        <v>75</v>
      </c>
      <c r="D31" s="128"/>
      <c r="E31" s="128"/>
      <c r="F31" s="128"/>
      <c r="G31" s="128"/>
      <c r="H31" s="128"/>
      <c r="I31" s="128"/>
      <c r="J31" s="128"/>
      <c r="K31" s="112"/>
      <c r="L31" s="113">
        <f t="shared" si="0"/>
        <v>0</v>
      </c>
    </row>
    <row r="32" spans="2:14" ht="16" hidden="1" x14ac:dyDescent="0.2">
      <c r="B32" s="233"/>
      <c r="C32" s="117" t="s">
        <v>75</v>
      </c>
      <c r="D32" s="129">
        <f>[1]Workshop!AM621</f>
        <v>0</v>
      </c>
      <c r="E32" s="129">
        <f>[1]Workshop!AM622</f>
        <v>0</v>
      </c>
      <c r="F32" s="129">
        <f>[1]Workshop!AM623</f>
        <v>0</v>
      </c>
      <c r="G32" s="129">
        <f>[1]Workshop!AM624</f>
        <v>0</v>
      </c>
      <c r="H32" s="129">
        <f>[1]Workshop!AM625</f>
        <v>0</v>
      </c>
      <c r="I32" s="129">
        <f>[1]Workshop!AM626</f>
        <v>0</v>
      </c>
      <c r="J32" s="129">
        <f>[1]Workshop!AM627</f>
        <v>0</v>
      </c>
      <c r="K32" s="129">
        <f>[1]Workshop!AM628</f>
        <v>0</v>
      </c>
      <c r="L32" s="113">
        <f t="shared" si="0"/>
        <v>0</v>
      </c>
    </row>
    <row r="33" spans="2:13" ht="16" x14ac:dyDescent="0.2">
      <c r="B33" s="233"/>
      <c r="C33" s="117" t="s">
        <v>75</v>
      </c>
      <c r="D33" s="130">
        <f>'[1]Travel Worksheet'!BK368</f>
        <v>0</v>
      </c>
      <c r="E33" s="130">
        <f>'[1]Travel Worksheet'!BK369</f>
        <v>0</v>
      </c>
      <c r="F33" s="130">
        <f>'[1]Travel Worksheet'!BK370</f>
        <v>207661.2469232064</v>
      </c>
      <c r="G33" s="130">
        <f>'[1]Travel Worksheet'!BK371</f>
        <v>35234.54829821943</v>
      </c>
      <c r="H33" s="130">
        <f>'[1]Travel Worksheet'!BK372</f>
        <v>25437.703649442479</v>
      </c>
      <c r="I33" s="130">
        <f>'[1]Travel Worksheet'!BK373</f>
        <v>2544.480864552389</v>
      </c>
      <c r="J33" s="130">
        <f>'[1]Travel Worksheet'!BK374</f>
        <v>0</v>
      </c>
      <c r="K33" s="130">
        <f>'[1]Travel Worksheet'!BK375</f>
        <v>0</v>
      </c>
      <c r="L33" s="116">
        <f>SUM(D33:K33)</f>
        <v>270877.97973542067</v>
      </c>
    </row>
    <row r="34" spans="2:13" ht="16" x14ac:dyDescent="0.2">
      <c r="B34" s="233"/>
      <c r="C34" s="117" t="s">
        <v>75</v>
      </c>
      <c r="D34" s="131">
        <f>'[1]Professional Services'!AQ205</f>
        <v>0</v>
      </c>
      <c r="E34" s="131">
        <f>'[1]Professional Services'!AQ206</f>
        <v>16125</v>
      </c>
      <c r="F34" s="131">
        <f>'[1]Professional Services'!AQ207</f>
        <v>58500</v>
      </c>
      <c r="G34" s="131">
        <f>'[1]Professional Services'!AQ208</f>
        <v>58500</v>
      </c>
      <c r="H34" s="131">
        <f>'[1]Professional Services'!AQ209</f>
        <v>58500</v>
      </c>
      <c r="I34" s="131">
        <f>'[1]Professional Services'!AQ210</f>
        <v>32250</v>
      </c>
      <c r="J34" s="131">
        <f>'[1]Professional Services'!AQ211</f>
        <v>16125</v>
      </c>
      <c r="K34" s="131">
        <f>'[1]Professional Services'!AQ212</f>
        <v>0</v>
      </c>
      <c r="L34" s="113">
        <f t="shared" si="0"/>
        <v>240000</v>
      </c>
    </row>
    <row r="35" spans="2:13" ht="16" x14ac:dyDescent="0.2">
      <c r="B35" s="233"/>
      <c r="C35" s="117" t="s">
        <v>75</v>
      </c>
      <c r="D35" s="115">
        <f>'[1]Other Cost'!AQ66</f>
        <v>4884.58</v>
      </c>
      <c r="E35" s="115">
        <f>'[1]Other Cost'!AQ67</f>
        <v>14053.9</v>
      </c>
      <c r="F35" s="115">
        <f>'[1]Other Cost'!AQ68</f>
        <v>10870.6</v>
      </c>
      <c r="G35" s="115">
        <f>'[1]Other Cost'!AQ69</f>
        <v>16179.62</v>
      </c>
      <c r="H35" s="115">
        <f>'[1]Other Cost'!AQ70</f>
        <v>10776.34</v>
      </c>
      <c r="I35" s="115">
        <f>'[1]Other Cost'!AQ71</f>
        <v>10407.6</v>
      </c>
      <c r="J35" s="115">
        <f>'[1]Other Cost'!AQ72</f>
        <v>9388.4599999999991</v>
      </c>
      <c r="K35" s="115">
        <f>'[1]Other Cost'!AQ73</f>
        <v>1821.07</v>
      </c>
      <c r="L35" s="113">
        <f>SUM(D35:K35)</f>
        <v>78382.170000000013</v>
      </c>
    </row>
    <row r="36" spans="2:13" ht="16" x14ac:dyDescent="0.2">
      <c r="B36" s="233"/>
      <c r="C36" s="117" t="s">
        <v>75</v>
      </c>
      <c r="D36">
        <f>'[1]Co-Finance'!AH78</f>
        <v>0</v>
      </c>
      <c r="E36">
        <f>'[1]Co-Finance'!AH79</f>
        <v>29238</v>
      </c>
      <c r="F36">
        <f>'[1]Co-Finance'!AH80</f>
        <v>29968</v>
      </c>
      <c r="G36">
        <f>'[1]Co-Finance'!AH81</f>
        <v>30718</v>
      </c>
      <c r="H36">
        <f>'[1]Co-Finance'!AH82</f>
        <v>31486</v>
      </c>
      <c r="I36">
        <f>'[1]Co-Finance'!AH83</f>
        <v>32273</v>
      </c>
      <c r="J36">
        <f>'[1]Co-Finance'!AH84</f>
        <v>33080</v>
      </c>
      <c r="K36">
        <f>'[1]Co-Finance'!AH85</f>
        <v>0</v>
      </c>
      <c r="L36" s="113">
        <f>SUM(D36:K36)</f>
        <v>186763</v>
      </c>
    </row>
    <row r="37" spans="2:13" ht="16" x14ac:dyDescent="0.2">
      <c r="B37" s="233"/>
      <c r="C37" s="117" t="s">
        <v>76</v>
      </c>
      <c r="D37" s="112">
        <f>'[1]Staffing CSIRO Comp A-Act2'!V32+'[1]Staffing National'!V119+'[1]Staffing CSIRO Comp B'!V44+'[1]Staffing FFA Comp B'!V50+'[1]Staffing FFA Comp A-Act2'!V38+'[1]Staffing FAO Act1,2'!V38</f>
        <v>0</v>
      </c>
      <c r="E37" s="112">
        <f>'[1]Staffing CSIRO Comp A-Act2'!V33+'[1]Staffing National'!V120+'[1]Staffing CSIRO Comp B'!V45+'[1]Staffing FFA Comp B'!V51+'[1]Staffing FFA Comp A-Act2'!V39+'[1]Staffing FAO Act1,2'!V39</f>
        <v>68995</v>
      </c>
      <c r="F37" s="112">
        <f>'[1]Staffing CSIRO Comp A-Act2'!V34+'[1]Staffing National'!V121+'[1]Staffing CSIRO Comp B'!V46+'[1]Staffing FFA Comp B'!V52+'[1]Staffing FFA Comp A-Act2'!V40+'[1]Staffing FAO Act1,2'!V40</f>
        <v>68228</v>
      </c>
      <c r="G37" s="112">
        <f>'[1]Staffing CSIRO Comp A-Act2'!V35+'[1]Staffing National'!V122+'[1]Staffing CSIRO Comp B'!V47+'[1]Staffing FFA Comp B'!V53+'[1]Staffing FFA Comp A-Act2'!V41+'[1]Staffing FAO Act1,2'!V41</f>
        <v>86730</v>
      </c>
      <c r="H37" s="112">
        <f>'[1]Staffing CSIRO Comp A-Act2'!V36+'[1]Staffing National'!V123+'[1]Staffing CSIRO Comp B'!V48+'[1]Staffing FFA Comp B'!V54+'[1]Staffing FFA Comp A-Act2'!V42+'[1]Staffing FAO Act1,2'!V42</f>
        <v>56724</v>
      </c>
      <c r="I37" s="112">
        <f>'[1]Staffing CSIRO Comp A-Act2'!V37+'[1]Staffing National'!V124+'[1]Staffing CSIRO Comp B'!V49+'[1]Staffing FFA Comp B'!V55+'[1]Staffing FFA Comp A-Act2'!V43+'[1]Staffing FAO Act1,2'!V43</f>
        <v>17749</v>
      </c>
      <c r="J37" s="112">
        <f>'[1]Staffing CSIRO Comp A-Act2'!V38+'[1]Staffing National'!V125+'[1]Staffing CSIRO Comp B'!V50+'[1]Staffing FFA Comp B'!V56+'[1]Staffing FFA Comp A-Act2'!V44+'[1]Staffing FAO Act1,2'!V44</f>
        <v>0</v>
      </c>
      <c r="K37" s="112">
        <f>'[1]Staffing CSIRO Comp A-Act2'!V39+'[1]Staffing National'!V126+'[1]Staffing CSIRO Comp B'!V51+'[1]Staffing FFA Comp B'!V57+'[1]Staffing FFA Comp A-Act2'!V45+'[1]Staffing FAO Act1,2'!V45</f>
        <v>0</v>
      </c>
      <c r="L37" s="113">
        <f t="shared" si="0"/>
        <v>298426</v>
      </c>
    </row>
    <row r="38" spans="2:13" ht="16" x14ac:dyDescent="0.2">
      <c r="B38" s="233"/>
      <c r="C38" s="117" t="s">
        <v>76</v>
      </c>
      <c r="D38" s="112">
        <f>'[1]Local Consultant '!AV88</f>
        <v>0</v>
      </c>
      <c r="E38" s="112">
        <f>'[1]Local Consultant '!AV89</f>
        <v>265160</v>
      </c>
      <c r="F38" s="112">
        <f>'[1]Local Consultant '!AV90</f>
        <v>169500</v>
      </c>
      <c r="G38" s="112">
        <f>'[1]Local Consultant '!AV91</f>
        <v>147000</v>
      </c>
      <c r="H38" s="112">
        <f>'[1]Local Consultant '!AV92</f>
        <v>138000</v>
      </c>
      <c r="I38" s="112">
        <f>'[1]Local Consultant '!AV93</f>
        <v>27000</v>
      </c>
      <c r="J38" s="112">
        <f>'[1]Local Consultant '!AV94</f>
        <v>0</v>
      </c>
      <c r="K38" s="112">
        <f>'[1]Local Consultant '!AV95</f>
        <v>0</v>
      </c>
      <c r="L38" s="113">
        <f t="shared" si="0"/>
        <v>746660</v>
      </c>
    </row>
    <row r="39" spans="2:13" ht="16" x14ac:dyDescent="0.2">
      <c r="B39" s="233"/>
      <c r="C39" s="117" t="s">
        <v>76</v>
      </c>
      <c r="D39" s="115">
        <f>'[1]International Consultant'!BF70</f>
        <v>0</v>
      </c>
      <c r="E39" s="115">
        <f>'[1]International Consultant'!BF71</f>
        <v>157325</v>
      </c>
      <c r="F39" s="115">
        <f>'[1]International Consultant'!BF72</f>
        <v>195600</v>
      </c>
      <c r="G39" s="115">
        <f>'[1]International Consultant'!BF73</f>
        <v>207650</v>
      </c>
      <c r="H39" s="115">
        <f>'[1]International Consultant'!BF74</f>
        <v>84275</v>
      </c>
      <c r="I39" s="115">
        <f>'[1]International Consultant'!BF75</f>
        <v>7150.0000000000009</v>
      </c>
      <c r="J39" s="115">
        <f>'[1]International Consultant'!BF76</f>
        <v>0</v>
      </c>
      <c r="K39" s="115">
        <f>'[1]International Consultant'!BF77</f>
        <v>0</v>
      </c>
      <c r="L39" s="113">
        <f t="shared" si="0"/>
        <v>652000</v>
      </c>
    </row>
    <row r="40" spans="2:13" ht="16" x14ac:dyDescent="0.2">
      <c r="B40" s="233"/>
      <c r="C40" s="117" t="s">
        <v>76</v>
      </c>
      <c r="D40" s="115">
        <f>'[1]Equipment Supplies'!BB402</f>
        <v>0</v>
      </c>
      <c r="E40" s="115">
        <f>'[1]Equipment Supplies'!BB403</f>
        <v>18243</v>
      </c>
      <c r="F40" s="115">
        <f>'[1]Equipment Supplies'!BB404</f>
        <v>10162</v>
      </c>
      <c r="G40" s="115">
        <f>'[1]Equipment Supplies'!BB405</f>
        <v>9140</v>
      </c>
      <c r="H40" s="115">
        <f>'[1]Equipment Supplies'!BB406</f>
        <v>6785</v>
      </c>
      <c r="I40" s="115">
        <f>'[1]Equipment Supplies'!BB407</f>
        <v>0</v>
      </c>
      <c r="J40" s="115">
        <f>'[1]Equipment Supplies'!BB408</f>
        <v>0</v>
      </c>
      <c r="K40" s="115">
        <f>'[1]Equipment Supplies'!BB409</f>
        <v>0</v>
      </c>
      <c r="L40" s="113">
        <f t="shared" si="0"/>
        <v>44330</v>
      </c>
    </row>
    <row r="41" spans="2:13" ht="16" hidden="1" x14ac:dyDescent="0.2">
      <c r="B41" s="233"/>
      <c r="C41" s="117" t="s">
        <v>76</v>
      </c>
      <c r="D41" s="115">
        <f>'[1]Construction cost '!AU28</f>
        <v>0</v>
      </c>
      <c r="E41" s="115">
        <f>'[1]Construction cost '!AU29</f>
        <v>0</v>
      </c>
      <c r="F41" s="115">
        <f>'[1]Construction cost '!AU30</f>
        <v>0</v>
      </c>
      <c r="G41" s="115">
        <f>'[1]Construction cost '!AU31</f>
        <v>0</v>
      </c>
      <c r="H41" s="115">
        <f>'[1]Construction cost '!AU32</f>
        <v>0</v>
      </c>
      <c r="I41" s="115">
        <f>'[1]Construction cost '!AU33</f>
        <v>0</v>
      </c>
      <c r="J41" s="115">
        <f>'[1]Construction cost '!AU34</f>
        <v>0</v>
      </c>
      <c r="K41" s="115">
        <f>'[1]Construction cost '!AU35</f>
        <v>0</v>
      </c>
      <c r="L41" s="116">
        <f t="shared" si="0"/>
        <v>0</v>
      </c>
    </row>
    <row r="42" spans="2:13" ht="16" x14ac:dyDescent="0.2">
      <c r="B42" s="233"/>
      <c r="C42" s="117" t="s">
        <v>76</v>
      </c>
      <c r="D42" s="115">
        <f>[1]Workshop!AZ621</f>
        <v>0</v>
      </c>
      <c r="E42" s="115">
        <f>[1]Workshop!AZ622</f>
        <v>28437.5</v>
      </c>
      <c r="F42" s="115">
        <f>[1]Workshop!AZ623</f>
        <v>111195</v>
      </c>
      <c r="G42" s="115">
        <f>[1]Workshop!AZ624</f>
        <v>83645</v>
      </c>
      <c r="H42" s="115">
        <f>[1]Workshop!AZ625</f>
        <v>50540</v>
      </c>
      <c r="I42" s="115">
        <f>[1]Workshop!AZ626</f>
        <v>0</v>
      </c>
      <c r="J42" s="115">
        <f>[1]Workshop!AZ627</f>
        <v>0</v>
      </c>
      <c r="K42" s="115">
        <f>[1]Workshop!AZ628</f>
        <v>0</v>
      </c>
      <c r="L42" s="116">
        <f t="shared" si="0"/>
        <v>273817.5</v>
      </c>
    </row>
    <row r="43" spans="2:13" ht="16" x14ac:dyDescent="0.2">
      <c r="B43" s="233"/>
      <c r="C43" s="117" t="s">
        <v>76</v>
      </c>
      <c r="D43" s="115">
        <f>'[1]Travel Worksheet'!BX368</f>
        <v>0</v>
      </c>
      <c r="E43" s="115">
        <f>'[1]Travel Worksheet'!BX369</f>
        <v>127642.67275890651</v>
      </c>
      <c r="F43" s="115">
        <f>'[1]Travel Worksheet'!BX370</f>
        <v>99669.725356703362</v>
      </c>
      <c r="G43" s="115">
        <f>'[1]Travel Worksheet'!BX371</f>
        <v>159459.62058458052</v>
      </c>
      <c r="H43" s="115">
        <f>'[1]Travel Worksheet'!BX372</f>
        <v>64972.283637964298</v>
      </c>
      <c r="I43" s="115">
        <f>'[1]Travel Worksheet'!BX373</f>
        <v>14189.088209442354</v>
      </c>
      <c r="J43" s="115">
        <f>'[1]Travel Worksheet'!BX374</f>
        <v>0</v>
      </c>
      <c r="K43" s="115">
        <f>'[1]Travel Worksheet'!BX375</f>
        <v>0</v>
      </c>
      <c r="L43" s="116">
        <f>SUM(D43:K43)</f>
        <v>465933.39054759702</v>
      </c>
    </row>
    <row r="44" spans="2:13" ht="16" x14ac:dyDescent="0.2">
      <c r="B44" s="233"/>
      <c r="C44" s="117" t="s">
        <v>76</v>
      </c>
      <c r="D44" s="115">
        <f>'[1]Professional Services'!BD205</f>
        <v>0</v>
      </c>
      <c r="E44" s="115">
        <f>'[1]Professional Services'!BD206</f>
        <v>11250</v>
      </c>
      <c r="F44" s="115">
        <f>'[1]Professional Services'!BD207</f>
        <v>362837.5</v>
      </c>
      <c r="G44" s="115">
        <f>'[1]Professional Services'!BD208</f>
        <v>177087.5</v>
      </c>
      <c r="H44" s="115">
        <f>'[1]Professional Services'!BD209</f>
        <v>59332.5</v>
      </c>
      <c r="I44" s="115">
        <f>'[1]Professional Services'!BD210</f>
        <v>36682.5</v>
      </c>
      <c r="J44" s="115">
        <f>'[1]Professional Services'!BD211</f>
        <v>0</v>
      </c>
      <c r="K44" s="115">
        <f>'[1]Professional Services'!BD212</f>
        <v>0</v>
      </c>
      <c r="L44" s="116">
        <f t="shared" si="0"/>
        <v>647190</v>
      </c>
    </row>
    <row r="45" spans="2:13" ht="16" x14ac:dyDescent="0.2">
      <c r="B45" s="233"/>
      <c r="C45" s="117" t="s">
        <v>76</v>
      </c>
      <c r="D45" s="115">
        <f>'[1]Other Cost'!BD66</f>
        <v>4307.5599999999995</v>
      </c>
      <c r="E45" s="115">
        <f>'[1]Other Cost'!BD67</f>
        <v>103557.3</v>
      </c>
      <c r="F45" s="115">
        <f>'[1]Other Cost'!BD68</f>
        <v>76274.26999999999</v>
      </c>
      <c r="G45" s="115">
        <f>'[1]Other Cost'!BD69</f>
        <v>84116.150000000009</v>
      </c>
      <c r="H45" s="115">
        <f>'[1]Other Cost'!BD70</f>
        <v>54138.69</v>
      </c>
      <c r="I45" s="115">
        <f>'[1]Other Cost'!BD71</f>
        <v>25985.620000000003</v>
      </c>
      <c r="J45" s="115">
        <f>'[1]Other Cost'!BD72</f>
        <v>9990.91</v>
      </c>
      <c r="K45" s="115">
        <f>'[1]Other Cost'!BD73</f>
        <v>0</v>
      </c>
      <c r="L45" s="116">
        <f t="shared" si="0"/>
        <v>358370.5</v>
      </c>
    </row>
    <row r="46" spans="2:13" ht="16" hidden="1" x14ac:dyDescent="0.2">
      <c r="B46" s="233"/>
      <c r="C46" s="117" t="s">
        <v>76</v>
      </c>
      <c r="D46" s="128"/>
      <c r="E46" s="128"/>
      <c r="F46" s="128"/>
      <c r="G46" s="128"/>
      <c r="H46" s="128"/>
      <c r="I46" s="128"/>
      <c r="J46" s="128"/>
      <c r="K46" s="112"/>
      <c r="L46" s="113">
        <f t="shared" si="0"/>
        <v>0</v>
      </c>
    </row>
    <row r="47" spans="2:13" ht="16" x14ac:dyDescent="0.2">
      <c r="B47" s="234"/>
      <c r="C47" s="132" t="s">
        <v>76</v>
      </c>
      <c r="D47" s="115">
        <f>'[1]Co-Finance'!AU78</f>
        <v>0</v>
      </c>
      <c r="E47" s="115">
        <f>'[1]Co-Finance'!AU79</f>
        <v>16763</v>
      </c>
      <c r="F47" s="115">
        <f>'[1]Co-Finance'!AU80</f>
        <v>17182</v>
      </c>
      <c r="G47" s="115">
        <f>'[1]Co-Finance'!AU81</f>
        <v>17612</v>
      </c>
      <c r="H47" s="115">
        <f>'[1]Co-Finance'!AU82</f>
        <v>18052</v>
      </c>
      <c r="I47" s="115">
        <f>'[1]Co-Finance'!AU83</f>
        <v>18503</v>
      </c>
      <c r="J47" s="115">
        <f>'[1]Co-Finance'!AU84</f>
        <v>18966</v>
      </c>
      <c r="K47" s="115">
        <f>'[1]Co-Finance'!AU85</f>
        <v>0</v>
      </c>
      <c r="L47" s="113">
        <f>SUM(D47:K47)</f>
        <v>107078</v>
      </c>
    </row>
    <row r="48" spans="2:13" ht="16" x14ac:dyDescent="0.2">
      <c r="B48" s="114"/>
      <c r="C48" s="124" t="s">
        <v>80</v>
      </c>
      <c r="D48" s="125">
        <f>SUM(D27:D47)</f>
        <v>38369.82666666666</v>
      </c>
      <c r="E48" s="125">
        <f t="shared" ref="E48:K48" si="2">SUM(E27:E47)</f>
        <v>962016.82123180863</v>
      </c>
      <c r="F48" s="125">
        <f t="shared" si="2"/>
        <v>1535536.5202502401</v>
      </c>
      <c r="G48" s="125">
        <f t="shared" si="2"/>
        <v>1240732.0923691585</v>
      </c>
      <c r="H48" s="125">
        <f t="shared" si="2"/>
        <v>773289.87645975547</v>
      </c>
      <c r="I48" s="125">
        <f t="shared" si="2"/>
        <v>341157.92339037027</v>
      </c>
      <c r="J48" s="125">
        <f t="shared" si="2"/>
        <v>177564.57880034702</v>
      </c>
      <c r="K48" s="125">
        <f t="shared" si="2"/>
        <v>17880.29</v>
      </c>
      <c r="L48" s="125">
        <f>SUM(D48:K48)</f>
        <v>5086547.9291683463</v>
      </c>
      <c r="M48" s="126"/>
    </row>
    <row r="49" spans="2:12" ht="16" x14ac:dyDescent="0.2">
      <c r="B49" s="232" t="s">
        <v>81</v>
      </c>
      <c r="C49" s="127" t="s">
        <v>75</v>
      </c>
      <c r="D49" s="112">
        <f>'[1]Staffing SPC Total'!X94</f>
        <v>16440.3</v>
      </c>
      <c r="E49" s="112">
        <f>'[1]Staffing SPC Total'!X95</f>
        <v>116187.8630469372</v>
      </c>
      <c r="F49" s="112">
        <f>'[1]Staffing SPC Total'!X96</f>
        <v>129045.67559859731</v>
      </c>
      <c r="G49" s="112">
        <f>'[1]Staffing SPC Total'!X97</f>
        <v>99893.753051189997</v>
      </c>
      <c r="H49" s="112">
        <f>'[1]Staffing SPC Total'!X98</f>
        <v>102391.03157191369</v>
      </c>
      <c r="I49" s="112">
        <f>'[1]Staffing SPC Total'!X99</f>
        <v>104950.8260186181</v>
      </c>
      <c r="J49" s="112">
        <f>'[1]Staffing SPC Total'!X100</f>
        <v>79775.828566025375</v>
      </c>
      <c r="K49" s="112">
        <f>'[1]Staffing SPC Total'!X101</f>
        <v>15689.4</v>
      </c>
      <c r="L49" s="113">
        <f t="shared" si="0"/>
        <v>664374.67785328173</v>
      </c>
    </row>
    <row r="50" spans="2:12" ht="16" hidden="1" x14ac:dyDescent="0.2">
      <c r="B50" s="233"/>
      <c r="C50" s="117" t="s">
        <v>75</v>
      </c>
      <c r="D50" s="112">
        <f>'[1]Local Consultant '!AJ88</f>
        <v>0</v>
      </c>
      <c r="E50" s="112">
        <f>'[1]Local Consultant '!AJ89</f>
        <v>0</v>
      </c>
      <c r="F50" s="112">
        <f>'[1]Local Consultant '!AJ90</f>
        <v>0</v>
      </c>
      <c r="G50" s="112">
        <f>'[1]Local Consultant '!AJ91</f>
        <v>0</v>
      </c>
      <c r="H50" s="112">
        <f>'[1]Local Consultant '!AJ92</f>
        <v>0</v>
      </c>
      <c r="I50" s="112">
        <f>'[1]Local Consultant '!AJ93</f>
        <v>0</v>
      </c>
      <c r="J50" s="112">
        <f>'[1]Local Consultant '!AJ94</f>
        <v>0</v>
      </c>
      <c r="K50" s="112">
        <f>'[1]Local Consultant '!AJ95</f>
        <v>0</v>
      </c>
      <c r="L50" s="113">
        <f t="shared" si="0"/>
        <v>0</v>
      </c>
    </row>
    <row r="51" spans="2:12" ht="16" x14ac:dyDescent="0.2">
      <c r="B51" s="233"/>
      <c r="C51" s="117" t="s">
        <v>75</v>
      </c>
      <c r="D51" s="115">
        <f>'[1]International Consultant'!AT70</f>
        <v>2124.2199999999998</v>
      </c>
      <c r="E51" s="115">
        <f>'[1]International Consultant'!AT71</f>
        <v>36064.03</v>
      </c>
      <c r="F51" s="115">
        <f>'[1]International Consultant'!AT72</f>
        <v>74187.47</v>
      </c>
      <c r="G51" s="115">
        <f>'[1]International Consultant'!AT73</f>
        <v>76928.320000000007</v>
      </c>
      <c r="H51" s="115">
        <f>'[1]International Consultant'!AT74</f>
        <v>119726.37</v>
      </c>
      <c r="I51" s="115">
        <f>'[1]International Consultant'!AT75</f>
        <v>118422.57</v>
      </c>
      <c r="J51" s="115">
        <f>'[1]International Consultant'!AT76</f>
        <v>2463.44</v>
      </c>
      <c r="K51" s="115">
        <f>'[1]International Consultant'!AT77</f>
        <v>0</v>
      </c>
      <c r="L51" s="113">
        <f t="shared" si="0"/>
        <v>429916.42000000004</v>
      </c>
    </row>
    <row r="52" spans="2:12" ht="16" hidden="1" x14ac:dyDescent="0.2">
      <c r="B52" s="233"/>
      <c r="C52" s="117" t="s">
        <v>75</v>
      </c>
      <c r="D52" s="115"/>
      <c r="E52" s="115"/>
      <c r="F52" s="115"/>
      <c r="G52" s="115"/>
      <c r="H52" s="115"/>
      <c r="I52" s="115"/>
      <c r="J52" s="115"/>
      <c r="K52" s="115"/>
      <c r="L52" s="113">
        <f t="shared" si="0"/>
        <v>0</v>
      </c>
    </row>
    <row r="53" spans="2:12" ht="16" hidden="1" x14ac:dyDescent="0.2">
      <c r="B53" s="233"/>
      <c r="C53" s="117" t="s">
        <v>75</v>
      </c>
      <c r="D53" s="115"/>
      <c r="E53" s="115"/>
      <c r="F53" s="115"/>
      <c r="G53" s="115"/>
      <c r="H53" s="115"/>
      <c r="I53" s="115"/>
      <c r="J53" s="115"/>
      <c r="K53" s="115"/>
      <c r="L53" s="113">
        <f t="shared" si="0"/>
        <v>0</v>
      </c>
    </row>
    <row r="54" spans="2:12" ht="16" hidden="1" x14ac:dyDescent="0.2">
      <c r="B54" s="233"/>
      <c r="C54" s="117" t="s">
        <v>75</v>
      </c>
      <c r="D54" s="115">
        <f>[1]Workshop!AN621</f>
        <v>0</v>
      </c>
      <c r="E54" s="115">
        <f>[1]Workshop!AN622</f>
        <v>0</v>
      </c>
      <c r="F54" s="115">
        <f>[1]Workshop!AN623</f>
        <v>0</v>
      </c>
      <c r="G54" s="115">
        <f>[1]Workshop!AN624</f>
        <v>0</v>
      </c>
      <c r="H54" s="115">
        <f>[1]Workshop!AN625</f>
        <v>0</v>
      </c>
      <c r="I54" s="115">
        <f>[1]Workshop!AN626</f>
        <v>0</v>
      </c>
      <c r="J54" s="115">
        <f>[1]Workshop!AN627</f>
        <v>0</v>
      </c>
      <c r="K54" s="115">
        <f>[1]Workshop!AN628</f>
        <v>0</v>
      </c>
      <c r="L54" s="113">
        <f t="shared" si="0"/>
        <v>0</v>
      </c>
    </row>
    <row r="55" spans="2:12" ht="16" x14ac:dyDescent="0.2">
      <c r="B55" s="233"/>
      <c r="C55" s="117" t="s">
        <v>75</v>
      </c>
      <c r="D55" s="115">
        <f>'[1]Travel Worksheet'!BL368</f>
        <v>0</v>
      </c>
      <c r="E55" s="115">
        <f>'[1]Travel Worksheet'!BL369</f>
        <v>19589.910300183648</v>
      </c>
      <c r="F55" s="115">
        <f>'[1]Travel Worksheet'!BL370</f>
        <v>40159.316115376474</v>
      </c>
      <c r="G55" s="115">
        <f>'[1]Travel Worksheet'!BL371</f>
        <v>54884.398691014518</v>
      </c>
      <c r="H55" s="115">
        <f>'[1]Travel Worksheet'!BL372</f>
        <v>42192.381493717396</v>
      </c>
      <c r="I55" s="115">
        <f>'[1]Travel Worksheet'!BL373</f>
        <v>43247.191031060334</v>
      </c>
      <c r="J55" s="115">
        <f>'[1]Travel Worksheet'!BL374</f>
        <v>51716.43260797632</v>
      </c>
      <c r="K55" s="115">
        <f>'[1]Travel Worksheet'!BL375</f>
        <v>0</v>
      </c>
      <c r="L55" s="113">
        <f>SUM(D55:K55)</f>
        <v>251789.63023932869</v>
      </c>
    </row>
    <row r="56" spans="2:12" ht="16" x14ac:dyDescent="0.2">
      <c r="B56" s="233"/>
      <c r="C56" s="117" t="s">
        <v>75</v>
      </c>
      <c r="D56" s="115">
        <f>'[1]Professional Services'!AR205</f>
        <v>0</v>
      </c>
      <c r="E56" s="115">
        <f>'[1]Professional Services'!AR206</f>
        <v>10750</v>
      </c>
      <c r="F56" s="115">
        <f>'[1]Professional Services'!AR207</f>
        <v>39000</v>
      </c>
      <c r="G56" s="115">
        <f>'[1]Professional Services'!AR208</f>
        <v>39000</v>
      </c>
      <c r="H56" s="115">
        <f>'[1]Professional Services'!AR209</f>
        <v>39000</v>
      </c>
      <c r="I56" s="115">
        <f>'[1]Professional Services'!AR210</f>
        <v>21500</v>
      </c>
      <c r="J56" s="115">
        <f>'[1]Professional Services'!AR211</f>
        <v>10750</v>
      </c>
      <c r="K56" s="115">
        <f>'[1]Professional Services'!AR212</f>
        <v>0</v>
      </c>
      <c r="L56" s="113">
        <f t="shared" si="0"/>
        <v>160000</v>
      </c>
    </row>
    <row r="57" spans="2:12" ht="16" x14ac:dyDescent="0.2">
      <c r="B57" s="233"/>
      <c r="C57" s="117" t="s">
        <v>75</v>
      </c>
      <c r="D57" s="115">
        <f>'[1]Other Cost'!AR66</f>
        <v>4075.87</v>
      </c>
      <c r="E57" s="115">
        <f>'[1]Other Cost'!AR67</f>
        <v>11727.08</v>
      </c>
      <c r="F57" s="115">
        <f>'[1]Other Cost'!AR68</f>
        <v>9070.82</v>
      </c>
      <c r="G57" s="115">
        <f>'[1]Other Cost'!AR69</f>
        <v>13500.87</v>
      </c>
      <c r="H57" s="115">
        <f>'[1]Other Cost'!AR70</f>
        <v>8992.17</v>
      </c>
      <c r="I57" s="115">
        <f>'[1]Other Cost'!AR71</f>
        <v>8684.48</v>
      </c>
      <c r="J57" s="115">
        <f>'[1]Other Cost'!AR72</f>
        <v>7834.08</v>
      </c>
      <c r="K57" s="115">
        <f>'[1]Other Cost'!AR73</f>
        <v>1519.57</v>
      </c>
      <c r="L57" s="113">
        <f>SUM(D57:K57)</f>
        <v>65404.939999999995</v>
      </c>
    </row>
    <row r="58" spans="2:12" ht="16" x14ac:dyDescent="0.2">
      <c r="B58" s="233"/>
      <c r="C58" s="117" t="s">
        <v>75</v>
      </c>
      <c r="D58">
        <f>'[1]Co-Finance'!AI78</f>
        <v>0</v>
      </c>
      <c r="E58">
        <f>'[1]Co-Finance'!AI79</f>
        <v>71115</v>
      </c>
      <c r="F58">
        <f>'[1]Co-Finance'!AI80</f>
        <v>72892</v>
      </c>
      <c r="G58">
        <f>'[1]Co-Finance'!AI81</f>
        <v>74713</v>
      </c>
      <c r="H58">
        <f>'[1]Co-Finance'!AI82</f>
        <v>76582</v>
      </c>
      <c r="I58">
        <f>'[1]Co-Finance'!AI83</f>
        <v>78497</v>
      </c>
      <c r="J58">
        <f>'[1]Co-Finance'!AI84</f>
        <v>80459</v>
      </c>
      <c r="K58">
        <f>'[1]Co-Finance'!AI85</f>
        <v>0</v>
      </c>
      <c r="L58" s="113">
        <f>SUM(D58:K58)</f>
        <v>454258</v>
      </c>
    </row>
    <row r="59" spans="2:12" ht="16" hidden="1" x14ac:dyDescent="0.2">
      <c r="B59" s="233"/>
      <c r="C59" s="117" t="s">
        <v>76</v>
      </c>
      <c r="D59" s="112">
        <f>'[1]Staffing CSIRO Comp A-Act2'!W32+'[1]Staffing National'!W119+'[1]Staffing CSIRO Comp B'!W44+'[1]Staffing FFA Comp B'!W50+'[1]Staffing FFA Comp A-Act2'!W38</f>
        <v>0</v>
      </c>
      <c r="E59" s="112">
        <f>'[1]Staffing CSIRO Comp A-Act2'!W33+'[1]Staffing National'!W120+'[1]Staffing CSIRO Comp B'!W45+'[1]Staffing FFA Comp B'!W51+'[1]Staffing FFA Comp A-Act2'!W39</f>
        <v>0</v>
      </c>
      <c r="F59" s="112">
        <f>'[1]Staffing CSIRO Comp A-Act2'!W34+'[1]Staffing National'!W121+'[1]Staffing CSIRO Comp B'!W46+'[1]Staffing FFA Comp B'!W52+'[1]Staffing FFA Comp A-Act2'!W40</f>
        <v>0</v>
      </c>
      <c r="G59" s="112">
        <f>'[1]Staffing CSIRO Comp A-Act2'!W35+'[1]Staffing National'!W122+'[1]Staffing CSIRO Comp B'!W47+'[1]Staffing FFA Comp B'!W53+'[1]Staffing FFA Comp A-Act2'!W41</f>
        <v>0</v>
      </c>
      <c r="H59" s="112">
        <f>'[1]Staffing CSIRO Comp A-Act2'!W36+'[1]Staffing National'!W123+'[1]Staffing CSIRO Comp B'!W48+'[1]Staffing FFA Comp B'!W54+'[1]Staffing FFA Comp A-Act2'!W42</f>
        <v>0</v>
      </c>
      <c r="I59" s="112">
        <f>'[1]Staffing CSIRO Comp A-Act2'!W37+'[1]Staffing National'!W124+'[1]Staffing CSIRO Comp B'!W49+'[1]Staffing FFA Comp B'!W55+'[1]Staffing FFA Comp A-Act2'!W43</f>
        <v>0</v>
      </c>
      <c r="J59" s="112">
        <f>'[1]Staffing CSIRO Comp A-Act2'!W38+'[1]Staffing National'!W125+'[1]Staffing CSIRO Comp B'!W50+'[1]Staffing FFA Comp B'!W56+'[1]Staffing FFA Comp A-Act2'!W44</f>
        <v>0</v>
      </c>
      <c r="K59" s="112">
        <f>'[1]Staffing CSIRO Comp A-Act2'!W39+'[1]Staffing National'!W126+'[1]Staffing CSIRO Comp B'!W51+'[1]Staffing FFA Comp B'!W57+'[1]Staffing FFA Comp A-Act2'!W45</f>
        <v>0</v>
      </c>
      <c r="L59" s="113">
        <f t="shared" si="0"/>
        <v>0</v>
      </c>
    </row>
    <row r="60" spans="2:12" ht="16" hidden="1" x14ac:dyDescent="0.2">
      <c r="B60" s="233"/>
      <c r="C60" s="117" t="s">
        <v>76</v>
      </c>
      <c r="D60" s="115">
        <f>'[1]Local Consultant '!AW88</f>
        <v>0</v>
      </c>
      <c r="E60" s="115">
        <f>'[1]Local Consultant '!AW89</f>
        <v>0</v>
      </c>
      <c r="F60" s="115">
        <f>'[1]Local Consultant '!AW90</f>
        <v>0</v>
      </c>
      <c r="G60" s="115">
        <f>'[1]Local Consultant '!AW91</f>
        <v>0</v>
      </c>
      <c r="H60" s="115">
        <f>'[1]Local Consultant '!AW92</f>
        <v>0</v>
      </c>
      <c r="I60" s="115">
        <f>'[1]Local Consultant '!AW93</f>
        <v>0</v>
      </c>
      <c r="J60" s="115">
        <f>'[1]Local Consultant '!AW94</f>
        <v>0</v>
      </c>
      <c r="K60" s="115">
        <f>'[1]Local Consultant '!AW95</f>
        <v>0</v>
      </c>
      <c r="L60" s="113">
        <f t="shared" si="0"/>
        <v>0</v>
      </c>
    </row>
    <row r="61" spans="2:12" ht="16" hidden="1" x14ac:dyDescent="0.2">
      <c r="B61" s="233"/>
      <c r="C61" s="117" t="s">
        <v>76</v>
      </c>
      <c r="D61" s="115">
        <f>'[1]International Consultant'!BG70</f>
        <v>0</v>
      </c>
      <c r="E61" s="115">
        <f>'[1]International Consultant'!BG71</f>
        <v>0</v>
      </c>
      <c r="F61" s="115">
        <f>'[1]International Consultant'!BG72</f>
        <v>0</v>
      </c>
      <c r="G61" s="115">
        <f>'[1]International Consultant'!BG73</f>
        <v>0</v>
      </c>
      <c r="H61" s="115">
        <f>'[1]International Consultant'!BG74</f>
        <v>0</v>
      </c>
      <c r="I61" s="115">
        <f>'[1]International Consultant'!BG75</f>
        <v>0</v>
      </c>
      <c r="J61" s="115">
        <f>'[1]International Consultant'!BG76</f>
        <v>0</v>
      </c>
      <c r="K61" s="115">
        <f>'[1]International Consultant'!BG77</f>
        <v>0</v>
      </c>
      <c r="L61" s="113">
        <f t="shared" si="0"/>
        <v>0</v>
      </c>
    </row>
    <row r="62" spans="2:12" ht="16" hidden="1" x14ac:dyDescent="0.2">
      <c r="B62" s="233"/>
      <c r="C62" s="117" t="s">
        <v>76</v>
      </c>
      <c r="D62" s="115"/>
      <c r="E62" s="115"/>
      <c r="F62" s="115"/>
      <c r="G62" s="115"/>
      <c r="H62" s="115"/>
      <c r="I62" s="115"/>
      <c r="J62" s="115"/>
      <c r="K62" s="115"/>
      <c r="L62" s="113">
        <f t="shared" si="0"/>
        <v>0</v>
      </c>
    </row>
    <row r="63" spans="2:12" ht="16" hidden="1" x14ac:dyDescent="0.2">
      <c r="B63" s="233"/>
      <c r="C63" s="117" t="s">
        <v>76</v>
      </c>
      <c r="D63" s="115"/>
      <c r="E63" s="115"/>
      <c r="F63" s="115"/>
      <c r="G63" s="115"/>
      <c r="H63" s="115"/>
      <c r="I63" s="115"/>
      <c r="J63" s="115"/>
      <c r="K63" s="115"/>
      <c r="L63" s="113">
        <f t="shared" si="0"/>
        <v>0</v>
      </c>
    </row>
    <row r="64" spans="2:12" ht="16" x14ac:dyDescent="0.2">
      <c r="B64" s="233"/>
      <c r="C64" s="117" t="s">
        <v>76</v>
      </c>
      <c r="D64" s="115">
        <f>[1]Workshop!BA621</f>
        <v>0</v>
      </c>
      <c r="E64" s="115">
        <f>[1]Workshop!BA622</f>
        <v>0</v>
      </c>
      <c r="F64" s="115">
        <f>[1]Workshop!BA623</f>
        <v>112000</v>
      </c>
      <c r="G64" s="115">
        <f>[1]Workshop!BA624</f>
        <v>0</v>
      </c>
      <c r="H64" s="115">
        <f>[1]Workshop!BA625</f>
        <v>112000</v>
      </c>
      <c r="I64" s="115">
        <f>[1]Workshop!BA626</f>
        <v>0</v>
      </c>
      <c r="J64" s="115">
        <f>[1]Workshop!BA627</f>
        <v>0</v>
      </c>
      <c r="K64" s="115">
        <f>[1]Workshop!BA628</f>
        <v>0</v>
      </c>
      <c r="L64" s="113">
        <f t="shared" si="0"/>
        <v>224000</v>
      </c>
    </row>
    <row r="65" spans="2:14" ht="16" hidden="1" x14ac:dyDescent="0.2">
      <c r="B65" s="233"/>
      <c r="C65" s="117" t="s">
        <v>76</v>
      </c>
      <c r="D65" s="115"/>
      <c r="E65" s="115"/>
      <c r="F65" s="115"/>
      <c r="G65" s="115"/>
      <c r="H65" s="115"/>
      <c r="I65" s="115"/>
      <c r="J65" s="115"/>
      <c r="K65" s="115"/>
      <c r="L65" s="113">
        <f t="shared" si="0"/>
        <v>0</v>
      </c>
    </row>
    <row r="66" spans="2:14" ht="16" x14ac:dyDescent="0.2">
      <c r="B66" s="233"/>
      <c r="C66" s="117" t="s">
        <v>76</v>
      </c>
      <c r="D66" s="115">
        <f>'[1]Professional Services'!BE205</f>
        <v>0</v>
      </c>
      <c r="E66" s="115">
        <f>'[1]Professional Services'!BE206</f>
        <v>0</v>
      </c>
      <c r="F66" s="115">
        <f>'[1]Professional Services'!BE207</f>
        <v>48825</v>
      </c>
      <c r="G66" s="115">
        <f>'[1]Professional Services'!BE208</f>
        <v>48825</v>
      </c>
      <c r="H66" s="115">
        <f>'[1]Professional Services'!BE209</f>
        <v>29555</v>
      </c>
      <c r="I66" s="115">
        <f>'[1]Professional Services'!BE210</f>
        <v>24455</v>
      </c>
      <c r="J66" s="115">
        <f>'[1]Professional Services'!BE211</f>
        <v>0</v>
      </c>
      <c r="K66" s="115">
        <f>'[1]Professional Services'!BE212</f>
        <v>0</v>
      </c>
      <c r="L66" s="113">
        <f t="shared" si="0"/>
        <v>151660</v>
      </c>
    </row>
    <row r="67" spans="2:14" ht="16" hidden="1" x14ac:dyDescent="0.2">
      <c r="B67" s="233"/>
      <c r="C67" s="117" t="s">
        <v>76</v>
      </c>
      <c r="D67" s="115">
        <f>'[1]Other Cost'!BE66</f>
        <v>0</v>
      </c>
      <c r="E67" s="115">
        <f>'[1]Other Cost'!BE67</f>
        <v>0</v>
      </c>
      <c r="F67" s="115">
        <f>'[1]Other Cost'!BE68</f>
        <v>0</v>
      </c>
      <c r="G67" s="115">
        <f>'[1]Other Cost'!BE69</f>
        <v>0</v>
      </c>
      <c r="H67" s="115">
        <f>'[1]Other Cost'!BE70</f>
        <v>0</v>
      </c>
      <c r="I67" s="115">
        <f>'[1]Other Cost'!BE71</f>
        <v>0</v>
      </c>
      <c r="J67" s="115">
        <f>'[1]Other Cost'!BE72</f>
        <v>0</v>
      </c>
      <c r="K67" s="115">
        <f>'[1]Other Cost'!BE73</f>
        <v>0</v>
      </c>
      <c r="L67" s="113">
        <f t="shared" si="0"/>
        <v>0</v>
      </c>
    </row>
    <row r="68" spans="2:14" ht="16" hidden="1" x14ac:dyDescent="0.2">
      <c r="B68" s="233"/>
      <c r="C68" s="117" t="s">
        <v>76</v>
      </c>
      <c r="D68" s="128"/>
      <c r="E68" s="128"/>
      <c r="F68" s="128"/>
      <c r="G68" s="128"/>
      <c r="H68" s="128"/>
      <c r="I68" s="128"/>
      <c r="J68" s="128"/>
      <c r="K68" s="112"/>
      <c r="L68" s="113">
        <f t="shared" si="0"/>
        <v>0</v>
      </c>
    </row>
    <row r="69" spans="2:14" hidden="1" x14ac:dyDescent="0.2">
      <c r="B69" s="234"/>
      <c r="C69" s="132"/>
      <c r="D69" s="112"/>
      <c r="E69" s="112"/>
      <c r="F69" s="112"/>
      <c r="G69" s="112"/>
      <c r="H69" s="112"/>
      <c r="I69" s="112"/>
      <c r="J69" s="112"/>
      <c r="K69" s="112"/>
      <c r="L69" s="113">
        <f t="shared" si="0"/>
        <v>0</v>
      </c>
      <c r="M69" s="126"/>
    </row>
    <row r="70" spans="2:14" ht="16" x14ac:dyDescent="0.2">
      <c r="B70" s="123"/>
      <c r="C70" s="124" t="s">
        <v>82</v>
      </c>
      <c r="D70" s="125">
        <f>SUM(D49:D69)</f>
        <v>22640.39</v>
      </c>
      <c r="E70" s="125">
        <f t="shared" ref="E70:K70" si="3">SUM(E49:E69)</f>
        <v>265433.88334712083</v>
      </c>
      <c r="F70" s="125">
        <f t="shared" si="3"/>
        <v>525180.28171397373</v>
      </c>
      <c r="G70" s="125">
        <f t="shared" si="3"/>
        <v>407745.3417422045</v>
      </c>
      <c r="H70" s="125">
        <f t="shared" si="3"/>
        <v>530438.95306563098</v>
      </c>
      <c r="I70" s="125">
        <f t="shared" si="3"/>
        <v>399757.06704967842</v>
      </c>
      <c r="J70" s="125">
        <f t="shared" si="3"/>
        <v>232998.78117400169</v>
      </c>
      <c r="K70" s="125">
        <f t="shared" si="3"/>
        <v>17208.97</v>
      </c>
      <c r="L70" s="125">
        <f>SUM(L49:L69)</f>
        <v>2401403.6680926103</v>
      </c>
      <c r="M70" s="126"/>
      <c r="N70" s="133">
        <f>SUM(D70:K70)</f>
        <v>2401403.6680926103</v>
      </c>
    </row>
    <row r="71" spans="2:14" ht="16" x14ac:dyDescent="0.2">
      <c r="B71" s="134" t="s">
        <v>83</v>
      </c>
      <c r="C71" s="134"/>
      <c r="D71" s="135">
        <f>SUM(D70,D48,D26)</f>
        <v>979091.52375600359</v>
      </c>
      <c r="E71" s="135">
        <f t="shared" ref="E71:L71" si="4">SUM(E70,E48,E26)</f>
        <v>8395399.1688699313</v>
      </c>
      <c r="F71" s="135">
        <f t="shared" si="4"/>
        <v>7690781.5658356529</v>
      </c>
      <c r="G71" s="135">
        <f t="shared" si="4"/>
        <v>7201782.3198976666</v>
      </c>
      <c r="H71" s="135">
        <f t="shared" si="4"/>
        <v>4441492.848770597</v>
      </c>
      <c r="I71" s="135">
        <f t="shared" si="4"/>
        <v>2908169.8268850334</v>
      </c>
      <c r="J71" s="135">
        <f t="shared" si="4"/>
        <v>1717907.6608651215</v>
      </c>
      <c r="K71" s="135">
        <f t="shared" si="4"/>
        <v>158145.68</v>
      </c>
      <c r="L71" s="135">
        <f t="shared" si="4"/>
        <v>33492770.594880007</v>
      </c>
    </row>
    <row r="72" spans="2:14" ht="16" x14ac:dyDescent="0.2">
      <c r="B72" s="107" t="s">
        <v>84</v>
      </c>
      <c r="C72" s="107"/>
      <c r="D72" s="119"/>
      <c r="E72" s="119"/>
      <c r="F72" s="119"/>
      <c r="G72" s="119"/>
      <c r="H72" s="119"/>
      <c r="I72" s="119"/>
      <c r="J72" s="119"/>
      <c r="K72" s="119"/>
      <c r="L72" s="119"/>
    </row>
    <row r="73" spans="2:14" ht="16" x14ac:dyDescent="0.2">
      <c r="B73" s="232" t="s">
        <v>85</v>
      </c>
      <c r="C73" s="127" t="s">
        <v>75</v>
      </c>
      <c r="D73" s="112">
        <f>'[1]Staffing SPC Total'!Y94</f>
        <v>129365.90272727273</v>
      </c>
      <c r="E73" s="112">
        <f>'[1]Staffing SPC Total'!Y95</f>
        <v>441395.21534100163</v>
      </c>
      <c r="F73" s="112">
        <f>'[1]Staffing SPC Total'!Y96</f>
        <v>235158.27883394482</v>
      </c>
      <c r="G73" s="112">
        <f>'[1]Staffing SPC Total'!Y97</f>
        <v>185604.57459571594</v>
      </c>
      <c r="H73" s="112">
        <f>'[1]Staffing SPC Total'!Y98</f>
        <v>190243.9456234129</v>
      </c>
      <c r="I73" s="112">
        <f>'[1]Staffing SPC Total'!Y99</f>
        <v>195000.21655806573</v>
      </c>
      <c r="J73" s="112">
        <f>'[1]Staffing SPC Total'!Y100</f>
        <v>168591.347159931</v>
      </c>
      <c r="K73" s="112">
        <f>'[1]Staffing SPC Total'!Y101</f>
        <v>31908.496363636365</v>
      </c>
      <c r="L73" s="113">
        <f t="shared" si="0"/>
        <v>1577267.977202981</v>
      </c>
    </row>
    <row r="74" spans="2:14" ht="16" hidden="1" x14ac:dyDescent="0.2">
      <c r="B74" s="233"/>
      <c r="C74" s="117" t="s">
        <v>75</v>
      </c>
      <c r="D74" s="112">
        <f>'[1]Local Consultant '!AK88</f>
        <v>0</v>
      </c>
      <c r="E74" s="112">
        <f>'[1]Local Consultant '!AK89</f>
        <v>0</v>
      </c>
      <c r="F74" s="112">
        <f>'[1]Local Consultant '!AK90</f>
        <v>0</v>
      </c>
      <c r="G74" s="112">
        <f>'[1]Local Consultant '!AK91</f>
        <v>0</v>
      </c>
      <c r="H74" s="112">
        <f>'[1]Local Consultant '!AK92</f>
        <v>0</v>
      </c>
      <c r="I74" s="112">
        <f>'[1]Local Consultant '!AK93</f>
        <v>0</v>
      </c>
      <c r="J74" s="112">
        <f>'[1]Local Consultant '!AK94</f>
        <v>0</v>
      </c>
      <c r="K74" s="112">
        <f>'[1]Local Consultant '!AK95</f>
        <v>0</v>
      </c>
      <c r="L74" s="113">
        <f t="shared" ref="L74:L139" si="5">SUM(D74:K74)</f>
        <v>0</v>
      </c>
    </row>
    <row r="75" spans="2:14" ht="16" hidden="1" x14ac:dyDescent="0.2">
      <c r="B75" s="233"/>
      <c r="C75" s="117" t="s">
        <v>75</v>
      </c>
      <c r="D75" s="115">
        <f>'[1]International Consultant'!AU70</f>
        <v>0</v>
      </c>
      <c r="E75" s="115">
        <f>'[1]International Consultant'!AU71</f>
        <v>0</v>
      </c>
      <c r="F75" s="115">
        <f>'[1]International Consultant'!AU72</f>
        <v>0</v>
      </c>
      <c r="G75" s="115">
        <f>'[1]International Consultant'!AU73</f>
        <v>0</v>
      </c>
      <c r="H75" s="115">
        <f>'[1]International Consultant'!AU74</f>
        <v>0</v>
      </c>
      <c r="I75" s="115">
        <f>'[1]International Consultant'!AU75</f>
        <v>0</v>
      </c>
      <c r="J75" s="115">
        <f>'[1]International Consultant'!AU76</f>
        <v>0</v>
      </c>
      <c r="K75" s="115">
        <f>'[1]International Consultant'!AU77</f>
        <v>0</v>
      </c>
      <c r="L75" s="113">
        <f t="shared" si="5"/>
        <v>0</v>
      </c>
    </row>
    <row r="76" spans="2:14" ht="16" x14ac:dyDescent="0.2">
      <c r="B76" s="233"/>
      <c r="C76" s="117" t="s">
        <v>75</v>
      </c>
      <c r="D76" s="115">
        <f>'[1]Equipment Supplies'!AQ402</f>
        <v>110.78055593514858</v>
      </c>
      <c r="E76" s="115">
        <f>'[1]Equipment Supplies'!AQ403</f>
        <v>54360.217196247169</v>
      </c>
      <c r="F76" s="115">
        <f>'[1]Equipment Supplies'!AQ404</f>
        <v>30241.321493235133</v>
      </c>
      <c r="G76" s="115">
        <f>'[1]Equipment Supplies'!AQ405</f>
        <v>30641.931686044536</v>
      </c>
      <c r="H76" s="115">
        <f>'[1]Equipment Supplies'!AQ406</f>
        <v>1928.2192905592078</v>
      </c>
      <c r="I76" s="115">
        <f>'[1]Equipment Supplies'!AQ407</f>
        <v>1012.9176960718837</v>
      </c>
      <c r="J76" s="115">
        <f>'[1]Equipment Supplies'!AQ408</f>
        <v>0</v>
      </c>
      <c r="K76" s="115"/>
      <c r="L76" s="113">
        <f t="shared" si="5"/>
        <v>118295.3879180931</v>
      </c>
    </row>
    <row r="77" spans="2:14" ht="16" hidden="1" x14ac:dyDescent="0.2">
      <c r="B77" s="233"/>
      <c r="C77" s="117" t="s">
        <v>75</v>
      </c>
      <c r="D77" s="115"/>
      <c r="E77" s="115"/>
      <c r="F77" s="115"/>
      <c r="G77" s="115"/>
      <c r="H77" s="115"/>
      <c r="I77" s="115"/>
      <c r="J77" s="115"/>
      <c r="K77" s="115"/>
      <c r="L77" s="113">
        <f t="shared" si="5"/>
        <v>0</v>
      </c>
    </row>
    <row r="78" spans="2:14" ht="16" x14ac:dyDescent="0.2">
      <c r="B78" s="233"/>
      <c r="C78" s="117" t="s">
        <v>75</v>
      </c>
      <c r="D78" s="115">
        <f>[1]Workshop!AO621</f>
        <v>192.54</v>
      </c>
      <c r="E78" s="115">
        <f>[1]Workshop!AO622</f>
        <v>1164.04</v>
      </c>
      <c r="F78" s="115">
        <f>[1]Workshop!AO623</f>
        <v>1175.1500000000001</v>
      </c>
      <c r="G78" s="115">
        <f>[1]Workshop!AO624</f>
        <v>1186.52</v>
      </c>
      <c r="H78" s="115">
        <f>[1]Workshop!AO625</f>
        <v>1198.19</v>
      </c>
      <c r="I78" s="115">
        <f>[1]Workshop!AO626</f>
        <v>1210.1400000000001</v>
      </c>
      <c r="J78" s="115">
        <f>[1]Workshop!AO627</f>
        <v>1036.32</v>
      </c>
      <c r="K78" s="115">
        <f>[1]Workshop!AO628</f>
        <v>0</v>
      </c>
      <c r="L78" s="113">
        <f t="shared" si="5"/>
        <v>7162.9000000000005</v>
      </c>
    </row>
    <row r="79" spans="2:14" ht="16" x14ac:dyDescent="0.2">
      <c r="B79" s="233"/>
      <c r="C79" s="117" t="s">
        <v>75</v>
      </c>
      <c r="D79" s="115">
        <f>'[1]Travel Worksheet'!BM368</f>
        <v>0</v>
      </c>
      <c r="E79" s="115">
        <f>'[1]Travel Worksheet'!BM369</f>
        <v>31293.953549814065</v>
      </c>
      <c r="F79" s="115">
        <f>'[1]Travel Worksheet'!BM370</f>
        <v>24132.158474230917</v>
      </c>
      <c r="G79" s="115">
        <f>'[1]Travel Worksheet'!BM371</f>
        <v>42735.964503839525</v>
      </c>
      <c r="H79" s="115">
        <f>'[1]Travel Worksheet'!BM372</f>
        <v>25353.848996988858</v>
      </c>
      <c r="I79" s="115">
        <f>'[1]Travel Worksheet'!BM373</f>
        <v>10356.803379941663</v>
      </c>
      <c r="J79" s="115">
        <f>'[1]Travel Worksheet'!BM374</f>
        <v>10615.723464440205</v>
      </c>
      <c r="K79" s="115">
        <f>'[1]Travel Worksheet'!BM375</f>
        <v>0</v>
      </c>
      <c r="L79" s="113">
        <f>SUM(D79:K79)</f>
        <v>144488.45236925525</v>
      </c>
    </row>
    <row r="80" spans="2:14" ht="16" x14ac:dyDescent="0.2">
      <c r="B80" s="233"/>
      <c r="C80" s="117" t="s">
        <v>75</v>
      </c>
      <c r="D80" s="115">
        <f>'[1]Professional Services'!AS205</f>
        <v>3586.93</v>
      </c>
      <c r="E80" s="115">
        <f>'[1]Professional Services'!AS206</f>
        <v>77462.13</v>
      </c>
      <c r="F80" s="115">
        <f>'[1]Professional Services'!AS207</f>
        <v>140473.99</v>
      </c>
      <c r="G80" s="115">
        <f>'[1]Professional Services'!AS208</f>
        <v>84020.67</v>
      </c>
      <c r="H80" s="115">
        <f>'[1]Professional Services'!AS209</f>
        <v>102170.58</v>
      </c>
      <c r="I80" s="115">
        <f>'[1]Professional Services'!AS210</f>
        <v>55646.95</v>
      </c>
      <c r="J80" s="115">
        <f>'[1]Professional Services'!AS211</f>
        <v>37689.82</v>
      </c>
      <c r="K80" s="115">
        <f>'[1]Professional Services'!AS212</f>
        <v>1922.56</v>
      </c>
      <c r="L80" s="113">
        <f t="shared" si="5"/>
        <v>502973.63</v>
      </c>
    </row>
    <row r="81" spans="2:13" ht="16" x14ac:dyDescent="0.2">
      <c r="B81" s="233"/>
      <c r="C81" s="117" t="s">
        <v>75</v>
      </c>
      <c r="D81" s="136">
        <f>'[1]Other Cost'!AS66</f>
        <v>17218.59</v>
      </c>
      <c r="E81" s="136">
        <f>'[1]Other Cost'!AS67</f>
        <v>47083.15</v>
      </c>
      <c r="F81" s="136">
        <f>'[1]Other Cost'!AS68</f>
        <v>37950.65</v>
      </c>
      <c r="G81" s="136">
        <f>'[1]Other Cost'!AS69</f>
        <v>53591.69</v>
      </c>
      <c r="H81" s="136">
        <f>'[1]Other Cost'!AS70</f>
        <v>37991.839999999997</v>
      </c>
      <c r="I81" s="136">
        <f>'[1]Other Cost'!AS71</f>
        <v>37080.32</v>
      </c>
      <c r="J81" s="136">
        <f>'[1]Other Cost'!AS72</f>
        <v>34275.9</v>
      </c>
      <c r="K81" s="112">
        <f>'[1]Other Cost'!AS73</f>
        <v>5311.55</v>
      </c>
      <c r="L81" s="113">
        <f>SUM(D81:K81)</f>
        <v>270503.69</v>
      </c>
    </row>
    <row r="82" spans="2:13" ht="16" hidden="1" x14ac:dyDescent="0.2">
      <c r="B82" s="233"/>
      <c r="C82" s="117" t="s">
        <v>75</v>
      </c>
      <c r="D82" s="128"/>
      <c r="E82" s="128"/>
      <c r="F82" s="128"/>
      <c r="G82" s="128"/>
      <c r="H82" s="128"/>
      <c r="I82" s="128"/>
      <c r="J82" s="112"/>
      <c r="K82" s="112"/>
      <c r="L82" s="113">
        <f t="shared" si="5"/>
        <v>0</v>
      </c>
    </row>
    <row r="83" spans="2:13" ht="16" x14ac:dyDescent="0.2">
      <c r="B83" s="233"/>
      <c r="C83" s="117" t="s">
        <v>76</v>
      </c>
      <c r="D83" s="112">
        <f>'[1]Staffing CSIRO Comp A-Act2'!X32+'[1]Staffing National'!X119+'[1]Staffing CSIRO Comp B'!X44+'[1]Staffing FFA Comp B'!X50+'[1]Staffing FFA Comp A-Act2'!X38</f>
        <v>158424.5</v>
      </c>
      <c r="E83" s="112">
        <f>'[1]Staffing CSIRO Comp A-Act2'!X33+'[1]Staffing National'!X120+'[1]Staffing CSIRO Comp B'!X45+'[1]Staffing FFA Comp B'!X51+'[1]Staffing FFA Comp A-Act2'!X39</f>
        <v>883749</v>
      </c>
      <c r="F83" s="112">
        <f>'[1]Staffing CSIRO Comp A-Act2'!X34+'[1]Staffing National'!X121+'[1]Staffing CSIRO Comp B'!X46+'[1]Staffing FFA Comp B'!X52+'[1]Staffing FFA Comp A-Act2'!X40</f>
        <v>820000</v>
      </c>
      <c r="G83" s="112">
        <f>'[1]Staffing CSIRO Comp A-Act2'!X35+'[1]Staffing National'!X122+'[1]Staffing CSIRO Comp B'!X47+'[1]Staffing FFA Comp B'!X53+'[1]Staffing FFA Comp A-Act2'!X41</f>
        <v>632833.5</v>
      </c>
      <c r="H83" s="112">
        <f>'[1]Staffing CSIRO Comp A-Act2'!X36+'[1]Staffing National'!X123+'[1]Staffing CSIRO Comp B'!X48+'[1]Staffing FFA Comp B'!X54+'[1]Staffing FFA Comp A-Act2'!X42</f>
        <v>257591.5</v>
      </c>
      <c r="I83" s="112">
        <f>'[1]Staffing CSIRO Comp A-Act2'!X37+'[1]Staffing National'!X124+'[1]Staffing CSIRO Comp B'!X49+'[1]Staffing FFA Comp B'!X55+'[1]Staffing FFA Comp A-Act2'!X43</f>
        <v>153400.5</v>
      </c>
      <c r="J83" s="112">
        <f>'[1]Staffing CSIRO Comp A-Act2'!X38+'[1]Staffing National'!X125+'[1]Staffing CSIRO Comp B'!X50+'[1]Staffing FFA Comp B'!X56+'[1]Staffing FFA Comp A-Act2'!X44</f>
        <v>157235</v>
      </c>
      <c r="K83" s="112">
        <f>'[1]Staffing CSIRO Comp A-Act2'!X39+'[1]Staffing National'!X126+'[1]Staffing CSIRO Comp B'!X51+'[1]Staffing FFA Comp B'!X57+'[1]Staffing FFA Comp A-Act2'!X45</f>
        <v>0</v>
      </c>
      <c r="L83" s="113">
        <f t="shared" si="5"/>
        <v>3063234</v>
      </c>
    </row>
    <row r="84" spans="2:13" ht="16" x14ac:dyDescent="0.2">
      <c r="B84" s="233"/>
      <c r="C84" s="117" t="s">
        <v>76</v>
      </c>
      <c r="D84" s="115">
        <f>'[1]Local Consultant '!AX88</f>
        <v>0</v>
      </c>
      <c r="E84" s="115">
        <f>'[1]Local Consultant '!AX89</f>
        <v>45000</v>
      </c>
      <c r="F84" s="115">
        <f>'[1]Local Consultant '!AX90</f>
        <v>60000</v>
      </c>
      <c r="G84" s="115">
        <f>'[1]Local Consultant '!AX91</f>
        <v>45000</v>
      </c>
      <c r="H84" s="115">
        <f>'[1]Local Consultant '!AX92</f>
        <v>0</v>
      </c>
      <c r="I84" s="115">
        <f>'[1]Local Consultant '!AX93</f>
        <v>0</v>
      </c>
      <c r="J84" s="115">
        <f>'[1]Local Consultant '!AX94</f>
        <v>0</v>
      </c>
      <c r="K84" s="115">
        <f>'[1]Local Consultant '!AX95</f>
        <v>0</v>
      </c>
      <c r="L84" s="113">
        <f t="shared" si="5"/>
        <v>150000</v>
      </c>
    </row>
    <row r="85" spans="2:13" ht="16" x14ac:dyDescent="0.2">
      <c r="B85" s="233"/>
      <c r="C85" s="117" t="s">
        <v>76</v>
      </c>
      <c r="D85" s="115">
        <f>'[1]International Consultant'!BH70</f>
        <v>0</v>
      </c>
      <c r="E85" s="115">
        <f>'[1]International Consultant'!BH71</f>
        <v>109425</v>
      </c>
      <c r="F85" s="115">
        <f>'[1]International Consultant'!BH72</f>
        <v>89625</v>
      </c>
      <c r="G85" s="115">
        <f>'[1]International Consultant'!BH73</f>
        <v>64950</v>
      </c>
      <c r="H85" s="115">
        <f>'[1]International Consultant'!BH74</f>
        <v>0</v>
      </c>
      <c r="I85" s="115">
        <f>'[1]International Consultant'!BH75</f>
        <v>0</v>
      </c>
      <c r="J85" s="115">
        <f>'[1]International Consultant'!BH76</f>
        <v>0</v>
      </c>
      <c r="K85" s="115">
        <f>'[1]International Consultant'!BH77</f>
        <v>0</v>
      </c>
      <c r="L85" s="113">
        <f t="shared" si="5"/>
        <v>264000</v>
      </c>
    </row>
    <row r="86" spans="2:13" ht="16" x14ac:dyDescent="0.2">
      <c r="B86" s="233"/>
      <c r="C86" s="117" t="s">
        <v>76</v>
      </c>
      <c r="D86" s="115">
        <f>'[1]Equipment Supplies'!BD402</f>
        <v>0</v>
      </c>
      <c r="E86" s="115">
        <f>'[1]Equipment Supplies'!BD403</f>
        <v>1311.1800000000003</v>
      </c>
      <c r="F86" s="115">
        <f>'[1]Equipment Supplies'!BD404</f>
        <v>4638.1679218749996</v>
      </c>
      <c r="G86" s="115">
        <f>'[1]Equipment Supplies'!BD405</f>
        <v>7104.1397640625037</v>
      </c>
      <c r="H86" s="115">
        <f>'[1]Equipment Supplies'!BD406</f>
        <v>4878.6322139843742</v>
      </c>
      <c r="I86" s="115">
        <f>'[1]Equipment Supplies'!BD407</f>
        <v>0</v>
      </c>
      <c r="J86" s="115">
        <f>'[1]Equipment Supplies'!BD408</f>
        <v>0</v>
      </c>
      <c r="K86" s="115"/>
      <c r="L86" s="113">
        <f>SUM(D86:K86)</f>
        <v>17932.119899921876</v>
      </c>
    </row>
    <row r="87" spans="2:13" ht="16" hidden="1" x14ac:dyDescent="0.2">
      <c r="B87" s="233"/>
      <c r="C87" s="117" t="s">
        <v>76</v>
      </c>
      <c r="D87" s="115"/>
      <c r="E87" s="115"/>
      <c r="F87" s="115"/>
      <c r="G87" s="115"/>
      <c r="H87" s="115"/>
      <c r="I87" s="115"/>
      <c r="J87" s="115"/>
      <c r="K87" s="115"/>
      <c r="L87" s="113">
        <f t="shared" si="5"/>
        <v>0</v>
      </c>
    </row>
    <row r="88" spans="2:13" ht="16" x14ac:dyDescent="0.2">
      <c r="B88" s="233"/>
      <c r="C88" s="117" t="s">
        <v>76</v>
      </c>
      <c r="D88" s="115">
        <f>[1]Workshop!BB621</f>
        <v>-6.0686523028152806E-4</v>
      </c>
      <c r="E88" s="115">
        <f>[1]Workshop!BB622</f>
        <v>12569.003975417061</v>
      </c>
      <c r="F88" s="115">
        <f>[1]Workshop!BB623</f>
        <v>12009.995074802489</v>
      </c>
      <c r="G88" s="115">
        <f>[1]Workshop!BB624</f>
        <v>27525.003701672551</v>
      </c>
      <c r="H88" s="115">
        <f>[1]Workshop!BB625</f>
        <v>12009.996794214365</v>
      </c>
      <c r="I88" s="115">
        <f>[1]Workshop!BB626</f>
        <v>12010.001464069725</v>
      </c>
      <c r="J88" s="115">
        <f>[1]Workshop!BB627</f>
        <v>12010.002778200555</v>
      </c>
      <c r="K88" s="115">
        <f>[1]Workshop!BB628</f>
        <v>0</v>
      </c>
      <c r="L88" s="113">
        <f t="shared" si="5"/>
        <v>88134.003181511507</v>
      </c>
    </row>
    <row r="89" spans="2:13" ht="16" x14ac:dyDescent="0.2">
      <c r="B89" s="233"/>
      <c r="C89" s="117" t="s">
        <v>76</v>
      </c>
      <c r="D89" s="115">
        <f>'[1]Travel Worksheet'!BZ368</f>
        <v>0</v>
      </c>
      <c r="E89" s="115">
        <f>'[1]Travel Worksheet'!BZ369</f>
        <v>64047.419591660204</v>
      </c>
      <c r="F89" s="115">
        <f>'[1]Travel Worksheet'!BZ370</f>
        <v>66080.939613025068</v>
      </c>
      <c r="G89" s="115">
        <f>'[1]Travel Worksheet'!BZ371</f>
        <v>30887.908058138055</v>
      </c>
      <c r="H89" s="115">
        <f>'[1]Travel Worksheet'!BZ372</f>
        <v>36132.791080424533</v>
      </c>
      <c r="I89" s="115">
        <f>'[1]Travel Worksheet'!BZ373</f>
        <v>0</v>
      </c>
      <c r="J89" s="115">
        <f>'[1]Travel Worksheet'!BZ374</f>
        <v>0</v>
      </c>
      <c r="K89" s="115">
        <f>'[1]Travel Worksheet'!BZ375</f>
        <v>0</v>
      </c>
      <c r="L89" s="113">
        <f>SUM(D89:K89)</f>
        <v>197149.05834324786</v>
      </c>
    </row>
    <row r="90" spans="2:13" ht="16" x14ac:dyDescent="0.2">
      <c r="B90" s="233"/>
      <c r="C90" s="117" t="s">
        <v>76</v>
      </c>
      <c r="D90" s="115">
        <f>'[1]Professional Services'!BF205</f>
        <v>-1.9332716146891471E-4</v>
      </c>
      <c r="E90" s="115">
        <f>'[1]Professional Services'!BF206</f>
        <v>212000</v>
      </c>
      <c r="F90" s="115">
        <f>'[1]Professional Services'!BF207</f>
        <v>235237.5</v>
      </c>
      <c r="G90" s="115">
        <f>'[1]Professional Services'!BF208</f>
        <v>235237.5</v>
      </c>
      <c r="H90" s="115">
        <f>'[1]Professional Services'!BF209</f>
        <v>406332.5</v>
      </c>
      <c r="I90" s="115">
        <f>'[1]Professional Services'!BF210</f>
        <v>198682.5</v>
      </c>
      <c r="J90" s="115">
        <f>'[1]Professional Services'!BF211</f>
        <v>12000</v>
      </c>
      <c r="K90" s="115">
        <f>'[1]Professional Services'!BF212</f>
        <v>12000</v>
      </c>
      <c r="L90" s="113">
        <f t="shared" si="5"/>
        <v>1311489.9998066728</v>
      </c>
    </row>
    <row r="91" spans="2:13" ht="16" x14ac:dyDescent="0.2">
      <c r="B91" s="233"/>
      <c r="C91" s="117" t="s">
        <v>76</v>
      </c>
      <c r="D91" s="115">
        <f>'[1]Other Cost'!BF66</f>
        <v>34460.5</v>
      </c>
      <c r="E91" s="115">
        <f>'[1]Other Cost'!BF67</f>
        <v>70644.01999999999</v>
      </c>
      <c r="F91" s="115">
        <f>'[1]Other Cost'!BF68</f>
        <v>72410.13</v>
      </c>
      <c r="G91" s="115">
        <f>'[1]Other Cost'!BF69</f>
        <v>74220.38</v>
      </c>
      <c r="H91" s="115">
        <f>'[1]Other Cost'!BF70</f>
        <v>49449.33</v>
      </c>
      <c r="I91" s="115">
        <f>'[1]Other Cost'!BF71</f>
        <v>50685.57</v>
      </c>
      <c r="J91" s="115">
        <f>'[1]Other Cost'!BF72</f>
        <v>51952.700000000004</v>
      </c>
      <c r="K91" s="115">
        <f>'[1]Other Cost'!BF73</f>
        <v>0</v>
      </c>
      <c r="L91" s="113">
        <f t="shared" si="5"/>
        <v>403822.63</v>
      </c>
    </row>
    <row r="92" spans="2:13" ht="16" x14ac:dyDescent="0.2">
      <c r="B92" s="233"/>
      <c r="C92" s="117" t="s">
        <v>76</v>
      </c>
      <c r="D92">
        <f>'[1]Co-Finance'!AW78</f>
        <v>8563.07</v>
      </c>
      <c r="E92">
        <f>'[1]Co-Finance'!AW79</f>
        <v>10448.879999999999</v>
      </c>
      <c r="F92">
        <f>'[1]Co-Finance'!AW80</f>
        <v>10710.17</v>
      </c>
      <c r="G92">
        <f>'[1]Co-Finance'!AW81</f>
        <v>10977.92</v>
      </c>
      <c r="H92">
        <f>'[1]Co-Finance'!AW82</f>
        <v>11252.3</v>
      </c>
      <c r="I92">
        <f>'[1]Co-Finance'!AW83</f>
        <v>11533.65</v>
      </c>
      <c r="J92">
        <f>'[1]Co-Finance'!AW84</f>
        <v>11821.97</v>
      </c>
      <c r="K92">
        <f>'[1]Co-Finance'!AW85</f>
        <v>0</v>
      </c>
      <c r="L92" s="113">
        <f>SUM(D92:K92)</f>
        <v>75307.959999999992</v>
      </c>
    </row>
    <row r="93" spans="2:13" ht="16" x14ac:dyDescent="0.2">
      <c r="B93" s="234"/>
      <c r="C93" s="124" t="s">
        <v>86</v>
      </c>
      <c r="D93" s="125">
        <f>SUM(D73:D92)</f>
        <v>351922.81248301553</v>
      </c>
      <c r="E93" s="125">
        <f t="shared" ref="E93:K93" si="6">SUM(E73:E92)</f>
        <v>2061953.2096541401</v>
      </c>
      <c r="F93" s="125">
        <f t="shared" si="6"/>
        <v>1839843.4514111136</v>
      </c>
      <c r="G93" s="125">
        <f t="shared" si="6"/>
        <v>1526517.7023094734</v>
      </c>
      <c r="H93" s="125">
        <f t="shared" si="6"/>
        <v>1136533.6739995845</v>
      </c>
      <c r="I93" s="125">
        <f t="shared" si="6"/>
        <v>726619.56909814896</v>
      </c>
      <c r="J93" s="125">
        <f t="shared" si="6"/>
        <v>497228.78340257175</v>
      </c>
      <c r="K93" s="125">
        <f t="shared" si="6"/>
        <v>51142.606363636369</v>
      </c>
      <c r="L93" s="125">
        <f t="shared" si="5"/>
        <v>8191761.808721683</v>
      </c>
      <c r="M93" s="126"/>
    </row>
    <row r="94" spans="2:13" ht="16" x14ac:dyDescent="0.2">
      <c r="B94" s="232" t="s">
        <v>87</v>
      </c>
      <c r="C94" s="127" t="s">
        <v>75</v>
      </c>
      <c r="D94" s="112">
        <f>'[1]Staffing SPC Total'!Z94</f>
        <v>16440.3</v>
      </c>
      <c r="E94" s="112">
        <f>'[1]Staffing SPC Total'!Z95</f>
        <v>97153.200000000012</v>
      </c>
      <c r="F94" s="112">
        <f>'[1]Staffing SPC Total'!Z96</f>
        <v>109979.7</v>
      </c>
      <c r="G94" s="112">
        <f>'[1]Staffing SPC Total'!Z97</f>
        <v>112210.89999999998</v>
      </c>
      <c r="H94" s="112">
        <f>'[1]Staffing SPC Total'!Z98</f>
        <v>115016.09999999998</v>
      </c>
      <c r="I94" s="112">
        <f>'[1]Staffing SPC Total'!Z99</f>
        <v>117891.55000000002</v>
      </c>
      <c r="J94" s="112">
        <f>'[1]Staffing SPC Total'!Z100</f>
        <v>93530.8</v>
      </c>
      <c r="K94" s="112">
        <f>'[1]Staffing SPC Total'!Z101</f>
        <v>15689.4</v>
      </c>
      <c r="L94" s="113">
        <f t="shared" si="5"/>
        <v>677911.95000000007</v>
      </c>
    </row>
    <row r="95" spans="2:13" ht="16" x14ac:dyDescent="0.2">
      <c r="B95" s="233"/>
      <c r="C95" s="117" t="s">
        <v>75</v>
      </c>
      <c r="D95" s="112">
        <f>'[1]Local Consultant '!AL88</f>
        <v>1982.43</v>
      </c>
      <c r="E95" s="112">
        <f>'[1]Local Consultant '!AL89</f>
        <v>248.82</v>
      </c>
      <c r="F95" s="112">
        <f>'[1]Local Consultant '!AL90</f>
        <v>1396.89</v>
      </c>
      <c r="G95" s="112">
        <f>'[1]Local Consultant '!AL91</f>
        <v>1200.5999999999999</v>
      </c>
      <c r="H95" s="112">
        <f>'[1]Local Consultant '!AL92</f>
        <v>748.02</v>
      </c>
      <c r="I95" s="112">
        <f>'[1]Local Consultant '!AL93</f>
        <v>400.52</v>
      </c>
      <c r="J95" s="112">
        <f>'[1]Local Consultant '!AL94</f>
        <v>0</v>
      </c>
      <c r="K95" s="112">
        <f>'[1]Local Consultant '!AL95</f>
        <v>0</v>
      </c>
      <c r="L95" s="113">
        <f t="shared" si="5"/>
        <v>5977.2800000000007</v>
      </c>
    </row>
    <row r="96" spans="2:13" ht="16" hidden="1" x14ac:dyDescent="0.2">
      <c r="B96" s="233"/>
      <c r="C96" s="117" t="s">
        <v>75</v>
      </c>
      <c r="D96" s="115">
        <f>'[1]International Consultant'!AV70</f>
        <v>0</v>
      </c>
      <c r="E96" s="115">
        <f>'[1]International Consultant'!AV71</f>
        <v>0</v>
      </c>
      <c r="F96" s="115">
        <f>'[1]International Consultant'!AV72</f>
        <v>0</v>
      </c>
      <c r="G96" s="115">
        <f>'[1]International Consultant'!AV73</f>
        <v>0</v>
      </c>
      <c r="H96" s="115">
        <f>'[1]International Consultant'!AV74</f>
        <v>0</v>
      </c>
      <c r="I96" s="115">
        <f>'[1]International Consultant'!AV75</f>
        <v>0</v>
      </c>
      <c r="J96" s="115">
        <f>'[1]International Consultant'!AV76</f>
        <v>0</v>
      </c>
      <c r="K96" s="115">
        <f>'[1]International Consultant'!AV77</f>
        <v>0</v>
      </c>
      <c r="L96" s="113">
        <f t="shared" si="5"/>
        <v>0</v>
      </c>
    </row>
    <row r="97" spans="2:12" ht="16" hidden="1" x14ac:dyDescent="0.2">
      <c r="B97" s="233"/>
      <c r="C97" s="117" t="s">
        <v>75</v>
      </c>
      <c r="D97" s="115"/>
      <c r="E97" s="115"/>
      <c r="F97" s="115"/>
      <c r="G97" s="115"/>
      <c r="H97" s="115"/>
      <c r="I97" s="115"/>
      <c r="J97" s="115"/>
      <c r="K97" s="115"/>
      <c r="L97" s="113">
        <f t="shared" si="5"/>
        <v>0</v>
      </c>
    </row>
    <row r="98" spans="2:12" ht="16" hidden="1" x14ac:dyDescent="0.2">
      <c r="B98" s="233"/>
      <c r="C98" s="117" t="s">
        <v>75</v>
      </c>
      <c r="D98" s="128"/>
      <c r="E98" s="128"/>
      <c r="F98" s="128"/>
      <c r="G98" s="128"/>
      <c r="H98" s="128"/>
      <c r="I98" s="128"/>
      <c r="J98" s="128"/>
      <c r="K98" s="112"/>
      <c r="L98" s="113">
        <f t="shared" si="5"/>
        <v>0</v>
      </c>
    </row>
    <row r="99" spans="2:12" ht="16" hidden="1" x14ac:dyDescent="0.2">
      <c r="B99" s="233"/>
      <c r="C99" s="117" t="s">
        <v>75</v>
      </c>
      <c r="D99" s="128"/>
      <c r="E99" s="128"/>
      <c r="F99" s="128"/>
      <c r="G99" s="128"/>
      <c r="H99" s="128"/>
      <c r="I99" s="128"/>
      <c r="J99" s="112"/>
      <c r="K99" s="112"/>
      <c r="L99" s="113">
        <f t="shared" si="5"/>
        <v>0</v>
      </c>
    </row>
    <row r="100" spans="2:12" ht="16" hidden="1" x14ac:dyDescent="0.2">
      <c r="B100" s="233"/>
      <c r="C100" s="117" t="s">
        <v>75</v>
      </c>
      <c r="D100" s="115"/>
      <c r="E100" s="115"/>
      <c r="F100" s="115"/>
      <c r="G100" s="115"/>
      <c r="H100" s="115"/>
      <c r="I100" s="115"/>
      <c r="J100" s="115"/>
      <c r="K100" s="115"/>
      <c r="L100" s="113">
        <f t="shared" si="5"/>
        <v>0</v>
      </c>
    </row>
    <row r="101" spans="2:12" ht="16" x14ac:dyDescent="0.2">
      <c r="B101" s="233"/>
      <c r="C101" s="117" t="s">
        <v>75</v>
      </c>
      <c r="D101" s="115">
        <f>'[1]Professional Services'!AT205</f>
        <v>0</v>
      </c>
      <c r="E101" s="115">
        <f>'[1]Professional Services'!AT206</f>
        <v>16125</v>
      </c>
      <c r="F101" s="115">
        <f>'[1]Professional Services'!AT207</f>
        <v>58500</v>
      </c>
      <c r="G101" s="115">
        <f>'[1]Professional Services'!AT208</f>
        <v>58500</v>
      </c>
      <c r="H101" s="115">
        <f>'[1]Professional Services'!AT209</f>
        <v>58500</v>
      </c>
      <c r="I101" s="115">
        <f>'[1]Professional Services'!AT210</f>
        <v>32250</v>
      </c>
      <c r="J101" s="115">
        <f>'[1]Professional Services'!AT211</f>
        <v>16125</v>
      </c>
      <c r="K101" s="115">
        <f>'[1]Professional Services'!AT212</f>
        <v>0</v>
      </c>
      <c r="L101" s="113">
        <f t="shared" si="5"/>
        <v>240000</v>
      </c>
    </row>
    <row r="102" spans="2:12" ht="16" x14ac:dyDescent="0.2">
      <c r="B102" s="233"/>
      <c r="C102" s="117" t="s">
        <v>75</v>
      </c>
      <c r="D102" s="115">
        <f>'[1]Other Cost'!AT66</f>
        <v>3931.58</v>
      </c>
      <c r="E102" s="115">
        <f>'[1]Other Cost'!AT67</f>
        <v>11311.92</v>
      </c>
      <c r="F102" s="115">
        <f>'[1]Other Cost'!AT68</f>
        <v>8749.7000000000007</v>
      </c>
      <c r="G102" s="115">
        <f>'[1]Other Cost'!AT69</f>
        <v>13022.9</v>
      </c>
      <c r="H102" s="115">
        <f>'[1]Other Cost'!AT70</f>
        <v>8673.83</v>
      </c>
      <c r="I102" s="115">
        <f>'[1]Other Cost'!AT71</f>
        <v>8377.0300000000007</v>
      </c>
      <c r="J102" s="115">
        <f>'[1]Other Cost'!AT72</f>
        <v>7556.73</v>
      </c>
      <c r="K102" s="115">
        <f>'[1]Other Cost'!AT73</f>
        <v>1465.77</v>
      </c>
      <c r="L102" s="113">
        <f>SUM(D102:K102)</f>
        <v>63089.46</v>
      </c>
    </row>
    <row r="103" spans="2:12" ht="16" hidden="1" x14ac:dyDescent="0.2">
      <c r="B103" s="233"/>
      <c r="C103" s="117" t="s">
        <v>75</v>
      </c>
      <c r="D103" s="128"/>
      <c r="E103" s="128"/>
      <c r="F103" s="128"/>
      <c r="G103" s="128"/>
      <c r="H103" s="128"/>
      <c r="I103" s="128"/>
      <c r="J103" s="112"/>
      <c r="K103" s="112"/>
      <c r="L103" s="113">
        <f t="shared" si="5"/>
        <v>0</v>
      </c>
    </row>
    <row r="104" spans="2:12" ht="16" x14ac:dyDescent="0.2">
      <c r="B104" s="233"/>
      <c r="C104" s="117" t="s">
        <v>76</v>
      </c>
      <c r="D104" s="112">
        <f>'[1]Staffing CSIRO Comp A-Act2'!Y32+'[1]Staffing National'!Y119+'[1]Staffing CSIRO Comp B'!Y44+'[1]Staffing FFA Comp B'!Y50+'[1]Staffing FFA Comp A-Act2'!Y38</f>
        <v>178704</v>
      </c>
      <c r="E104" s="112">
        <f>'[1]Staffing CSIRO Comp A-Act2'!Y33+'[1]Staffing National'!Y120+'[1]Staffing CSIRO Comp B'!Y45+'[1]Staffing FFA Comp B'!Y51+'[1]Staffing FFA Comp A-Act2'!Y39</f>
        <v>389037.5</v>
      </c>
      <c r="F104" s="112">
        <f>'[1]Staffing CSIRO Comp A-Act2'!Y34+'[1]Staffing National'!Y121+'[1]Staffing CSIRO Comp B'!Y46+'[1]Staffing FFA Comp B'!Y52+'[1]Staffing FFA Comp A-Act2'!Y40</f>
        <v>398764.5</v>
      </c>
      <c r="G104" s="112">
        <f>'[1]Staffing CSIRO Comp A-Act2'!Y35+'[1]Staffing National'!Y122+'[1]Staffing CSIRO Comp B'!Y47+'[1]Staffing FFA Comp B'!Y53+'[1]Staffing FFA Comp A-Act2'!Y41</f>
        <v>408732.5</v>
      </c>
      <c r="H104" s="112">
        <f>'[1]Staffing CSIRO Comp A-Act2'!Y36+'[1]Staffing National'!Y123+'[1]Staffing CSIRO Comp B'!Y48+'[1]Staffing FFA Comp B'!Y54+'[1]Staffing FFA Comp A-Act2'!Y42</f>
        <v>320324</v>
      </c>
      <c r="I104" s="112">
        <f>'[1]Staffing CSIRO Comp A-Act2'!Y37+'[1]Staffing National'!Y124+'[1]Staffing CSIRO Comp B'!Y49+'[1]Staffing FFA Comp B'!Y55+'[1]Staffing FFA Comp A-Act2'!Y43</f>
        <v>328331</v>
      </c>
      <c r="J104" s="112">
        <f>'[1]Staffing CSIRO Comp A-Act2'!Y38+'[1]Staffing National'!Y125+'[1]Staffing CSIRO Comp B'!Y50+'[1]Staffing FFA Comp B'!Y56+'[1]Staffing FFA Comp A-Act2'!Y44</f>
        <v>336540</v>
      </c>
      <c r="K104" s="112">
        <f>'[1]Staffing CSIRO Comp A-Act2'!Y39+'[1]Staffing National'!Y126+'[1]Staffing CSIRO Comp B'!Y51+'[1]Staffing FFA Comp B'!Y57+'[1]Staffing FFA Comp A-Act2'!Y45</f>
        <v>0</v>
      </c>
      <c r="L104" s="113">
        <f t="shared" si="5"/>
        <v>2360433.5</v>
      </c>
    </row>
    <row r="105" spans="2:12" ht="16" x14ac:dyDescent="0.2">
      <c r="B105" s="233"/>
      <c r="C105" s="117" t="s">
        <v>76</v>
      </c>
      <c r="D105" s="112">
        <f>'[1]Local Consultant '!AY88</f>
        <v>0</v>
      </c>
      <c r="E105" s="112">
        <f>'[1]Local Consultant '!AY89</f>
        <v>20250</v>
      </c>
      <c r="F105" s="112">
        <f>'[1]Local Consultant '!AY90</f>
        <v>60000</v>
      </c>
      <c r="G105" s="112">
        <f>'[1]Local Consultant '!AY91</f>
        <v>60000</v>
      </c>
      <c r="H105" s="112">
        <f>'[1]Local Consultant '!AY92</f>
        <v>49500</v>
      </c>
      <c r="I105" s="112">
        <f>'[1]Local Consultant '!AY93</f>
        <v>24750</v>
      </c>
      <c r="J105" s="112">
        <f>'[1]Local Consultant '!AY94</f>
        <v>0</v>
      </c>
      <c r="K105" s="112">
        <f>'[1]Local Consultant '!AY95</f>
        <v>0</v>
      </c>
      <c r="L105" s="113">
        <f t="shared" si="5"/>
        <v>214500</v>
      </c>
    </row>
    <row r="106" spans="2:12" ht="16" x14ac:dyDescent="0.2">
      <c r="B106" s="233"/>
      <c r="C106" s="117" t="s">
        <v>76</v>
      </c>
      <c r="D106" s="115">
        <f>'[1]International Consultant'!BI70</f>
        <v>0</v>
      </c>
      <c r="E106" s="115">
        <f>'[1]International Consultant'!BI71</f>
        <v>179350</v>
      </c>
      <c r="F106" s="115">
        <f>'[1]International Consultant'!BI72</f>
        <v>347650</v>
      </c>
      <c r="G106" s="115">
        <f>'[1]International Consultant'!BI73</f>
        <v>257550</v>
      </c>
      <c r="H106" s="115">
        <f>'[1]International Consultant'!BI74</f>
        <v>277950</v>
      </c>
      <c r="I106" s="115">
        <f>'[1]International Consultant'!BI75</f>
        <v>122400</v>
      </c>
      <c r="J106" s="115">
        <f>'[1]International Consultant'!BI76</f>
        <v>0</v>
      </c>
      <c r="K106" s="115">
        <f>'[1]International Consultant'!BI77</f>
        <v>0</v>
      </c>
      <c r="L106" s="113">
        <f t="shared" si="5"/>
        <v>1184900</v>
      </c>
    </row>
    <row r="107" spans="2:12" ht="16" x14ac:dyDescent="0.2">
      <c r="B107" s="233"/>
      <c r="C107" s="117" t="s">
        <v>76</v>
      </c>
      <c r="D107" s="115">
        <f>'[1]Equipment Supplies'!BE402</f>
        <v>0</v>
      </c>
      <c r="E107" s="115">
        <f>'[1]Equipment Supplies'!BE403</f>
        <v>106000</v>
      </c>
      <c r="F107" s="115">
        <f>'[1]Equipment Supplies'!BE404</f>
        <v>306000</v>
      </c>
      <c r="G107" s="115">
        <f>'[1]Equipment Supplies'!BE405</f>
        <v>312000</v>
      </c>
      <c r="H107" s="115">
        <f>'[1]Equipment Supplies'!BE406</f>
        <v>212000</v>
      </c>
      <c r="I107" s="115">
        <f>'[1]Equipment Supplies'!BE407</f>
        <v>112000</v>
      </c>
      <c r="J107" s="115">
        <f>'[1]Equipment Supplies'!BE408</f>
        <v>0</v>
      </c>
      <c r="K107" s="115">
        <f>'[1]Equipment Supplies'!BE409</f>
        <v>0</v>
      </c>
      <c r="L107" s="113">
        <f t="shared" si="5"/>
        <v>1048000</v>
      </c>
    </row>
    <row r="108" spans="2:12" ht="16" hidden="1" x14ac:dyDescent="0.2">
      <c r="B108" s="233"/>
      <c r="C108" s="117" t="s">
        <v>76</v>
      </c>
      <c r="D108" s="128"/>
      <c r="E108" s="128"/>
      <c r="F108" s="128"/>
      <c r="G108" s="128"/>
      <c r="H108" s="128"/>
      <c r="I108" s="128"/>
      <c r="J108" s="128"/>
      <c r="K108" s="112"/>
      <c r="L108" s="113">
        <f t="shared" si="5"/>
        <v>0</v>
      </c>
    </row>
    <row r="109" spans="2:12" ht="16" hidden="1" x14ac:dyDescent="0.2">
      <c r="B109" s="233"/>
      <c r="C109" s="117" t="s">
        <v>76</v>
      </c>
      <c r="D109" s="115"/>
      <c r="E109" s="115"/>
      <c r="F109" s="115"/>
      <c r="G109" s="115"/>
      <c r="H109" s="115"/>
      <c r="I109" s="115"/>
      <c r="J109" s="112"/>
      <c r="K109" s="112"/>
      <c r="L109" s="113">
        <f t="shared" si="5"/>
        <v>0</v>
      </c>
    </row>
    <row r="110" spans="2:12" ht="16" x14ac:dyDescent="0.2">
      <c r="B110" s="233"/>
      <c r="C110" s="117" t="s">
        <v>76</v>
      </c>
      <c r="D110" s="115">
        <f>'[1]Travel Worksheet'!CA368</f>
        <v>0</v>
      </c>
      <c r="E110" s="115">
        <f>'[1]Travel Worksheet'!CA369</f>
        <v>0</v>
      </c>
      <c r="F110" s="115">
        <f>'[1]Travel Worksheet'!CA370</f>
        <v>90009.572138650285</v>
      </c>
      <c r="G110" s="115">
        <f>'[1]Travel Worksheet'!CA371</f>
        <v>219446.48194809083</v>
      </c>
      <c r="H110" s="115">
        <f>'[1]Travel Worksheet'!CA372</f>
        <v>185755.12653831634</v>
      </c>
      <c r="I110" s="115">
        <f>'[1]Travel Worksheet'!CA373</f>
        <v>180359.76585303954</v>
      </c>
      <c r="J110" s="115">
        <f>'[1]Travel Worksheet'!CA374</f>
        <v>68483.06654642387</v>
      </c>
      <c r="K110" s="115">
        <f>'[1]Travel Worksheet'!CA375</f>
        <v>0</v>
      </c>
      <c r="L110" s="113">
        <f>SUM(D110:K110)</f>
        <v>744054.01302452083</v>
      </c>
    </row>
    <row r="111" spans="2:12" ht="16" x14ac:dyDescent="0.2">
      <c r="B111" s="233"/>
      <c r="C111" s="117" t="s">
        <v>76</v>
      </c>
      <c r="D111" s="112">
        <f>'[1]Professional Services'!BG205</f>
        <v>0</v>
      </c>
      <c r="E111" s="112">
        <f>'[1]Professional Services'!BG206</f>
        <v>0</v>
      </c>
      <c r="F111" s="112">
        <f>'[1]Professional Services'!BG207</f>
        <v>223237.5</v>
      </c>
      <c r="G111" s="112">
        <f>'[1]Professional Services'!BG208</f>
        <v>223237.5</v>
      </c>
      <c r="H111" s="112">
        <f>'[1]Professional Services'!BG209</f>
        <v>194332.5</v>
      </c>
      <c r="I111" s="112">
        <f>'[1]Professional Services'!BG210</f>
        <v>186682.5</v>
      </c>
      <c r="J111" s="112">
        <f>'[1]Professional Services'!BG211</f>
        <v>0</v>
      </c>
      <c r="K111" s="112">
        <f>'[1]Professional Services'!BG212</f>
        <v>0</v>
      </c>
      <c r="L111" s="113">
        <f t="shared" si="5"/>
        <v>827490</v>
      </c>
    </row>
    <row r="112" spans="2:12" ht="16" x14ac:dyDescent="0.2">
      <c r="B112" s="233"/>
      <c r="C112" s="117" t="s">
        <v>76</v>
      </c>
      <c r="D112" s="112">
        <f>'[1]Other Cost'!BG66</f>
        <v>10050.969999999999</v>
      </c>
      <c r="E112" s="112">
        <f>'[1]Other Cost'!BG67</f>
        <v>20604.510000000002</v>
      </c>
      <c r="F112" s="112">
        <f>'[1]Other Cost'!BG68</f>
        <v>21119.62</v>
      </c>
      <c r="G112" s="112">
        <f>'[1]Other Cost'!BG69</f>
        <v>21647.619999999995</v>
      </c>
      <c r="H112" s="112">
        <f>'[1]Other Cost'!BG70</f>
        <v>13313.28</v>
      </c>
      <c r="I112" s="112">
        <f>'[1]Other Cost'!BG71</f>
        <v>13646.109999999999</v>
      </c>
      <c r="J112" s="112">
        <f>'[1]Other Cost'!BG72</f>
        <v>13987.27</v>
      </c>
      <c r="K112" s="112">
        <f>'[1]Other Cost'!BG73</f>
        <v>0</v>
      </c>
      <c r="L112" s="113">
        <f t="shared" si="5"/>
        <v>114369.38</v>
      </c>
    </row>
    <row r="113" spans="1:13" ht="16" x14ac:dyDescent="0.2">
      <c r="B113" s="233"/>
      <c r="C113" s="117" t="s">
        <v>76</v>
      </c>
      <c r="D113" s="115">
        <f>'[1]Co-Finance'!AX78</f>
        <v>8563.07</v>
      </c>
      <c r="E113" s="115">
        <f>'[1]Co-Finance'!AX79</f>
        <v>10448.879999999999</v>
      </c>
      <c r="F113" s="115">
        <f>'[1]Co-Finance'!AX80</f>
        <v>10710.17</v>
      </c>
      <c r="G113" s="115">
        <f>'[1]Co-Finance'!AX81</f>
        <v>10977.92</v>
      </c>
      <c r="H113" s="115">
        <f>'[1]Co-Finance'!AX82</f>
        <v>11252.3</v>
      </c>
      <c r="I113" s="115">
        <f>'[1]Co-Finance'!AX83</f>
        <v>11533.65</v>
      </c>
      <c r="J113" s="115">
        <f>'[1]Co-Finance'!AX84</f>
        <v>11821.97</v>
      </c>
      <c r="K113" s="115">
        <f>'[1]Co-Finance'!AX85</f>
        <v>0</v>
      </c>
      <c r="L113" s="113">
        <f>SUM(D113:K113)</f>
        <v>75307.959999999992</v>
      </c>
    </row>
    <row r="114" spans="1:13" ht="16" x14ac:dyDescent="0.2">
      <c r="B114" s="234"/>
      <c r="C114" s="124" t="s">
        <v>88</v>
      </c>
      <c r="D114" s="125">
        <f>SUM(D94:D113)</f>
        <v>219672.35</v>
      </c>
      <c r="E114" s="125">
        <f t="shared" ref="E114:K114" si="7">SUM(E94:E113)</f>
        <v>850529.83</v>
      </c>
      <c r="F114" s="125">
        <f t="shared" si="7"/>
        <v>1636117.6521386504</v>
      </c>
      <c r="G114" s="125">
        <f t="shared" si="7"/>
        <v>1698526.4219480907</v>
      </c>
      <c r="H114" s="125">
        <f t="shared" si="7"/>
        <v>1447365.1565383163</v>
      </c>
      <c r="I114" s="125">
        <f t="shared" si="7"/>
        <v>1138622.1258530396</v>
      </c>
      <c r="J114" s="125">
        <f t="shared" si="7"/>
        <v>548044.83654642384</v>
      </c>
      <c r="K114" s="125">
        <f t="shared" si="7"/>
        <v>17155.169999999998</v>
      </c>
      <c r="L114" s="113">
        <f t="shared" si="5"/>
        <v>7556033.5430245195</v>
      </c>
      <c r="M114" s="126" t="s">
        <v>89</v>
      </c>
    </row>
    <row r="115" spans="1:13" ht="16" x14ac:dyDescent="0.2">
      <c r="A115" s="137"/>
      <c r="B115" s="134" t="s">
        <v>90</v>
      </c>
      <c r="C115" s="134"/>
      <c r="D115" s="135">
        <f>SUM(D114,D93,)</f>
        <v>571595.16248301556</v>
      </c>
      <c r="E115" s="135">
        <f t="shared" ref="E115:L115" si="8">SUM(E114,E93,)</f>
        <v>2912483.0396541399</v>
      </c>
      <c r="F115" s="135">
        <f t="shared" si="8"/>
        <v>3475961.103549764</v>
      </c>
      <c r="G115" s="135">
        <f t="shared" si="8"/>
        <v>3225044.1242575641</v>
      </c>
      <c r="H115" s="135">
        <f t="shared" si="8"/>
        <v>2583898.8305379008</v>
      </c>
      <c r="I115" s="135">
        <f t="shared" si="8"/>
        <v>1865241.6949511885</v>
      </c>
      <c r="J115" s="135">
        <f t="shared" si="8"/>
        <v>1045273.6199489955</v>
      </c>
      <c r="K115" s="135">
        <f t="shared" si="8"/>
        <v>68297.776363636367</v>
      </c>
      <c r="L115" s="135">
        <f t="shared" si="8"/>
        <v>15747795.351746202</v>
      </c>
    </row>
    <row r="116" spans="1:13" ht="16" x14ac:dyDescent="0.2">
      <c r="A116" s="88"/>
      <c r="B116" s="107" t="s">
        <v>91</v>
      </c>
      <c r="C116" s="107"/>
      <c r="D116" s="119"/>
      <c r="E116" s="119"/>
      <c r="F116" s="119"/>
      <c r="G116" s="119"/>
      <c r="H116" s="119"/>
      <c r="I116" s="119"/>
      <c r="J116" s="119"/>
      <c r="K116" s="119"/>
      <c r="L116" s="119"/>
    </row>
    <row r="117" spans="1:13" ht="16" x14ac:dyDescent="0.2">
      <c r="B117" s="232" t="s">
        <v>92</v>
      </c>
      <c r="C117" s="127" t="s">
        <v>75</v>
      </c>
      <c r="D117" s="112">
        <f>'[1]Staffing SPC Total'!AA94</f>
        <v>629231.44791318197</v>
      </c>
      <c r="E117" s="112">
        <f>'[1]Staffing SPC Total'!AA95</f>
        <v>1423247.4643926637</v>
      </c>
      <c r="F117" s="112">
        <f>'[1]Staffing SPC Total'!AA96</f>
        <v>1458597.3404624071</v>
      </c>
      <c r="G117" s="112">
        <f>'[1]Staffing SPC Total'!AA97</f>
        <v>1495300.6811379208</v>
      </c>
      <c r="H117" s="112">
        <f>'[1]Staffing SPC Total'!AA98</f>
        <v>1532682.202098605</v>
      </c>
      <c r="I117" s="112">
        <f>'[1]Staffing SPC Total'!AA99</f>
        <v>1571000.98508159</v>
      </c>
      <c r="J117" s="112">
        <f>'[1]Staffing SPC Total'!AA100</f>
        <v>1605893.0359945006</v>
      </c>
      <c r="K117" s="112">
        <f>'[1]Staffing SPC Total'!AA101</f>
        <v>48639.637105090907</v>
      </c>
      <c r="L117" s="113">
        <f t="shared" si="5"/>
        <v>9764592.7941859588</v>
      </c>
    </row>
    <row r="118" spans="1:13" ht="16" x14ac:dyDescent="0.2">
      <c r="B118" s="233"/>
      <c r="C118" s="117" t="s">
        <v>75</v>
      </c>
      <c r="D118" s="112">
        <f>'[1]Local Consultant '!AM88</f>
        <v>1982.43</v>
      </c>
      <c r="E118" s="112">
        <f>'[1]Local Consultant '!AM89</f>
        <v>248.82</v>
      </c>
      <c r="F118" s="112">
        <f>'[1]Local Consultant '!AM90</f>
        <v>1396.89</v>
      </c>
      <c r="G118" s="112">
        <f>'[1]Local Consultant '!AM91</f>
        <v>1200.5999999999999</v>
      </c>
      <c r="H118" s="112">
        <f>'[1]Local Consultant '!AM92</f>
        <v>748.02</v>
      </c>
      <c r="I118" s="112">
        <f>'[1]Local Consultant '!AM93</f>
        <v>400.52</v>
      </c>
      <c r="J118" s="112">
        <f>'[1]Local Consultant '!AM94</f>
        <v>0</v>
      </c>
      <c r="K118" s="112">
        <f>'[1]Local Consultant '!AM95</f>
        <v>0</v>
      </c>
      <c r="L118" s="113">
        <f t="shared" si="5"/>
        <v>5977.2800000000007</v>
      </c>
    </row>
    <row r="119" spans="1:13" ht="16" hidden="1" x14ac:dyDescent="0.2">
      <c r="B119" s="233"/>
      <c r="C119" s="117" t="s">
        <v>75</v>
      </c>
      <c r="D119" s="115">
        <f>'[1]International Consultant'!AW70</f>
        <v>0</v>
      </c>
      <c r="E119" s="115">
        <f>'[1]International Consultant'!AW71</f>
        <v>0</v>
      </c>
      <c r="F119" s="115">
        <f>'[1]International Consultant'!AW72</f>
        <v>0</v>
      </c>
      <c r="G119" s="115">
        <f>'[1]International Consultant'!AW73</f>
        <v>0</v>
      </c>
      <c r="H119" s="115">
        <f>'[1]International Consultant'!AW74</f>
        <v>0</v>
      </c>
      <c r="I119" s="115">
        <f>'[1]International Consultant'!AW75</f>
        <v>0</v>
      </c>
      <c r="J119" s="115">
        <f>'[1]International Consultant'!AW76</f>
        <v>0</v>
      </c>
      <c r="K119" s="115">
        <f>'[1]International Consultant'!AW77</f>
        <v>0</v>
      </c>
      <c r="L119" s="113">
        <f t="shared" si="5"/>
        <v>0</v>
      </c>
    </row>
    <row r="120" spans="1:13" ht="16" x14ac:dyDescent="0.2">
      <c r="B120" s="233"/>
      <c r="C120" s="117" t="s">
        <v>75</v>
      </c>
      <c r="D120" s="115">
        <f>'[1]Equipment Supplies'!AS402</f>
        <v>296883.33333333331</v>
      </c>
      <c r="E120" s="115">
        <f>'[1]Equipment Supplies'!AS403</f>
        <v>63050</v>
      </c>
      <c r="F120" s="115">
        <f>'[1]Equipment Supplies'!AS404</f>
        <v>164650</v>
      </c>
      <c r="G120" s="115">
        <f>'[1]Equipment Supplies'!AS405</f>
        <v>21450</v>
      </c>
      <c r="H120" s="115">
        <f>'[1]Equipment Supplies'!AS406</f>
        <v>39000</v>
      </c>
      <c r="I120" s="115">
        <f>'[1]Equipment Supplies'!AS407</f>
        <v>37050</v>
      </c>
      <c r="J120" s="115">
        <f>'[1]Equipment Supplies'!AS408</f>
        <v>38350</v>
      </c>
      <c r="K120" s="115">
        <f>'[1]Equipment Supplies'!AS409</f>
        <v>0</v>
      </c>
      <c r="L120" s="113">
        <f>SUM(D120:K120)</f>
        <v>660433.33333333326</v>
      </c>
    </row>
    <row r="121" spans="1:13" ht="16" hidden="1" x14ac:dyDescent="0.2">
      <c r="B121" s="233"/>
      <c r="C121" s="117" t="s">
        <v>75</v>
      </c>
      <c r="D121" s="128"/>
      <c r="E121" s="128"/>
      <c r="F121" s="128"/>
      <c r="G121" s="128"/>
      <c r="H121" s="128"/>
      <c r="I121" s="128"/>
      <c r="J121" s="128"/>
      <c r="K121" s="128"/>
      <c r="L121" s="113">
        <f t="shared" si="5"/>
        <v>0</v>
      </c>
    </row>
    <row r="122" spans="1:13" ht="16" x14ac:dyDescent="0.2">
      <c r="B122" s="233"/>
      <c r="C122" s="117" t="s">
        <v>75</v>
      </c>
      <c r="D122" s="115">
        <f>[1]Workshop!AQ621</f>
        <v>192.54</v>
      </c>
      <c r="E122" s="115">
        <f>[1]Workshop!AQ622</f>
        <v>1110.04</v>
      </c>
      <c r="F122" s="115">
        <f>[1]Workshop!AQ623</f>
        <v>455.15</v>
      </c>
      <c r="G122" s="115">
        <f>[1]Workshop!AQ624</f>
        <v>1132.52</v>
      </c>
      <c r="H122" s="115">
        <f>[1]Workshop!AQ625</f>
        <v>478.19</v>
      </c>
      <c r="I122" s="115">
        <f>[1]Workshop!AQ626</f>
        <v>1156.1400000000001</v>
      </c>
      <c r="J122" s="115">
        <f>[1]Workshop!AQ627</f>
        <v>316.32</v>
      </c>
      <c r="K122" s="115">
        <f>[1]Workshop!AQ628</f>
        <v>0</v>
      </c>
      <c r="L122" s="113">
        <f t="shared" si="5"/>
        <v>4840.8999999999996</v>
      </c>
    </row>
    <row r="123" spans="1:13" ht="16" x14ac:dyDescent="0.2">
      <c r="B123" s="233"/>
      <c r="C123" s="117" t="s">
        <v>75</v>
      </c>
      <c r="D123" s="115">
        <f>'[1]Travel Worksheet'!BO368</f>
        <v>0</v>
      </c>
      <c r="E123" s="115">
        <f>'[1]Travel Worksheet'!BO369</f>
        <v>157672.45004452209</v>
      </c>
      <c r="F123" s="115">
        <f>'[1]Travel Worksheet'!BO370</f>
        <v>57600.534331537587</v>
      </c>
      <c r="G123" s="115">
        <f>'[1]Travel Worksheet'!BO371</f>
        <v>165654.61782802601</v>
      </c>
      <c r="H123" s="115">
        <f>'[1]Travel Worksheet'!BO372</f>
        <v>60516.561382071668</v>
      </c>
      <c r="I123" s="115">
        <f>'[1]Travel Worksheet'!BO373</f>
        <v>174040.8828555698</v>
      </c>
      <c r="J123" s="115">
        <f>'[1]Travel Worksheet'!BO374</f>
        <v>56192.150500899566</v>
      </c>
      <c r="K123" s="115">
        <f>'[1]Travel Worksheet'!BO375</f>
        <v>0</v>
      </c>
      <c r="L123" s="113">
        <f>SUM(D123:K123)</f>
        <v>671677.19694262673</v>
      </c>
    </row>
    <row r="124" spans="1:13" ht="16" x14ac:dyDescent="0.2">
      <c r="B124" s="233"/>
      <c r="C124" s="117" t="s">
        <v>75</v>
      </c>
      <c r="D124" s="115">
        <f>'[1]Professional Services'!AU205</f>
        <v>227391.29</v>
      </c>
      <c r="E124" s="115">
        <f>'[1]Professional Services'!AU206</f>
        <v>209974.75</v>
      </c>
      <c r="F124" s="115">
        <f>'[1]Professional Services'!AU207</f>
        <v>463649.32</v>
      </c>
      <c r="G124" s="115">
        <f>'[1]Professional Services'!AU208</f>
        <v>556013.78</v>
      </c>
      <c r="H124" s="115">
        <f>'[1]Professional Services'!AU209</f>
        <v>637280.39</v>
      </c>
      <c r="I124" s="115">
        <f>'[1]Professional Services'!AU210</f>
        <v>357097.97</v>
      </c>
      <c r="J124" s="115">
        <f>'[1]Professional Services'!AU211</f>
        <v>510126.55</v>
      </c>
      <c r="K124" s="115">
        <f>'[1]Professional Services'!AU212</f>
        <v>1281.7</v>
      </c>
      <c r="L124" s="113">
        <f t="shared" si="5"/>
        <v>2962815.75</v>
      </c>
    </row>
    <row r="125" spans="1:13" ht="16" x14ac:dyDescent="0.2">
      <c r="B125" s="233"/>
      <c r="C125" s="117" t="s">
        <v>75</v>
      </c>
      <c r="D125" s="115">
        <f>'[1]Other Cost'!AU66</f>
        <v>81626.039999999994</v>
      </c>
      <c r="E125" s="115">
        <f>'[1]Other Cost'!AU67</f>
        <v>233428.11</v>
      </c>
      <c r="F125" s="115">
        <f>'[1]Other Cost'!AU68</f>
        <v>195684.78</v>
      </c>
      <c r="G125" s="115">
        <f>'[1]Other Cost'!AU69</f>
        <v>262681.81</v>
      </c>
      <c r="H125" s="115">
        <f>'[1]Other Cost'!AU70</f>
        <v>197644.22</v>
      </c>
      <c r="I125" s="115">
        <f>'[1]Other Cost'!AU71</f>
        <v>194717.48</v>
      </c>
      <c r="J125" s="115">
        <f>'[1]Other Cost'!AU72</f>
        <v>183812.48000000001</v>
      </c>
      <c r="K125" s="115">
        <f>'[1]Other Cost'!AU73</f>
        <v>45539.34</v>
      </c>
      <c r="L125" s="113">
        <f t="shared" si="5"/>
        <v>1395134.26</v>
      </c>
    </row>
    <row r="126" spans="1:13" ht="16" x14ac:dyDescent="0.2">
      <c r="B126" s="233"/>
      <c r="C126" s="117" t="s">
        <v>75</v>
      </c>
      <c r="D126" s="136">
        <f>'[1]Co-Finance'!AL78</f>
        <v>466879.18</v>
      </c>
      <c r="E126" s="136">
        <f>'[1]Co-Finance'!AL79</f>
        <v>1211147.98</v>
      </c>
      <c r="F126" s="136">
        <f>'[1]Co-Finance'!AL80</f>
        <v>1390725.38</v>
      </c>
      <c r="G126" s="136">
        <f>'[1]Co-Finance'!AL81</f>
        <v>1040956.76</v>
      </c>
      <c r="H126" s="136">
        <f>'[1]Co-Finance'!AL82</f>
        <v>1151957.26</v>
      </c>
      <c r="I126" s="136">
        <f>'[1]Co-Finance'!AL83</f>
        <v>1167389.8999999999</v>
      </c>
      <c r="J126" s="136">
        <f>'[1]Co-Finance'!AL84</f>
        <v>1196418.68</v>
      </c>
      <c r="K126" s="136">
        <f>'[1]Co-Finance'!AL85</f>
        <v>0</v>
      </c>
      <c r="L126" s="113">
        <f>SUM(D126:K126)</f>
        <v>7625475.1399999987</v>
      </c>
    </row>
    <row r="127" spans="1:13" ht="16" x14ac:dyDescent="0.2">
      <c r="B127" s="233"/>
      <c r="C127" s="117" t="s">
        <v>76</v>
      </c>
      <c r="D127" s="112">
        <f>'[1]Staffing CSIRO Comp A-Act2'!Z32+'[1]Staffing National'!Z119+'[1]Staffing CSIRO Comp B'!Z44+'[1]Staffing FFA Comp B'!Z50+'[1]Staffing FFA Comp A-Act2'!Z38</f>
        <v>564848.31999999995</v>
      </c>
      <c r="E127" s="112">
        <f>'[1]Staffing CSIRO Comp A-Act2'!Z33+'[1]Staffing National'!Z120+'[1]Staffing CSIRO Comp B'!Z45+'[1]Staffing FFA Comp B'!Z51+'[1]Staffing FFA Comp A-Act2'!Z39</f>
        <v>1200377.8600000001</v>
      </c>
      <c r="F127" s="112">
        <f>'[1]Staffing CSIRO Comp A-Act2'!Z34+'[1]Staffing National'!Z121+'[1]Staffing CSIRO Comp B'!Z46+'[1]Staffing FFA Comp B'!Z52+'[1]Staffing FFA Comp A-Act2'!Z40</f>
        <v>1230387.6599999999</v>
      </c>
      <c r="G127" s="112">
        <f>'[1]Staffing CSIRO Comp A-Act2'!Z35+'[1]Staffing National'!Z122+'[1]Staffing CSIRO Comp B'!Z47+'[1]Staffing FFA Comp B'!Z53+'[1]Staffing FFA Comp A-Act2'!Z41</f>
        <v>1238851.04</v>
      </c>
      <c r="H127" s="112">
        <f>'[1]Staffing CSIRO Comp A-Act2'!Z36+'[1]Staffing National'!Z123+'[1]Staffing CSIRO Comp B'!Z48+'[1]Staffing FFA Comp B'!Z54+'[1]Staffing FFA Comp A-Act2'!Z42</f>
        <v>1246966.96</v>
      </c>
      <c r="I127" s="112">
        <f>'[1]Staffing CSIRO Comp A-Act2'!Z37+'[1]Staffing National'!Z124+'[1]Staffing CSIRO Comp B'!Z49+'[1]Staffing FFA Comp B'!Z55+'[1]Staffing FFA Comp A-Act2'!Z43</f>
        <v>1254717.42</v>
      </c>
      <c r="J127" s="112">
        <f>'[1]Staffing CSIRO Comp A-Act2'!Z38+'[1]Staffing National'!Z125+'[1]Staffing CSIRO Comp B'!Z50+'[1]Staffing FFA Comp B'!Z56+'[1]Staffing FFA Comp A-Act2'!Z44</f>
        <v>1262072.72</v>
      </c>
      <c r="K127" s="112">
        <f>'[1]Staffing CSIRO Comp A-Act2'!Z39+'[1]Staffing National'!Z126+'[1]Staffing CSIRO Comp B'!Z51+'[1]Staffing FFA Comp B'!Z57+'[1]Staffing FFA Comp A-Act2'!Z45</f>
        <v>0</v>
      </c>
      <c r="L127" s="113">
        <f t="shared" si="5"/>
        <v>7998221.9799999995</v>
      </c>
    </row>
    <row r="128" spans="1:13" ht="16" hidden="1" x14ac:dyDescent="0.2">
      <c r="B128" s="233"/>
      <c r="C128" s="117" t="s">
        <v>76</v>
      </c>
      <c r="D128" s="112">
        <f>'[1]Local Consultant '!AZ88</f>
        <v>0</v>
      </c>
      <c r="E128" s="112">
        <f>'[1]Local Consultant '!AZ89</f>
        <v>0</v>
      </c>
      <c r="F128" s="112">
        <f>'[1]Local Consultant '!AZ90</f>
        <v>0</v>
      </c>
      <c r="G128" s="112">
        <f>'[1]Local Consultant '!AZ91</f>
        <v>0</v>
      </c>
      <c r="H128" s="112">
        <f>'[1]Local Consultant '!AZ92</f>
        <v>0</v>
      </c>
      <c r="I128" s="112">
        <f>'[1]Local Consultant '!AZ93</f>
        <v>0</v>
      </c>
      <c r="J128" s="112">
        <f>'[1]Local Consultant '!AZ94</f>
        <v>0</v>
      </c>
      <c r="K128" s="128">
        <f>'[1]Local Consultant '!AZ95</f>
        <v>0</v>
      </c>
      <c r="L128" s="113">
        <f t="shared" si="5"/>
        <v>0</v>
      </c>
    </row>
    <row r="129" spans="2:13" ht="16" hidden="1" x14ac:dyDescent="0.2">
      <c r="B129" s="233"/>
      <c r="C129" s="117" t="s">
        <v>76</v>
      </c>
      <c r="D129" s="115">
        <f>'[1]International Consultant'!BJ70</f>
        <v>0</v>
      </c>
      <c r="E129" s="115">
        <f>'[1]International Consultant'!BJ71</f>
        <v>0</v>
      </c>
      <c r="F129" s="115">
        <f>'[1]International Consultant'!BJ72</f>
        <v>0</v>
      </c>
      <c r="G129" s="115">
        <f>'[1]International Consultant'!BJ73</f>
        <v>0</v>
      </c>
      <c r="H129" s="115">
        <f>'[1]International Consultant'!BJ74</f>
        <v>0</v>
      </c>
      <c r="I129" s="115">
        <f>'[1]International Consultant'!BJ75</f>
        <v>0</v>
      </c>
      <c r="J129" s="115">
        <f>'[1]International Consultant'!BJ76</f>
        <v>0</v>
      </c>
      <c r="K129" s="115">
        <f>'[1]International Consultant'!BJ77</f>
        <v>0</v>
      </c>
      <c r="L129" s="113">
        <f t="shared" si="5"/>
        <v>0</v>
      </c>
    </row>
    <row r="130" spans="2:13" ht="16" x14ac:dyDescent="0.2">
      <c r="B130" s="233"/>
      <c r="C130" s="117" t="s">
        <v>76</v>
      </c>
      <c r="D130" s="115">
        <f>'[1]Equipment Supplies'!BF402</f>
        <v>251400.00000000006</v>
      </c>
      <c r="E130" s="115">
        <f>'[1]Equipment Supplies'!BF403</f>
        <v>188909.74374999999</v>
      </c>
      <c r="F130" s="115">
        <f>'[1]Equipment Supplies'!BF404</f>
        <v>496833.76226562494</v>
      </c>
      <c r="G130" s="115">
        <f>'[1]Equipment Supplies'!BF405</f>
        <v>69735.357300781252</v>
      </c>
      <c r="H130" s="115">
        <f>'[1]Equipment Supplies'!BF406</f>
        <v>121196.9647474121</v>
      </c>
      <c r="I130" s="115">
        <f>'[1]Equipment Supplies'!BF407</f>
        <v>111150</v>
      </c>
      <c r="J130" s="115">
        <f>'[1]Equipment Supplies'!BF408</f>
        <v>114400</v>
      </c>
      <c r="K130" s="115"/>
      <c r="L130" s="113">
        <f t="shared" si="5"/>
        <v>1353625.8280638184</v>
      </c>
    </row>
    <row r="131" spans="2:13" ht="16" hidden="1" x14ac:dyDescent="0.2">
      <c r="B131" s="233"/>
      <c r="C131" s="117" t="s">
        <v>76</v>
      </c>
      <c r="D131" s="128"/>
      <c r="E131" s="128"/>
      <c r="F131" s="128"/>
      <c r="G131" s="128"/>
      <c r="H131" s="128"/>
      <c r="I131" s="128"/>
      <c r="J131" s="128"/>
      <c r="K131" s="128"/>
      <c r="L131" s="113">
        <f t="shared" si="5"/>
        <v>0</v>
      </c>
    </row>
    <row r="132" spans="2:13" ht="16" hidden="1" x14ac:dyDescent="0.2">
      <c r="B132" s="233"/>
      <c r="C132" s="117" t="s">
        <v>76</v>
      </c>
      <c r="D132" s="112">
        <f>[1]Workshop!BD621</f>
        <v>-6.0686523028152806E-4</v>
      </c>
      <c r="E132" s="112">
        <f>[1]Workshop!BD622</f>
        <v>3.9754170627475105E-3</v>
      </c>
      <c r="F132" s="112">
        <f>[1]Workshop!BD623</f>
        <v>-4.9251975107154067E-3</v>
      </c>
      <c r="G132" s="112">
        <f>[1]Workshop!BD624</f>
        <v>3.7016725514149584E-3</v>
      </c>
      <c r="H132" s="112">
        <f>[1]Workshop!BD625</f>
        <v>-3.2057856348046698E-3</v>
      </c>
      <c r="I132" s="112">
        <f>[1]Workshop!BD626</f>
        <v>1.4640697243066825E-3</v>
      </c>
      <c r="J132" s="112">
        <f>[1]Workshop!BD627</f>
        <v>2.778200553507304E-3</v>
      </c>
      <c r="K132" s="112">
        <f>[1]Workshop!BD628</f>
        <v>0</v>
      </c>
      <c r="L132" s="113">
        <f>SUM(D132:K132)</f>
        <v>3.1815115161748508E-3</v>
      </c>
    </row>
    <row r="133" spans="2:13" ht="16" x14ac:dyDescent="0.2">
      <c r="B133" s="233"/>
      <c r="C133" s="117" t="s">
        <v>76</v>
      </c>
      <c r="D133" s="115">
        <f>'[1]Travel Worksheet'!CB368</f>
        <v>0</v>
      </c>
      <c r="E133" s="115">
        <f>'[1]Travel Worksheet'!CB369</f>
        <v>27285.164724929782</v>
      </c>
      <c r="F133" s="115">
        <f>'[1]Travel Worksheet'!CB370</f>
        <v>27967.293843053041</v>
      </c>
      <c r="G133" s="115">
        <f>'[1]Travel Worksheet'!CB371</f>
        <v>28666.476189129375</v>
      </c>
      <c r="H133" s="115">
        <f>'[1]Travel Worksheet'!CB372</f>
        <v>29383.138093857589</v>
      </c>
      <c r="I133" s="115">
        <f>'[1]Travel Worksheet'!CB373</f>
        <v>30117.716546204028</v>
      </c>
      <c r="J133" s="115">
        <f>'[1]Travel Worksheet'!CB374</f>
        <v>0</v>
      </c>
      <c r="K133" s="115">
        <f>'[1]Travel Worksheet'!CB375</f>
        <v>0</v>
      </c>
      <c r="L133" s="113">
        <f>SUM(D133:K133)</f>
        <v>143419.78939717382</v>
      </c>
    </row>
    <row r="134" spans="2:13" ht="16" x14ac:dyDescent="0.2">
      <c r="B134" s="233"/>
      <c r="C134" s="117" t="s">
        <v>76</v>
      </c>
      <c r="D134" s="115">
        <f>'[1]Professional Services'!BH205</f>
        <v>387499.9965377819</v>
      </c>
      <c r="E134" s="115">
        <f>'[1]Professional Services'!BH206</f>
        <v>974500</v>
      </c>
      <c r="F134" s="115">
        <f>'[1]Professional Services'!BH207</f>
        <v>1398325</v>
      </c>
      <c r="G134" s="115">
        <f>'[1]Professional Services'!BH208</f>
        <v>598325</v>
      </c>
      <c r="H134" s="115">
        <f>'[1]Professional Services'!BH209</f>
        <v>716554.99999999988</v>
      </c>
      <c r="I134" s="115">
        <f>'[1]Professional Services'!BH210</f>
        <v>673955</v>
      </c>
      <c r="J134" s="115">
        <f>'[1]Professional Services'!BH211</f>
        <v>624500</v>
      </c>
      <c r="K134" s="115">
        <f>'[1]Professional Services'!BH212</f>
        <v>12000</v>
      </c>
      <c r="L134" s="113">
        <f t="shared" si="5"/>
        <v>5385659.9965377823</v>
      </c>
    </row>
    <row r="135" spans="2:13" ht="16" x14ac:dyDescent="0.2">
      <c r="B135" s="233"/>
      <c r="C135" s="117" t="s">
        <v>76</v>
      </c>
      <c r="D135" s="115">
        <f>'[1]Other Cost'!BH66</f>
        <v>4307.5600000000122</v>
      </c>
      <c r="E135" s="115">
        <f>'[1]Other Cost'!BH67</f>
        <v>8830.5</v>
      </c>
      <c r="F135" s="115">
        <f>'[1]Other Cost'!BH68</f>
        <v>9051.2699999999895</v>
      </c>
      <c r="G135" s="115">
        <f>'[1]Other Cost'!BH69</f>
        <v>9277.5499999999884</v>
      </c>
      <c r="H135" s="115">
        <f>'[1]Other Cost'!BH70</f>
        <v>9509.4899999999907</v>
      </c>
      <c r="I135" s="115">
        <f>'[1]Other Cost'!BH71</f>
        <v>9747.2200000000012</v>
      </c>
      <c r="J135" s="115">
        <f>'[1]Other Cost'!BH72</f>
        <v>9990.8999999999942</v>
      </c>
      <c r="K135" s="115">
        <f>'[1]Other Cost'!BH73</f>
        <v>0</v>
      </c>
      <c r="L135" s="113">
        <f t="shared" si="5"/>
        <v>60714.489999999976</v>
      </c>
    </row>
    <row r="136" spans="2:13" ht="16" x14ac:dyDescent="0.2">
      <c r="B136" s="233"/>
      <c r="C136" s="117" t="s">
        <v>76</v>
      </c>
      <c r="D136" s="115">
        <f>'[1]Co-Finance'!AY78</f>
        <v>107084.13999999996</v>
      </c>
      <c r="E136" s="115">
        <f>'[1]Co-Finance'!AY79</f>
        <v>205310.76</v>
      </c>
      <c r="F136" s="115">
        <f>'[1]Co-Finance'!AY80</f>
        <v>210446.34000000008</v>
      </c>
      <c r="G136" s="115">
        <f>'[1]Co-Finance'!AY81</f>
        <v>215706.84000000008</v>
      </c>
      <c r="H136" s="115">
        <f>'[1]Co-Finance'!AY82</f>
        <v>221098.60000000009</v>
      </c>
      <c r="I136" s="115">
        <f>'[1]Co-Finance'!AY83</f>
        <v>226627.30000000005</v>
      </c>
      <c r="J136" s="115">
        <f>'[1]Co-Finance'!AY84</f>
        <v>232288.94000000018</v>
      </c>
      <c r="K136" s="115">
        <f>'[1]Co-Finance'!AY85</f>
        <v>0</v>
      </c>
      <c r="L136" s="113">
        <f>SUM(D136:K136)</f>
        <v>1418562.9200000004</v>
      </c>
    </row>
    <row r="137" spans="2:13" ht="16" x14ac:dyDescent="0.2">
      <c r="B137" s="114"/>
      <c r="C137" s="124" t="s">
        <v>93</v>
      </c>
      <c r="D137" s="125">
        <f>SUM(D117:D136)</f>
        <v>3019326.2771774321</v>
      </c>
      <c r="E137" s="125">
        <f t="shared" ref="E137:K137" si="9">SUM(E117:E136)</f>
        <v>5905093.6468875334</v>
      </c>
      <c r="F137" s="125">
        <f t="shared" si="9"/>
        <v>7105770.7159774238</v>
      </c>
      <c r="G137" s="125">
        <f t="shared" si="9"/>
        <v>5704953.0361575307</v>
      </c>
      <c r="H137" s="125">
        <f t="shared" si="9"/>
        <v>5965016.9931161609</v>
      </c>
      <c r="I137" s="125">
        <f t="shared" si="9"/>
        <v>5809168.5359474327</v>
      </c>
      <c r="J137" s="125">
        <f t="shared" si="9"/>
        <v>5834361.7792736012</v>
      </c>
      <c r="K137" s="125">
        <f t="shared" si="9"/>
        <v>107460.6771050909</v>
      </c>
      <c r="L137" s="125">
        <f>SUM(D137:K137)</f>
        <v>39451151.661642209</v>
      </c>
      <c r="M137" s="126" t="s">
        <v>94</v>
      </c>
    </row>
    <row r="138" spans="2:13" ht="16" x14ac:dyDescent="0.2">
      <c r="B138" s="232" t="s">
        <v>95</v>
      </c>
      <c r="C138" s="127" t="s">
        <v>75</v>
      </c>
      <c r="D138" s="112">
        <f>'[1]Staffing SPC Total'!AB94</f>
        <v>132991.11905651513</v>
      </c>
      <c r="E138" s="112">
        <f>'[1]Staffing SPC Total'!AB95</f>
        <v>352481.08241981146</v>
      </c>
      <c r="F138" s="112">
        <f>'[1]Staffing SPC Total'!AB96</f>
        <v>360804.88006642921</v>
      </c>
      <c r="G138" s="112">
        <f>'[1]Staffing SPC Total'!AB97</f>
        <v>370325.59466873267</v>
      </c>
      <c r="H138" s="112">
        <f>'[1]Staffing SPC Total'!AB98</f>
        <v>379583.30778808234</v>
      </c>
      <c r="I138" s="112">
        <f>'[1]Staffing SPC Total'!AB99</f>
        <v>389073.087751791</v>
      </c>
      <c r="J138" s="112">
        <f>'[1]Staffing SPC Total'!AB100</f>
        <v>395789.60337924527</v>
      </c>
      <c r="K138" s="112">
        <f>'[1]Staffing SPC Total'!AB101</f>
        <v>34955.998046424247</v>
      </c>
      <c r="L138" s="113">
        <f t="shared" si="5"/>
        <v>2416004.6731770313</v>
      </c>
    </row>
    <row r="139" spans="2:13" ht="16" hidden="1" x14ac:dyDescent="0.2">
      <c r="B139" s="233"/>
      <c r="C139" s="117" t="s">
        <v>75</v>
      </c>
      <c r="D139" s="112">
        <f>'[1]Local Consultant '!AN88</f>
        <v>0</v>
      </c>
      <c r="E139" s="112">
        <f>'[1]Local Consultant '!AN89</f>
        <v>0</v>
      </c>
      <c r="F139" s="112">
        <f>'[1]Local Consultant '!AN90</f>
        <v>0</v>
      </c>
      <c r="G139" s="112">
        <f>'[1]Local Consultant '!AN91</f>
        <v>0</v>
      </c>
      <c r="H139" s="112">
        <f>'[1]Local Consultant '!AN92</f>
        <v>0</v>
      </c>
      <c r="I139" s="112">
        <f>'[1]Local Consultant '!AN93</f>
        <v>0</v>
      </c>
      <c r="J139" s="112">
        <f>'[1]Local Consultant '!AN94</f>
        <v>0</v>
      </c>
      <c r="K139" s="112">
        <f>'[1]Local Consultant '!AN95</f>
        <v>0</v>
      </c>
      <c r="L139" s="113">
        <f t="shared" si="5"/>
        <v>0</v>
      </c>
    </row>
    <row r="140" spans="2:13" ht="16" hidden="1" x14ac:dyDescent="0.2">
      <c r="B140" s="233"/>
      <c r="C140" s="117" t="s">
        <v>75</v>
      </c>
      <c r="D140" s="112">
        <f>'[1]International Consultant'!AX70</f>
        <v>0</v>
      </c>
      <c r="E140" s="112">
        <f>'[1]International Consultant'!AX71</f>
        <v>0</v>
      </c>
      <c r="F140" s="112">
        <f>'[1]International Consultant'!AX72</f>
        <v>0</v>
      </c>
      <c r="G140" s="112">
        <f>'[1]International Consultant'!AX73</f>
        <v>0</v>
      </c>
      <c r="H140" s="112">
        <f>'[1]International Consultant'!AX74</f>
        <v>0</v>
      </c>
      <c r="I140" s="112">
        <f>'[1]International Consultant'!AX75</f>
        <v>0</v>
      </c>
      <c r="J140" s="112">
        <f>'[1]International Consultant'!AX76</f>
        <v>0</v>
      </c>
      <c r="K140" s="112">
        <f>'[1]International Consultant'!AX77</f>
        <v>0</v>
      </c>
      <c r="L140" s="113">
        <f t="shared" ref="L140:L177" si="10">SUM(D140:K140)</f>
        <v>0</v>
      </c>
    </row>
    <row r="141" spans="2:13" ht="16" x14ac:dyDescent="0.2">
      <c r="B141" s="233"/>
      <c r="C141" s="117" t="s">
        <v>75</v>
      </c>
      <c r="D141" s="136">
        <f>'[1]Equipment Supplies'!AT402</f>
        <v>13333.333333333332</v>
      </c>
      <c r="L141" s="113">
        <f t="shared" si="10"/>
        <v>13333.333333333332</v>
      </c>
    </row>
    <row r="142" spans="2:13" ht="16" hidden="1" x14ac:dyDescent="0.2">
      <c r="B142" s="233"/>
      <c r="C142" s="117" t="s">
        <v>75</v>
      </c>
      <c r="D142" s="128"/>
      <c r="E142" s="128"/>
      <c r="F142" s="128"/>
      <c r="G142" s="128"/>
      <c r="H142" s="128"/>
      <c r="I142" s="128"/>
      <c r="J142" s="128"/>
      <c r="K142" s="112"/>
      <c r="L142" s="113">
        <f t="shared" si="10"/>
        <v>0</v>
      </c>
    </row>
    <row r="143" spans="2:13" ht="16" x14ac:dyDescent="0.2">
      <c r="B143" s="233"/>
      <c r="C143" s="117" t="s">
        <v>75</v>
      </c>
      <c r="D143" s="112">
        <f>[1]Workshop!AR621</f>
        <v>192.54</v>
      </c>
      <c r="E143" s="112">
        <f>[1]Workshop!AR622</f>
        <v>1554.04</v>
      </c>
      <c r="F143" s="112">
        <f>[1]Workshop!AR623</f>
        <v>1565.15</v>
      </c>
      <c r="G143" s="112">
        <f>[1]Workshop!AR624</f>
        <v>1576.52</v>
      </c>
      <c r="H143" s="112">
        <f>[1]Workshop!AR625</f>
        <v>1588.19</v>
      </c>
      <c r="I143" s="112">
        <f>[1]Workshop!AR626</f>
        <v>1600.14</v>
      </c>
      <c r="J143" s="112">
        <f>[1]Workshop!AR627</f>
        <v>316.32</v>
      </c>
      <c r="K143" s="112">
        <f>[1]Workshop!AR628</f>
        <v>0</v>
      </c>
      <c r="L143" s="113">
        <f t="shared" si="10"/>
        <v>8392.9000000000015</v>
      </c>
    </row>
    <row r="144" spans="2:13" ht="16" x14ac:dyDescent="0.2">
      <c r="B144" s="233"/>
      <c r="C144" s="117" t="s">
        <v>75</v>
      </c>
      <c r="D144" s="115">
        <f>'[1]Travel Worksheet'!BP368</f>
        <v>0</v>
      </c>
      <c r="E144" s="115">
        <f>'[1]Travel Worksheet'!BP369</f>
        <v>215165.9619026935</v>
      </c>
      <c r="F144" s="115">
        <f>'[1]Travel Worksheet'!BP370</f>
        <v>94728.76072994218</v>
      </c>
      <c r="G144" s="115">
        <f>'[1]Travel Worksheet'!BP371</f>
        <v>97096.979748190715</v>
      </c>
      <c r="H144" s="115">
        <f>'[1]Travel Worksheet'!BP372</f>
        <v>231710.20719211776</v>
      </c>
      <c r="I144" s="115">
        <f>'[1]Travel Worksheet'!BP373</f>
        <v>102012.51434794287</v>
      </c>
      <c r="J144" s="115">
        <f>'[1]Travel Worksheet'!BP374</f>
        <v>243440.53643121867</v>
      </c>
      <c r="K144" s="115">
        <f>'[1]Travel Worksheet'!BP375</f>
        <v>0</v>
      </c>
      <c r="L144" s="113">
        <f>SUM(D144:K144)</f>
        <v>984154.96035210579</v>
      </c>
    </row>
    <row r="145" spans="2:13" ht="16" x14ac:dyDescent="0.2">
      <c r="B145" s="233"/>
      <c r="C145" s="117" t="s">
        <v>75</v>
      </c>
      <c r="D145" s="112">
        <f>'[1]Professional Services'!AV205</f>
        <v>27391.29</v>
      </c>
      <c r="E145" s="112">
        <f>'[1]Professional Services'!AV206</f>
        <v>64974.75</v>
      </c>
      <c r="F145" s="112">
        <f>'[1]Professional Services'!AV207</f>
        <v>93649.32</v>
      </c>
      <c r="G145" s="112">
        <f>'[1]Professional Services'!AV208</f>
        <v>96013.78</v>
      </c>
      <c r="H145" s="112">
        <f>'[1]Professional Services'!AV209</f>
        <v>94780.39</v>
      </c>
      <c r="I145" s="112">
        <f>'[1]Professional Services'!AV210</f>
        <v>77097.97</v>
      </c>
      <c r="J145" s="112">
        <f>'[1]Professional Services'!AV211</f>
        <v>65126.55</v>
      </c>
      <c r="K145" s="112">
        <f>'[1]Professional Services'!AV212</f>
        <v>1281.7</v>
      </c>
      <c r="L145" s="113">
        <f t="shared" si="10"/>
        <v>520315.75</v>
      </c>
    </row>
    <row r="146" spans="2:13" ht="16" x14ac:dyDescent="0.2">
      <c r="B146" s="233"/>
      <c r="C146" s="117" t="s">
        <v>75</v>
      </c>
      <c r="D146" s="115">
        <f>'[1]Other Cost'!AV66</f>
        <v>19148.2</v>
      </c>
      <c r="E146" s="115">
        <f>'[1]Other Cost'!AV67</f>
        <v>53454.39</v>
      </c>
      <c r="F146" s="115">
        <f>'[1]Other Cost'!AV68</f>
        <v>42368.06</v>
      </c>
      <c r="G146" s="115">
        <f>'[1]Other Cost'!AV69</f>
        <v>61130.97</v>
      </c>
      <c r="H146" s="115">
        <f>'[1]Other Cost'!AV70</f>
        <v>42247.53</v>
      </c>
      <c r="I146" s="115">
        <f>'[1]Other Cost'!AV71</f>
        <v>41060.89</v>
      </c>
      <c r="J146" s="115">
        <f>'[1]Other Cost'!AV72</f>
        <v>37591.160000000003</v>
      </c>
      <c r="K146" s="115">
        <f>'[1]Other Cost'!AV73</f>
        <v>6400.24</v>
      </c>
      <c r="L146" s="113">
        <f>SUM(D146:K146)</f>
        <v>303401.43999999994</v>
      </c>
    </row>
    <row r="147" spans="2:13" ht="16" x14ac:dyDescent="0.2">
      <c r="B147" s="233"/>
      <c r="C147" s="117" t="s">
        <v>75</v>
      </c>
      <c r="D147" s="115">
        <f>'[1]Co-Finance'!AM78</f>
        <v>14743.41</v>
      </c>
      <c r="E147" s="115">
        <f>'[1]Co-Finance'!AM79</f>
        <v>30223.71</v>
      </c>
      <c r="F147" s="115">
        <f>'[1]Co-Finance'!AM80</f>
        <v>30979.41</v>
      </c>
      <c r="G147" s="115">
        <f>'[1]Co-Finance'!AM81</f>
        <v>31753.919999999998</v>
      </c>
      <c r="H147" s="115">
        <f>'[1]Co-Finance'!AM82</f>
        <v>32547.57</v>
      </c>
      <c r="I147" s="115">
        <f>'[1]Co-Finance'!AM83</f>
        <v>33361.35</v>
      </c>
      <c r="J147" s="115">
        <f>'[1]Co-Finance'!AM84</f>
        <v>34195.26</v>
      </c>
      <c r="K147" s="115">
        <f>'[1]Co-Finance'!AM85</f>
        <v>0</v>
      </c>
      <c r="L147" s="113">
        <f>SUM(D147:K147)</f>
        <v>207804.63</v>
      </c>
    </row>
    <row r="148" spans="2:13" ht="16" x14ac:dyDescent="0.2">
      <c r="B148" s="233"/>
      <c r="C148" s="117" t="s">
        <v>76</v>
      </c>
      <c r="D148" s="112">
        <f>'[1]Staffing CSIRO Comp A-Act2'!AA32+'[1]Staffing National'!AA119+'[1]Staffing CSIRO Comp B'!AA44+'[1]Staffing FFA Comp B'!AA50+'[1]Staffing FFA Comp A-Act2'!AA38</f>
        <v>168021.89</v>
      </c>
      <c r="E148" s="112">
        <f>'[1]Staffing CSIRO Comp A-Act2'!AA33+'[1]Staffing National'!AA120+'[1]Staffing CSIRO Comp B'!AA45+'[1]Staffing FFA Comp B'!AA51+'[1]Staffing FFA Comp A-Act2'!AA39</f>
        <v>322200.15000000002</v>
      </c>
      <c r="F148" s="112">
        <f>'[1]Staffing CSIRO Comp A-Act2'!AA34+'[1]Staffing National'!AA121+'[1]Staffing CSIRO Comp B'!AA46+'[1]Staffing FFA Comp B'!AA52+'[1]Staffing FFA Comp A-Act2'!AA40</f>
        <v>330256.19</v>
      </c>
      <c r="G148" s="112">
        <f>'[1]Staffing CSIRO Comp A-Act2'!AA35+'[1]Staffing National'!AA122+'[1]Staffing CSIRO Comp B'!AA47+'[1]Staffing FFA Comp B'!AA53+'[1]Staffing FFA Comp A-Act2'!AA41</f>
        <v>338511.55</v>
      </c>
      <c r="H148" s="112">
        <f>'[1]Staffing CSIRO Comp A-Act2'!AA36+'[1]Staffing National'!AA123+'[1]Staffing CSIRO Comp B'!AA48+'[1]Staffing FFA Comp B'!AA54+'[1]Staffing FFA Comp A-Act2'!AA42</f>
        <v>346974.71999999997</v>
      </c>
      <c r="I148" s="112">
        <f>'[1]Staffing CSIRO Comp A-Act2'!AA37+'[1]Staffing National'!AA124+'[1]Staffing CSIRO Comp B'!AA49+'[1]Staffing FFA Comp B'!AA55+'[1]Staffing FFA Comp A-Act2'!AA43</f>
        <v>355649.02</v>
      </c>
      <c r="J148" s="112">
        <f>'[1]Staffing CSIRO Comp A-Act2'!AA38+'[1]Staffing National'!AA125+'[1]Staffing CSIRO Comp B'!AA50+'[1]Staffing FFA Comp B'!AA56+'[1]Staffing FFA Comp A-Act2'!AA44</f>
        <v>364540.28</v>
      </c>
      <c r="K148" s="112">
        <f>'[1]Staffing CSIRO Comp A-Act2'!AA39+'[1]Staffing National'!AA126+'[1]Staffing CSIRO Comp B'!AA51+'[1]Staffing FFA Comp B'!AA57+'[1]Staffing FFA Comp A-Act2'!AA45</f>
        <v>0</v>
      </c>
      <c r="L148" s="113">
        <f t="shared" si="10"/>
        <v>2226153.7999999998</v>
      </c>
    </row>
    <row r="149" spans="2:13" ht="16" hidden="1" x14ac:dyDescent="0.2">
      <c r="B149" s="233"/>
      <c r="C149" s="117" t="s">
        <v>76</v>
      </c>
      <c r="D149" s="115">
        <f>'[1]Local Consultant '!BA88</f>
        <v>0</v>
      </c>
      <c r="E149" s="115">
        <f>'[1]Local Consultant '!BA89</f>
        <v>0</v>
      </c>
      <c r="F149" s="115">
        <f>'[1]Local Consultant '!BA90</f>
        <v>0</v>
      </c>
      <c r="G149" s="115">
        <f>'[1]Local Consultant '!BA91</f>
        <v>0</v>
      </c>
      <c r="H149" s="115">
        <f>'[1]Local Consultant '!BA92</f>
        <v>0</v>
      </c>
      <c r="I149" s="115">
        <f>'[1]Local Consultant '!BA93</f>
        <v>0</v>
      </c>
      <c r="J149" s="115">
        <f>'[1]Local Consultant '!BA94</f>
        <v>0</v>
      </c>
      <c r="K149" s="115">
        <f>'[1]Local Consultant '!BA95</f>
        <v>0</v>
      </c>
      <c r="L149" s="113">
        <f t="shared" si="10"/>
        <v>0</v>
      </c>
    </row>
    <row r="150" spans="2:13" ht="16" hidden="1" x14ac:dyDescent="0.2">
      <c r="B150" s="233"/>
      <c r="C150" s="117" t="s">
        <v>76</v>
      </c>
      <c r="D150" s="128">
        <f>'[1]International Consultant'!BK70</f>
        <v>0</v>
      </c>
      <c r="E150" s="128">
        <f>'[1]International Consultant'!BK71</f>
        <v>0</v>
      </c>
      <c r="F150" s="128">
        <f>'[1]International Consultant'!BK72</f>
        <v>0</v>
      </c>
      <c r="G150" s="128">
        <f>'[1]International Consultant'!BK73</f>
        <v>0</v>
      </c>
      <c r="H150" s="128">
        <f>'[1]International Consultant'!BK74</f>
        <v>0</v>
      </c>
      <c r="I150" s="128">
        <f>'[1]International Consultant'!BK75</f>
        <v>0</v>
      </c>
      <c r="J150" s="128">
        <f>'[1]International Consultant'!BK76</f>
        <v>0</v>
      </c>
      <c r="K150" s="128">
        <f>'[1]International Consultant'!BK77</f>
        <v>0</v>
      </c>
      <c r="L150" s="113">
        <f t="shared" si="10"/>
        <v>0</v>
      </c>
    </row>
    <row r="151" spans="2:13" ht="16" hidden="1" x14ac:dyDescent="0.2">
      <c r="B151" s="233"/>
      <c r="C151" s="117" t="s">
        <v>76</v>
      </c>
      <c r="D151" s="128"/>
      <c r="E151" s="128"/>
      <c r="F151" s="128"/>
      <c r="G151" s="128"/>
      <c r="H151" s="128"/>
      <c r="I151" s="128"/>
      <c r="J151" s="128"/>
      <c r="K151" s="128"/>
      <c r="L151" s="113">
        <f t="shared" si="10"/>
        <v>0</v>
      </c>
    </row>
    <row r="152" spans="2:13" ht="16" hidden="1" x14ac:dyDescent="0.2">
      <c r="B152" s="233"/>
      <c r="C152" s="117" t="s">
        <v>76</v>
      </c>
      <c r="D152" s="128"/>
      <c r="E152" s="128"/>
      <c r="F152" s="128"/>
      <c r="G152" s="128"/>
      <c r="H152" s="128"/>
      <c r="I152" s="128"/>
      <c r="J152" s="128"/>
      <c r="K152" s="112"/>
      <c r="L152" s="113">
        <f t="shared" si="10"/>
        <v>0</v>
      </c>
    </row>
    <row r="153" spans="2:13" ht="16" hidden="1" x14ac:dyDescent="0.2">
      <c r="B153" s="233"/>
      <c r="C153" s="117" t="s">
        <v>76</v>
      </c>
      <c r="D153" s="112">
        <f>[1]Workshop!BE621</f>
        <v>-6.0686523028152806E-4</v>
      </c>
      <c r="E153" s="112">
        <f>[1]Workshop!BE622</f>
        <v>3.9754170627475105E-3</v>
      </c>
      <c r="F153" s="112">
        <f>[1]Workshop!BE623</f>
        <v>-4.9251975108290935E-3</v>
      </c>
      <c r="G153" s="112">
        <f>[1]Workshop!BE624</f>
        <v>3.7016725514149584E-3</v>
      </c>
      <c r="H153" s="112">
        <f>[1]Workshop!BE625</f>
        <v>-3.2057856349183567E-3</v>
      </c>
      <c r="I153" s="112">
        <f>[1]Workshop!BE626</f>
        <v>1.4640697243066825E-3</v>
      </c>
      <c r="J153" s="112">
        <f>[1]Workshop!BE627</f>
        <v>2.778200553507304E-3</v>
      </c>
      <c r="K153" s="112">
        <f>[1]Workshop!BE628</f>
        <v>0</v>
      </c>
      <c r="L153" s="113">
        <f t="shared" si="10"/>
        <v>3.1815115159474772E-3</v>
      </c>
    </row>
    <row r="154" spans="2:13" ht="16" x14ac:dyDescent="0.2">
      <c r="B154" s="233"/>
      <c r="C154" s="117" t="s">
        <v>76</v>
      </c>
      <c r="D154" s="115">
        <f>'[1]Travel Worksheet'!CC368</f>
        <v>0</v>
      </c>
      <c r="E154" s="115">
        <f>'[1]Travel Worksheet'!CC369</f>
        <v>86403.02162894432</v>
      </c>
      <c r="F154" s="115">
        <f>'[1]Travel Worksheet'!CC370</f>
        <v>88563.097169667919</v>
      </c>
      <c r="G154" s="115">
        <f>'[1]Travel Worksheet'!CC371</f>
        <v>90777.174598909638</v>
      </c>
      <c r="H154" s="115">
        <f>'[1]Travel Worksheet'!CC372</f>
        <v>93046.603963882371</v>
      </c>
      <c r="I154" s="115">
        <f>'[1]Travel Worksheet'!CC373</f>
        <v>70274.671941142733</v>
      </c>
      <c r="J154" s="115">
        <f>'[1]Travel Worksheet'!CC374</f>
        <v>0</v>
      </c>
      <c r="K154" s="115">
        <f>'[1]Travel Worksheet'!CC375</f>
        <v>0</v>
      </c>
      <c r="L154" s="113">
        <f>SUM(D154:K154)</f>
        <v>429064.56930254702</v>
      </c>
    </row>
    <row r="155" spans="2:13" ht="16" x14ac:dyDescent="0.2">
      <c r="B155" s="233"/>
      <c r="C155" s="117" t="s">
        <v>76</v>
      </c>
      <c r="D155" s="112">
        <f>'[1]Professional Services'!BI205</f>
        <v>-3.4622181083250325E-3</v>
      </c>
      <c r="E155" s="112">
        <f>'[1]Professional Services'!BI206</f>
        <v>0</v>
      </c>
      <c r="F155" s="112">
        <f>'[1]Professional Services'!BI207</f>
        <v>48825</v>
      </c>
      <c r="G155" s="112">
        <f>'[1]Professional Services'!BI208</f>
        <v>48825</v>
      </c>
      <c r="H155" s="112">
        <f>'[1]Professional Services'!BI209</f>
        <v>29555</v>
      </c>
      <c r="I155" s="112">
        <f>'[1]Professional Services'!BI210</f>
        <v>24455</v>
      </c>
      <c r="J155" s="112">
        <f>'[1]Professional Services'!BI211</f>
        <v>0</v>
      </c>
      <c r="K155" s="112">
        <f>'[1]Professional Services'!BI212</f>
        <v>0</v>
      </c>
      <c r="L155" s="113">
        <f t="shared" si="10"/>
        <v>151659.9965377819</v>
      </c>
    </row>
    <row r="156" spans="2:13" ht="16" hidden="1" x14ac:dyDescent="0.2">
      <c r="B156" s="233"/>
      <c r="C156" s="117" t="s">
        <v>76</v>
      </c>
      <c r="D156" s="112">
        <f>'[1]Other Cost'!BI66</f>
        <v>0</v>
      </c>
      <c r="E156" s="112">
        <f>'[1]Other Cost'!BI67</f>
        <v>0</v>
      </c>
      <c r="F156" s="112">
        <f>'[1]Other Cost'!BI68</f>
        <v>0</v>
      </c>
      <c r="G156" s="112">
        <f>'[1]Other Cost'!BI69</f>
        <v>0</v>
      </c>
      <c r="H156" s="112">
        <f>'[1]Other Cost'!BI70</f>
        <v>0</v>
      </c>
      <c r="I156" s="112">
        <f>'[1]Other Cost'!BI71</f>
        <v>0</v>
      </c>
      <c r="J156" s="112">
        <f>'[1]Other Cost'!BI72</f>
        <v>0</v>
      </c>
      <c r="K156" s="112">
        <f>'[1]Other Cost'!BI73</f>
        <v>0</v>
      </c>
      <c r="L156" s="113">
        <f t="shared" si="10"/>
        <v>0</v>
      </c>
    </row>
    <row r="157" spans="2:13" ht="16" x14ac:dyDescent="0.2">
      <c r="B157" s="233"/>
      <c r="C157" s="117" t="s">
        <v>76</v>
      </c>
      <c r="D157" s="138">
        <f>'[1]Co-Finance'!AZ78</f>
        <v>41415.86</v>
      </c>
      <c r="E157" s="138">
        <f>'[1]Co-Finance'!AZ79</f>
        <v>57316.24</v>
      </c>
      <c r="F157" s="138">
        <f>'[1]Co-Finance'!AZ80</f>
        <v>58749.66</v>
      </c>
      <c r="G157" s="138">
        <f>'[1]Co-Finance'!AZ81</f>
        <v>60218.16</v>
      </c>
      <c r="H157" s="138">
        <f>'[1]Co-Finance'!AZ82</f>
        <v>61723.4</v>
      </c>
      <c r="I157" s="138">
        <f>'[1]Co-Finance'!AZ83</f>
        <v>63266.700000000004</v>
      </c>
      <c r="J157" s="138">
        <f>'[1]Co-Finance'!AZ84</f>
        <v>64848.060000000005</v>
      </c>
      <c r="K157" s="138">
        <f>'[1]Co-Finance'!AZ85</f>
        <v>0</v>
      </c>
      <c r="L157" s="113">
        <f>SUM(D157:K157)</f>
        <v>407538.08</v>
      </c>
    </row>
    <row r="158" spans="2:13" ht="16" x14ac:dyDescent="0.2">
      <c r="B158" s="114"/>
      <c r="C158" s="124" t="s">
        <v>96</v>
      </c>
      <c r="D158" s="125">
        <f>SUM(D138:D157)</f>
        <v>417237.63832076517</v>
      </c>
      <c r="E158" s="125">
        <f t="shared" ref="E158:K158" si="11">SUM(E138:E157)</f>
        <v>1183773.3499268664</v>
      </c>
      <c r="F158" s="125">
        <f t="shared" si="11"/>
        <v>1150489.523040842</v>
      </c>
      <c r="G158" s="125">
        <f t="shared" si="11"/>
        <v>1196229.6527175053</v>
      </c>
      <c r="H158" s="125">
        <f t="shared" si="11"/>
        <v>1313756.9157382969</v>
      </c>
      <c r="I158" s="125">
        <f t="shared" si="11"/>
        <v>1157851.3455049463</v>
      </c>
      <c r="J158" s="125">
        <f t="shared" si="11"/>
        <v>1205847.7725886649</v>
      </c>
      <c r="K158" s="125">
        <f t="shared" si="11"/>
        <v>42637.938046424242</v>
      </c>
      <c r="L158" s="125">
        <f>SUM(D158:K158)</f>
        <v>7667824.1358843111</v>
      </c>
      <c r="M158" s="126" t="s">
        <v>97</v>
      </c>
    </row>
    <row r="159" spans="2:13" ht="16" x14ac:dyDescent="0.2">
      <c r="B159" s="232" t="s">
        <v>98</v>
      </c>
      <c r="C159" s="127" t="s">
        <v>75</v>
      </c>
      <c r="D159" s="112">
        <f>'[1]Staffing SPC Total'!AC94</f>
        <v>211233.40848484845</v>
      </c>
      <c r="E159" s="112">
        <f>'[1]Staffing SPC Total'!AC95</f>
        <v>632555.59666666668</v>
      </c>
      <c r="F159" s="112">
        <f>'[1]Staffing SPC Total'!AC96</f>
        <v>648371.78363636369</v>
      </c>
      <c r="G159" s="112">
        <f>'[1]Staffing SPC Total'!AC97</f>
        <v>664579.25787878758</v>
      </c>
      <c r="H159" s="112">
        <f>'[1]Staffing SPC Total'!AC98</f>
        <v>681192.4096969699</v>
      </c>
      <c r="I159" s="112">
        <f>'[1]Staffing SPC Total'!AC99</f>
        <v>698223.31454545469</v>
      </c>
      <c r="J159" s="112">
        <f>'[1]Staffing SPC Total'!AC100</f>
        <v>712557.88121212111</v>
      </c>
      <c r="K159" s="112">
        <f>'[1]Staffing SPC Total'!AC101</f>
        <v>60412.197575757571</v>
      </c>
      <c r="L159" s="113">
        <f t="shared" si="10"/>
        <v>4309125.8496969687</v>
      </c>
    </row>
    <row r="160" spans="2:13" ht="16" hidden="1" x14ac:dyDescent="0.2">
      <c r="B160" s="233"/>
      <c r="C160" s="117" t="s">
        <v>75</v>
      </c>
      <c r="D160" s="112">
        <f>'[1]Local Consultant '!AO88</f>
        <v>0</v>
      </c>
      <c r="E160" s="112">
        <f>'[1]Local Consultant '!AO89</f>
        <v>0</v>
      </c>
      <c r="F160" s="112">
        <f>'[1]Local Consultant '!AO90</f>
        <v>0</v>
      </c>
      <c r="G160" s="112">
        <f>'[1]Local Consultant '!AO91</f>
        <v>0</v>
      </c>
      <c r="H160" s="112">
        <f>'[1]Local Consultant '!AO92</f>
        <v>0</v>
      </c>
      <c r="I160" s="112">
        <f>'[1]Local Consultant '!AO93</f>
        <v>0</v>
      </c>
      <c r="J160" s="112">
        <f>'[1]Local Consultant '!AO94</f>
        <v>0</v>
      </c>
      <c r="K160" s="112">
        <f>'[1]Local Consultant '!AO95</f>
        <v>0</v>
      </c>
      <c r="L160" s="113">
        <f t="shared" si="10"/>
        <v>0</v>
      </c>
    </row>
    <row r="161" spans="2:12" ht="16" hidden="1" x14ac:dyDescent="0.2">
      <c r="B161" s="233"/>
      <c r="C161" s="117" t="s">
        <v>75</v>
      </c>
      <c r="D161" s="128">
        <f>'[1]International Consultant'!AY70</f>
        <v>0</v>
      </c>
      <c r="E161" s="128">
        <f>'[1]International Consultant'!AY71</f>
        <v>0</v>
      </c>
      <c r="F161" s="128">
        <f>'[1]International Consultant'!AY72</f>
        <v>0</v>
      </c>
      <c r="G161" s="128">
        <f>'[1]International Consultant'!AY73</f>
        <v>0</v>
      </c>
      <c r="H161" s="128">
        <f>'[1]International Consultant'!AY74</f>
        <v>0</v>
      </c>
      <c r="I161" s="128">
        <f>'[1]International Consultant'!AY75</f>
        <v>0</v>
      </c>
      <c r="J161" s="128">
        <f>'[1]International Consultant'!AY76</f>
        <v>0</v>
      </c>
      <c r="K161" s="128">
        <f>'[1]International Consultant'!AY77</f>
        <v>0</v>
      </c>
      <c r="L161" s="113">
        <f t="shared" si="10"/>
        <v>0</v>
      </c>
    </row>
    <row r="162" spans="2:12" ht="16" x14ac:dyDescent="0.2">
      <c r="B162" s="233"/>
      <c r="C162" s="117" t="s">
        <v>75</v>
      </c>
      <c r="D162" s="115">
        <f>'[1]Equipment Supplies'!AU402</f>
        <v>13333.333333333332</v>
      </c>
      <c r="E162" s="128"/>
      <c r="F162" s="128"/>
      <c r="G162" s="128"/>
      <c r="H162" s="128"/>
      <c r="I162" s="128"/>
      <c r="J162" s="128"/>
      <c r="K162" s="112"/>
      <c r="L162" s="113">
        <f t="shared" si="10"/>
        <v>13333.333333333332</v>
      </c>
    </row>
    <row r="163" spans="2:12" ht="16" hidden="1" x14ac:dyDescent="0.2">
      <c r="B163" s="233"/>
      <c r="C163" s="117" t="s">
        <v>75</v>
      </c>
      <c r="D163" s="128"/>
      <c r="E163" s="128"/>
      <c r="F163" s="128"/>
      <c r="G163" s="128"/>
      <c r="H163" s="128"/>
      <c r="I163" s="128"/>
      <c r="J163" s="112"/>
      <c r="K163" s="112"/>
      <c r="L163" s="113">
        <f t="shared" si="10"/>
        <v>0</v>
      </c>
    </row>
    <row r="164" spans="2:12" ht="16" hidden="1" x14ac:dyDescent="0.2">
      <c r="B164" s="233"/>
      <c r="C164" s="117" t="s">
        <v>75</v>
      </c>
      <c r="D164" s="115"/>
      <c r="E164" s="115"/>
      <c r="F164" s="115"/>
      <c r="G164" s="115"/>
      <c r="H164" s="115"/>
      <c r="I164" s="112"/>
      <c r="J164" s="112"/>
      <c r="K164" s="112"/>
      <c r="L164" s="113">
        <f t="shared" si="10"/>
        <v>0</v>
      </c>
    </row>
    <row r="165" spans="2:12" ht="16" x14ac:dyDescent="0.2">
      <c r="B165" s="233"/>
      <c r="C165" s="117" t="s">
        <v>75</v>
      </c>
      <c r="D165" s="115">
        <f>'[1]Travel Worksheet'!BQ368</f>
        <v>0</v>
      </c>
      <c r="E165" s="115">
        <f>'[1]Travel Worksheet'!BQ369</f>
        <v>17399.692900244863</v>
      </c>
      <c r="F165" s="115">
        <f>'[1]Travel Worksheet'!BQ370</f>
        <v>17834.685222750984</v>
      </c>
      <c r="G165" s="115">
        <f>'[1]Travel Worksheet'!BQ371</f>
        <v>18280.552353319759</v>
      </c>
      <c r="H165" s="115">
        <f>'[1]Travel Worksheet'!BQ372</f>
        <v>18737.566162152751</v>
      </c>
      <c r="I165" s="115">
        <f>'[1]Travel Worksheet'!BQ373</f>
        <v>19206.005316206567</v>
      </c>
      <c r="J165" s="115">
        <f>'[1]Travel Worksheet'!BQ374</f>
        <v>19686.155449111731</v>
      </c>
      <c r="K165" s="115">
        <f>'[1]Travel Worksheet'!BQ375</f>
        <v>0</v>
      </c>
      <c r="L165" s="113">
        <f>SUM(D165:K165)</f>
        <v>111144.65740378665</v>
      </c>
    </row>
    <row r="166" spans="2:12" ht="16" x14ac:dyDescent="0.2">
      <c r="B166" s="233"/>
      <c r="C166" s="117" t="s">
        <v>75</v>
      </c>
      <c r="D166" s="112">
        <f>'[1]Professional Services'!AW205</f>
        <v>27391.29</v>
      </c>
      <c r="E166" s="112">
        <f>'[1]Professional Services'!AW206</f>
        <v>59599.75</v>
      </c>
      <c r="F166" s="112">
        <f>'[1]Professional Services'!AW207</f>
        <v>74149.320000000007</v>
      </c>
      <c r="G166" s="112">
        <f>'[1]Professional Services'!AW208</f>
        <v>76513.78</v>
      </c>
      <c r="H166" s="112">
        <f>'[1]Professional Services'!AW209</f>
        <v>75280.39</v>
      </c>
      <c r="I166" s="112">
        <f>'[1]Professional Services'!AW210</f>
        <v>66347.97</v>
      </c>
      <c r="J166" s="112">
        <f>'[1]Professional Services'!AW211</f>
        <v>59751.55</v>
      </c>
      <c r="K166" s="112">
        <f>'[1]Professional Services'!AW212</f>
        <v>1281.7</v>
      </c>
      <c r="L166" s="113">
        <f t="shared" si="10"/>
        <v>440315.75</v>
      </c>
    </row>
    <row r="167" spans="2:12" ht="16" x14ac:dyDescent="0.2">
      <c r="B167" s="233"/>
      <c r="C167" s="117" t="s">
        <v>75</v>
      </c>
      <c r="D167" s="115">
        <f>'[1]Other Cost'!AW66</f>
        <v>35724.04</v>
      </c>
      <c r="E167" s="115">
        <f>'[1]Other Cost'!AW67</f>
        <v>101146.36</v>
      </c>
      <c r="F167" s="115">
        <f>'[1]Other Cost'!AW68</f>
        <v>79257.490000000005</v>
      </c>
      <c r="G167" s="115">
        <f>'[1]Other Cost'!AW69</f>
        <v>116036.6</v>
      </c>
      <c r="H167" s="115">
        <f>'[1]Other Cost'!AW70</f>
        <v>78817.100000000006</v>
      </c>
      <c r="I167" s="115">
        <f>'[1]Other Cost'!AW71</f>
        <v>76379.13</v>
      </c>
      <c r="J167" s="115">
        <f>'[1]Other Cost'!AW72</f>
        <v>69450.960000000006</v>
      </c>
      <c r="K167" s="115">
        <f>'[1]Other Cost'!AW73</f>
        <v>12580.05</v>
      </c>
      <c r="L167" s="113">
        <f>SUM(D167:K167)</f>
        <v>569391.73</v>
      </c>
    </row>
    <row r="168" spans="2:12" ht="16" x14ac:dyDescent="0.2">
      <c r="B168" s="233"/>
      <c r="C168" s="117" t="s">
        <v>75</v>
      </c>
      <c r="D168" s="115">
        <f>'[1]Co-Finance'!AN78</f>
        <v>14743.41</v>
      </c>
      <c r="E168" s="115">
        <f>'[1]Co-Finance'!AN79</f>
        <v>30223.71</v>
      </c>
      <c r="F168" s="115">
        <f>'[1]Co-Finance'!AN80</f>
        <v>30979.41</v>
      </c>
      <c r="G168" s="115">
        <f>'[1]Co-Finance'!AN81</f>
        <v>31753.919999999998</v>
      </c>
      <c r="H168" s="115">
        <f>'[1]Co-Finance'!AN82</f>
        <v>32547.57</v>
      </c>
      <c r="I168" s="115">
        <f>'[1]Co-Finance'!AN83</f>
        <v>33361.35</v>
      </c>
      <c r="J168" s="115">
        <f>'[1]Co-Finance'!AN84</f>
        <v>34195.26</v>
      </c>
      <c r="K168" s="115">
        <f>'[1]Co-Finance'!AN85</f>
        <v>0</v>
      </c>
      <c r="L168" s="113">
        <f>SUM(D168:K168)</f>
        <v>207804.63</v>
      </c>
    </row>
    <row r="169" spans="2:12" ht="16" x14ac:dyDescent="0.2">
      <c r="B169" s="233"/>
      <c r="C169" s="117" t="s">
        <v>76</v>
      </c>
      <c r="D169" s="112">
        <f>'[1]Staffing CSIRO Comp A-Act2'!AB32+'[1]Staffing National'!AB119+'[1]Staffing CSIRO Comp B'!AB44+'[1]Staffing FFA Comp B'!AB50+'[1]Staffing FFA Comp A-Act2'!AB38</f>
        <v>46492.79</v>
      </c>
      <c r="E169" s="112">
        <f>'[1]Staffing CSIRO Comp A-Act2'!AB33+'[1]Staffing National'!AB120+'[1]Staffing CSIRO Comp B'!AB45+'[1]Staffing FFA Comp B'!AB51+'[1]Staffing FFA Comp A-Act2'!AB39</f>
        <v>168908.99</v>
      </c>
      <c r="F169" s="112">
        <f>'[1]Staffing CSIRO Comp A-Act2'!AB34+'[1]Staffing National'!AB121+'[1]Staffing CSIRO Comp B'!AB46+'[1]Staffing FFA Comp B'!AB52+'[1]Staffing FFA Comp A-Act2'!AB40</f>
        <v>173132.15</v>
      </c>
      <c r="G169" s="112">
        <f>'[1]Staffing CSIRO Comp A-Act2'!AB35+'[1]Staffing National'!AB122+'[1]Staffing CSIRO Comp B'!AB47+'[1]Staffing FFA Comp B'!AB53+'[1]Staffing FFA Comp A-Act2'!AB41</f>
        <v>177460.41</v>
      </c>
      <c r="H169" s="112">
        <f>'[1]Staffing CSIRO Comp A-Act2'!AB36+'[1]Staffing National'!AB123+'[1]Staffing CSIRO Comp B'!AB48+'[1]Staffing FFA Comp B'!AB54+'[1]Staffing FFA Comp A-Act2'!AB42</f>
        <v>181896.32000000001</v>
      </c>
      <c r="I169" s="112">
        <f>'[1]Staffing CSIRO Comp A-Act2'!AB37+'[1]Staffing National'!AB124+'[1]Staffing CSIRO Comp B'!AB49+'[1]Staffing FFA Comp B'!AB55+'[1]Staffing FFA Comp A-Act2'!AB43</f>
        <v>186444.56</v>
      </c>
      <c r="J169" s="112">
        <f>'[1]Staffing CSIRO Comp A-Act2'!AB38+'[1]Staffing National'!AB125+'[1]Staffing CSIRO Comp B'!AB50+'[1]Staffing FFA Comp B'!AB56+'[1]Staffing FFA Comp A-Act2'!AB44</f>
        <v>191105</v>
      </c>
      <c r="K169" s="112">
        <f>'[1]Staffing CSIRO Comp A-Act2'!AB39+'[1]Staffing National'!AB126+'[1]Staffing CSIRO Comp B'!AB51+'[1]Staffing FFA Comp B'!AB57+'[1]Staffing FFA Comp A-Act2'!AB45</f>
        <v>0</v>
      </c>
      <c r="L169" s="113">
        <f t="shared" si="10"/>
        <v>1125440.22</v>
      </c>
    </row>
    <row r="170" spans="2:12" ht="16" hidden="1" x14ac:dyDescent="0.2">
      <c r="B170" s="233"/>
      <c r="C170" s="117" t="s">
        <v>76</v>
      </c>
      <c r="D170" s="128">
        <f>'[1]Local Consultant '!BB88</f>
        <v>0</v>
      </c>
      <c r="E170" s="128">
        <f>'[1]Local Consultant '!BB89</f>
        <v>0</v>
      </c>
      <c r="F170" s="128">
        <f>'[1]Local Consultant '!BB90</f>
        <v>0</v>
      </c>
      <c r="G170" s="128">
        <f>'[1]Local Consultant '!BB91</f>
        <v>0</v>
      </c>
      <c r="H170" s="128">
        <f>'[1]Local Consultant '!BB92</f>
        <v>0</v>
      </c>
      <c r="I170" s="128">
        <f>'[1]Local Consultant '!BB93</f>
        <v>0</v>
      </c>
      <c r="J170" s="128">
        <f>'[1]Local Consultant '!BB94</f>
        <v>0</v>
      </c>
      <c r="K170" s="128">
        <f>'[1]Local Consultant '!BB95</f>
        <v>0</v>
      </c>
      <c r="L170" s="113">
        <f t="shared" si="10"/>
        <v>0</v>
      </c>
    </row>
    <row r="171" spans="2:12" ht="16" hidden="1" x14ac:dyDescent="0.2">
      <c r="B171" s="233"/>
      <c r="C171" s="117" t="s">
        <v>76</v>
      </c>
      <c r="D171" s="128">
        <f>'[1]International Consultant'!BL70</f>
        <v>0</v>
      </c>
      <c r="E171" s="128">
        <f>'[1]International Consultant'!BL71</f>
        <v>0</v>
      </c>
      <c r="F171" s="128">
        <f>'[1]International Consultant'!BL72</f>
        <v>0</v>
      </c>
      <c r="G171" s="128">
        <f>'[1]International Consultant'!BL73</f>
        <v>0</v>
      </c>
      <c r="H171" s="128">
        <f>'[1]International Consultant'!BL74</f>
        <v>0</v>
      </c>
      <c r="I171" s="128">
        <f>'[1]International Consultant'!BL75</f>
        <v>0</v>
      </c>
      <c r="J171" s="128">
        <f>'[1]International Consultant'!BL76</f>
        <v>0</v>
      </c>
      <c r="K171" s="128">
        <f>'[1]International Consultant'!BL77</f>
        <v>0</v>
      </c>
      <c r="L171" s="113">
        <f t="shared" si="10"/>
        <v>0</v>
      </c>
    </row>
    <row r="172" spans="2:12" ht="16" hidden="1" x14ac:dyDescent="0.2">
      <c r="B172" s="233"/>
      <c r="C172" s="117" t="s">
        <v>76</v>
      </c>
      <c r="D172" s="128"/>
      <c r="E172" s="128"/>
      <c r="F172" s="128"/>
      <c r="G172" s="128"/>
      <c r="H172" s="128"/>
      <c r="I172" s="128"/>
      <c r="J172" s="128"/>
      <c r="K172" s="112"/>
      <c r="L172" s="113">
        <f t="shared" si="10"/>
        <v>0</v>
      </c>
    </row>
    <row r="173" spans="2:12" ht="16" hidden="1" x14ac:dyDescent="0.2">
      <c r="B173" s="233"/>
      <c r="C173" s="117" t="s">
        <v>76</v>
      </c>
      <c r="D173" s="128"/>
      <c r="E173" s="128"/>
      <c r="F173" s="128"/>
      <c r="G173" s="128"/>
      <c r="H173" s="128"/>
      <c r="I173" s="128"/>
      <c r="J173" s="112"/>
      <c r="K173" s="112"/>
      <c r="L173" s="113">
        <f t="shared" si="10"/>
        <v>0</v>
      </c>
    </row>
    <row r="174" spans="2:12" ht="16" hidden="1" x14ac:dyDescent="0.2">
      <c r="B174" s="233"/>
      <c r="C174" s="117" t="s">
        <v>76</v>
      </c>
      <c r="D174" s="128"/>
      <c r="E174" s="128"/>
      <c r="F174" s="128"/>
      <c r="G174" s="128"/>
      <c r="H174" s="128"/>
      <c r="I174" s="112"/>
      <c r="J174" s="112"/>
      <c r="K174" s="112"/>
      <c r="L174" s="113">
        <f t="shared" si="10"/>
        <v>0</v>
      </c>
    </row>
    <row r="175" spans="2:12" ht="16" x14ac:dyDescent="0.2">
      <c r="B175" s="233"/>
      <c r="C175" s="117" t="s">
        <v>76</v>
      </c>
      <c r="D175" s="115">
        <f>'[1]Travel Worksheet'!CD368</f>
        <v>0</v>
      </c>
      <c r="E175" s="115">
        <f>'[1]Travel Worksheet'!CD369</f>
        <v>29617.914320209489</v>
      </c>
      <c r="F175" s="115">
        <f>'[1]Travel Worksheet'!CD370</f>
        <v>30358.362178214713</v>
      </c>
      <c r="G175" s="115">
        <f>'[1]Travel Worksheet'!CD371</f>
        <v>31117.321232670085</v>
      </c>
      <c r="H175" s="115">
        <f>'[1]Travel Worksheet'!CD372</f>
        <v>31895.254263486833</v>
      </c>
      <c r="I175" s="115">
        <f>'[1]Travel Worksheet'!CD373</f>
        <v>32692.635620074005</v>
      </c>
      <c r="J175" s="115">
        <f>'[1]Travel Worksheet'!CD374</f>
        <v>33509.951510575847</v>
      </c>
      <c r="K175" s="115">
        <f>'[1]Travel Worksheet'!CD375</f>
        <v>0</v>
      </c>
      <c r="L175" s="113">
        <f>SUM(D175:K175)</f>
        <v>189191.43912523094</v>
      </c>
    </row>
    <row r="176" spans="2:12" ht="16" x14ac:dyDescent="0.2">
      <c r="B176" s="233"/>
      <c r="C176" s="117" t="s">
        <v>76</v>
      </c>
      <c r="D176" s="115">
        <f>'[1]Professional Services'!BJ205</f>
        <v>-3.4622181083250325E-3</v>
      </c>
      <c r="E176" s="115">
        <f>'[1]Professional Services'!BJ206</f>
        <v>0</v>
      </c>
      <c r="F176" s="115">
        <f>'[1]Professional Services'!BJ207</f>
        <v>24412.5</v>
      </c>
      <c r="G176" s="115">
        <f>'[1]Professional Services'!BJ208</f>
        <v>24412.5</v>
      </c>
      <c r="H176" s="115">
        <f>'[1]Professional Services'!BJ209</f>
        <v>14777.5</v>
      </c>
      <c r="I176" s="115">
        <f>'[1]Professional Services'!BJ210</f>
        <v>12227.5</v>
      </c>
      <c r="J176" s="115">
        <f>'[1]Professional Services'!BJ211</f>
        <v>0</v>
      </c>
      <c r="K176" s="115">
        <f>'[1]Professional Services'!BJ212</f>
        <v>0</v>
      </c>
      <c r="L176" s="113">
        <f t="shared" si="10"/>
        <v>75829.996537781888</v>
      </c>
    </row>
    <row r="177" spans="2:13" ht="16" hidden="1" x14ac:dyDescent="0.2">
      <c r="B177" s="233"/>
      <c r="C177" s="117" t="s">
        <v>76</v>
      </c>
      <c r="D177" s="115">
        <f>'[1]Other Cost'!BJ66</f>
        <v>0</v>
      </c>
      <c r="E177" s="115">
        <f>'[1]Other Cost'!BJ67</f>
        <v>0</v>
      </c>
      <c r="F177" s="115">
        <f>'[1]Other Cost'!BJ68</f>
        <v>0</v>
      </c>
      <c r="G177" s="115">
        <f>'[1]Other Cost'!BJ69</f>
        <v>0</v>
      </c>
      <c r="H177" s="115">
        <f>'[1]Other Cost'!BJ70</f>
        <v>0</v>
      </c>
      <c r="I177" s="115">
        <f>'[1]Other Cost'!BJ71</f>
        <v>0</v>
      </c>
      <c r="J177" s="115">
        <f>'[1]Other Cost'!BJ72</f>
        <v>0</v>
      </c>
      <c r="K177" s="115">
        <f>'[1]Other Cost'!BJ73</f>
        <v>0</v>
      </c>
      <c r="L177" s="113">
        <f t="shared" si="10"/>
        <v>0</v>
      </c>
    </row>
    <row r="178" spans="2:13" ht="16" x14ac:dyDescent="0.2">
      <c r="B178" s="233"/>
      <c r="C178" s="117" t="s">
        <v>76</v>
      </c>
      <c r="D178" s="115">
        <f>'[1]Co-Finance'!BA78</f>
        <v>33244.86</v>
      </c>
      <c r="E178" s="115">
        <f>'[1]Co-Finance'!BA79</f>
        <v>40566.239999999998</v>
      </c>
      <c r="F178" s="115">
        <f>'[1]Co-Finance'!BA80</f>
        <v>41580.660000000003</v>
      </c>
      <c r="G178" s="115">
        <f>'[1]Co-Finance'!BA81</f>
        <v>42620.160000000003</v>
      </c>
      <c r="H178" s="115">
        <f>'[1]Co-Finance'!BA82</f>
        <v>43685.4</v>
      </c>
      <c r="I178" s="115">
        <f>'[1]Co-Finance'!BA83</f>
        <v>44777.700000000004</v>
      </c>
      <c r="J178" s="115">
        <f>'[1]Co-Finance'!BA84</f>
        <v>45897.060000000005</v>
      </c>
      <c r="K178" s="115">
        <f>'[1]Co-Finance'!BA85</f>
        <v>0</v>
      </c>
      <c r="L178" s="113">
        <f>SUM(D178:K178)</f>
        <v>292372.08</v>
      </c>
    </row>
    <row r="179" spans="2:13" ht="16" x14ac:dyDescent="0.2">
      <c r="B179" s="114"/>
      <c r="C179" s="124" t="s">
        <v>99</v>
      </c>
      <c r="D179" s="125">
        <f>SUM(D159:D178)</f>
        <v>382163.12835596362</v>
      </c>
      <c r="E179" s="125">
        <f t="shared" ref="E179:K179" si="12">SUM(E159:E178)</f>
        <v>1080018.2538871211</v>
      </c>
      <c r="F179" s="125">
        <f t="shared" si="12"/>
        <v>1120076.3610373295</v>
      </c>
      <c r="G179" s="125">
        <f t="shared" si="12"/>
        <v>1182774.5014647772</v>
      </c>
      <c r="H179" s="125">
        <f t="shared" si="12"/>
        <v>1158829.5101226096</v>
      </c>
      <c r="I179" s="125">
        <f t="shared" si="12"/>
        <v>1169660.1654817353</v>
      </c>
      <c r="J179" s="125">
        <f t="shared" si="12"/>
        <v>1166153.8181718087</v>
      </c>
      <c r="K179" s="125">
        <f t="shared" si="12"/>
        <v>74273.947575757571</v>
      </c>
      <c r="L179" s="125">
        <f>SUM(D179:K179)</f>
        <v>7333949.6860971022</v>
      </c>
      <c r="M179" s="126" t="s">
        <v>100</v>
      </c>
    </row>
    <row r="180" spans="2:13" ht="16" x14ac:dyDescent="0.2">
      <c r="B180" s="134" t="s">
        <v>101</v>
      </c>
      <c r="C180" s="134"/>
      <c r="D180" s="135">
        <f t="shared" ref="D180:L180" si="13">SUM(D179,D158,D137)</f>
        <v>3818727.0438541612</v>
      </c>
      <c r="E180" s="135">
        <f t="shared" si="13"/>
        <v>8168885.2507015206</v>
      </c>
      <c r="F180" s="135">
        <f t="shared" si="13"/>
        <v>9376336.6000555959</v>
      </c>
      <c r="G180" s="135">
        <f t="shared" si="13"/>
        <v>8083957.190339813</v>
      </c>
      <c r="H180" s="135">
        <f t="shared" si="13"/>
        <v>8437603.4189770669</v>
      </c>
      <c r="I180" s="135">
        <f t="shared" si="13"/>
        <v>8136680.0469341148</v>
      </c>
      <c r="J180" s="135">
        <f t="shared" si="13"/>
        <v>8206363.3700340744</v>
      </c>
      <c r="K180" s="135">
        <f t="shared" si="13"/>
        <v>224372.56272727271</v>
      </c>
      <c r="L180" s="135">
        <f t="shared" si="13"/>
        <v>54452925.483623624</v>
      </c>
    </row>
    <row r="181" spans="2:13" x14ac:dyDescent="0.2">
      <c r="L181" s="55"/>
    </row>
    <row r="183" spans="2:13" x14ac:dyDescent="0.2">
      <c r="B183" t="s">
        <v>83</v>
      </c>
      <c r="D183" s="133">
        <f t="shared" ref="D183:L183" si="14">D71</f>
        <v>979091.52375600359</v>
      </c>
      <c r="E183" s="133">
        <f t="shared" si="14"/>
        <v>8395399.1688699313</v>
      </c>
      <c r="F183" s="133">
        <f t="shared" si="14"/>
        <v>7690781.5658356529</v>
      </c>
      <c r="G183" s="133">
        <f t="shared" si="14"/>
        <v>7201782.3198976666</v>
      </c>
      <c r="H183" s="133">
        <f t="shared" si="14"/>
        <v>4441492.848770597</v>
      </c>
      <c r="I183" s="133">
        <f t="shared" si="14"/>
        <v>2908169.8268850334</v>
      </c>
      <c r="J183" s="133">
        <f t="shared" si="14"/>
        <v>1717907.6608651215</v>
      </c>
      <c r="K183" s="133">
        <f t="shared" si="14"/>
        <v>158145.68</v>
      </c>
      <c r="L183" s="133">
        <f t="shared" si="14"/>
        <v>33492770.594880007</v>
      </c>
    </row>
    <row r="184" spans="2:13" x14ac:dyDescent="0.2">
      <c r="B184" t="s">
        <v>90</v>
      </c>
      <c r="D184" s="133">
        <f t="shared" ref="D184:L184" si="15">D115</f>
        <v>571595.16248301556</v>
      </c>
      <c r="E184" s="133">
        <f t="shared" si="15"/>
        <v>2912483.0396541399</v>
      </c>
      <c r="F184" s="133">
        <f t="shared" si="15"/>
        <v>3475961.103549764</v>
      </c>
      <c r="G184" s="133">
        <f t="shared" si="15"/>
        <v>3225044.1242575641</v>
      </c>
      <c r="H184" s="133">
        <f t="shared" si="15"/>
        <v>2583898.8305379008</v>
      </c>
      <c r="I184" s="133">
        <f t="shared" si="15"/>
        <v>1865241.6949511885</v>
      </c>
      <c r="J184" s="133">
        <f t="shared" si="15"/>
        <v>1045273.6199489955</v>
      </c>
      <c r="K184" s="133">
        <f t="shared" si="15"/>
        <v>68297.776363636367</v>
      </c>
      <c r="L184" s="133">
        <f t="shared" si="15"/>
        <v>15747795.351746202</v>
      </c>
    </row>
    <row r="185" spans="2:13" x14ac:dyDescent="0.2">
      <c r="B185" t="s">
        <v>101</v>
      </c>
      <c r="D185" s="133">
        <f>D180</f>
        <v>3818727.0438541612</v>
      </c>
      <c r="E185" s="133">
        <f t="shared" ref="E185:L185" si="16">E180</f>
        <v>8168885.2507015206</v>
      </c>
      <c r="F185" s="133">
        <f t="shared" si="16"/>
        <v>9376336.6000555959</v>
      </c>
      <c r="G185" s="133">
        <f t="shared" si="16"/>
        <v>8083957.190339813</v>
      </c>
      <c r="H185" s="133">
        <f t="shared" si="16"/>
        <v>8437603.4189770669</v>
      </c>
      <c r="I185" s="133">
        <f t="shared" si="16"/>
        <v>8136680.0469341148</v>
      </c>
      <c r="J185" s="133">
        <f t="shared" si="16"/>
        <v>8206363.3700340744</v>
      </c>
      <c r="K185" s="133">
        <f t="shared" si="16"/>
        <v>224372.56272727271</v>
      </c>
      <c r="L185" s="133">
        <f t="shared" si="16"/>
        <v>54452925.483623624</v>
      </c>
    </row>
    <row r="186" spans="2:13" x14ac:dyDescent="0.2">
      <c r="B186" s="55" t="s">
        <v>102</v>
      </c>
      <c r="D186" s="139">
        <f>SUM(D183:D185)</f>
        <v>5369413.7300931802</v>
      </c>
      <c r="E186" s="139">
        <f t="shared" ref="E186:L186" si="17">SUM(E183:E185)</f>
        <v>19476767.459225591</v>
      </c>
      <c r="F186" s="139">
        <f t="shared" si="17"/>
        <v>20543079.269441012</v>
      </c>
      <c r="G186" s="139">
        <f t="shared" si="17"/>
        <v>18510783.634495042</v>
      </c>
      <c r="H186" s="139">
        <f t="shared" si="17"/>
        <v>15462995.098285565</v>
      </c>
      <c r="I186" s="139">
        <f t="shared" si="17"/>
        <v>12910091.568770338</v>
      </c>
      <c r="J186" s="139">
        <f t="shared" si="17"/>
        <v>10969544.650848191</v>
      </c>
      <c r="K186" s="139">
        <f t="shared" si="17"/>
        <v>450816.01909090905</v>
      </c>
      <c r="L186" s="139">
        <f t="shared" si="17"/>
        <v>103693491.43024984</v>
      </c>
    </row>
    <row r="188" spans="2:13" x14ac:dyDescent="0.2">
      <c r="B188" s="140" t="s">
        <v>103</v>
      </c>
      <c r="C188" s="141"/>
      <c r="D188" s="140" t="s">
        <v>104</v>
      </c>
      <c r="E188" s="140" t="s">
        <v>105</v>
      </c>
      <c r="F188" s="140" t="s">
        <v>106</v>
      </c>
      <c r="G188" s="140" t="s">
        <v>107</v>
      </c>
      <c r="H188" s="140" t="s">
        <v>108</v>
      </c>
      <c r="I188" s="140" t="s">
        <v>109</v>
      </c>
      <c r="J188" s="140" t="s">
        <v>110</v>
      </c>
      <c r="K188" s="140" t="s">
        <v>111</v>
      </c>
      <c r="L188" s="140" t="s">
        <v>32</v>
      </c>
    </row>
    <row r="189" spans="2:13" x14ac:dyDescent="0.2">
      <c r="B189" s="55" t="s">
        <v>73</v>
      </c>
    </row>
    <row r="190" spans="2:13" x14ac:dyDescent="0.2">
      <c r="B190" t="s">
        <v>112</v>
      </c>
      <c r="C190" t="s">
        <v>113</v>
      </c>
      <c r="D190" s="133">
        <f>SUM(D6:D15)</f>
        <v>689462.37208933698</v>
      </c>
      <c r="E190" s="133">
        <f t="shared" ref="E190:L190" si="18">SUM(E6:E15)</f>
        <v>2928908.1786660017</v>
      </c>
      <c r="F190" s="133">
        <f t="shared" si="18"/>
        <v>3665041.5103818551</v>
      </c>
      <c r="G190" s="133">
        <f t="shared" si="18"/>
        <v>3004917.0135892984</v>
      </c>
      <c r="H190" s="133">
        <f t="shared" si="18"/>
        <v>2531995.2678330229</v>
      </c>
      <c r="I190" s="133">
        <f t="shared" si="18"/>
        <v>1954681.3415058677</v>
      </c>
      <c r="J190" s="133">
        <f t="shared" si="18"/>
        <v>1240233.7708907728</v>
      </c>
      <c r="K190" s="133">
        <f t="shared" si="18"/>
        <v>123056.42</v>
      </c>
      <c r="L190" s="133">
        <f t="shared" si="18"/>
        <v>16138295.874956157</v>
      </c>
    </row>
    <row r="191" spans="2:13" x14ac:dyDescent="0.2">
      <c r="C191" t="s">
        <v>114</v>
      </c>
      <c r="D191" s="133">
        <f>SUM(D16:D25)</f>
        <v>228618.935</v>
      </c>
      <c r="E191" s="133">
        <f t="shared" ref="E191:L191" si="19">SUM(E16:E25)</f>
        <v>4239040.2856250014</v>
      </c>
      <c r="F191" s="133">
        <f t="shared" si="19"/>
        <v>1965023.2534895835</v>
      </c>
      <c r="G191" s="133">
        <f t="shared" si="19"/>
        <v>2548387.8721970054</v>
      </c>
      <c r="H191" s="133">
        <f t="shared" si="19"/>
        <v>605768.75141218747</v>
      </c>
      <c r="I191" s="133">
        <f t="shared" si="19"/>
        <v>212573.49493911696</v>
      </c>
      <c r="J191" s="133">
        <f t="shared" si="19"/>
        <v>67110.53</v>
      </c>
      <c r="K191" s="133">
        <f t="shared" si="19"/>
        <v>0</v>
      </c>
      <c r="L191" s="133">
        <f t="shared" si="19"/>
        <v>9866523.1226628944</v>
      </c>
    </row>
    <row r="192" spans="2:13" x14ac:dyDescent="0.2">
      <c r="B192" s="55"/>
      <c r="C192" s="55" t="s">
        <v>32</v>
      </c>
      <c r="D192" s="139">
        <f>SUM(D190:D191)</f>
        <v>918081.30708933691</v>
      </c>
      <c r="E192" s="139">
        <f t="shared" ref="E192:L192" si="20">SUM(E190:E191)</f>
        <v>7167948.4642910026</v>
      </c>
      <c r="F192" s="139">
        <f t="shared" si="20"/>
        <v>5630064.7638714388</v>
      </c>
      <c r="G192" s="139">
        <f t="shared" si="20"/>
        <v>5553304.8857863043</v>
      </c>
      <c r="H192" s="139">
        <f t="shared" si="20"/>
        <v>3137764.0192452101</v>
      </c>
      <c r="I192" s="139">
        <f t="shared" si="20"/>
        <v>2167254.8364449847</v>
      </c>
      <c r="J192" s="139">
        <f t="shared" si="20"/>
        <v>1307344.3008907728</v>
      </c>
      <c r="K192" s="139">
        <f t="shared" si="20"/>
        <v>123056.42</v>
      </c>
      <c r="L192" s="139">
        <f t="shared" si="20"/>
        <v>26004818.997619051</v>
      </c>
    </row>
    <row r="193" spans="2:14" x14ac:dyDescent="0.2">
      <c r="B193" t="s">
        <v>115</v>
      </c>
      <c r="C193" t="s">
        <v>113</v>
      </c>
      <c r="D193" s="133">
        <f>SUM(D27:D36)</f>
        <v>34062.266666666663</v>
      </c>
      <c r="E193" s="133">
        <f t="shared" ref="E193:L193" si="21">SUM(E27:E36)</f>
        <v>164643.34847290211</v>
      </c>
      <c r="F193" s="133">
        <f t="shared" si="21"/>
        <v>424888.02489353664</v>
      </c>
      <c r="G193" s="133">
        <f t="shared" si="21"/>
        <v>268291.82178457815</v>
      </c>
      <c r="H193" s="133">
        <f t="shared" si="21"/>
        <v>240470.4028217911</v>
      </c>
      <c r="I193" s="133">
        <f t="shared" si="21"/>
        <v>193898.71518092792</v>
      </c>
      <c r="J193" s="133">
        <f t="shared" si="21"/>
        <v>148607.66880034702</v>
      </c>
      <c r="K193" s="133">
        <f t="shared" si="21"/>
        <v>17880.29</v>
      </c>
      <c r="L193" s="133">
        <f t="shared" si="21"/>
        <v>1492742.5386207495</v>
      </c>
    </row>
    <row r="194" spans="2:14" x14ac:dyDescent="0.2">
      <c r="C194" t="s">
        <v>114</v>
      </c>
      <c r="D194" s="133">
        <f>SUM(D37:D47)</f>
        <v>4307.5599999999995</v>
      </c>
      <c r="E194" s="133">
        <f t="shared" ref="E194:L194" si="22">SUM(E37:E47)</f>
        <v>797373.47275890654</v>
      </c>
      <c r="F194" s="133">
        <f t="shared" si="22"/>
        <v>1110648.4953567034</v>
      </c>
      <c r="G194" s="133">
        <f t="shared" si="22"/>
        <v>972440.2705845806</v>
      </c>
      <c r="H194" s="133">
        <f t="shared" si="22"/>
        <v>532819.47363796434</v>
      </c>
      <c r="I194" s="133">
        <f t="shared" si="22"/>
        <v>147259.20820944235</v>
      </c>
      <c r="J194" s="133">
        <f t="shared" si="22"/>
        <v>28956.91</v>
      </c>
      <c r="K194" s="133">
        <f t="shared" si="22"/>
        <v>0</v>
      </c>
      <c r="L194" s="133">
        <f t="shared" si="22"/>
        <v>3593805.3905475968</v>
      </c>
    </row>
    <row r="195" spans="2:14" x14ac:dyDescent="0.2">
      <c r="B195" s="55"/>
      <c r="C195" s="55" t="s">
        <v>32</v>
      </c>
      <c r="D195" s="139">
        <f>SUM(D193:D194)</f>
        <v>38369.82666666666</v>
      </c>
      <c r="E195" s="139">
        <f t="shared" ref="E195:L195" si="23">SUM(E193:E194)</f>
        <v>962016.82123180863</v>
      </c>
      <c r="F195" s="139">
        <f t="shared" si="23"/>
        <v>1535536.5202502401</v>
      </c>
      <c r="G195" s="139">
        <f t="shared" si="23"/>
        <v>1240732.0923691588</v>
      </c>
      <c r="H195" s="139">
        <f t="shared" si="23"/>
        <v>773289.87645975547</v>
      </c>
      <c r="I195" s="139">
        <f t="shared" si="23"/>
        <v>341157.92339037027</v>
      </c>
      <c r="J195" s="139">
        <f t="shared" si="23"/>
        <v>177564.57880034702</v>
      </c>
      <c r="K195" s="139">
        <f t="shared" si="23"/>
        <v>17880.29</v>
      </c>
      <c r="L195" s="139">
        <f t="shared" si="23"/>
        <v>5086547.9291683463</v>
      </c>
    </row>
    <row r="196" spans="2:14" x14ac:dyDescent="0.2">
      <c r="B196" t="s">
        <v>116</v>
      </c>
      <c r="C196" t="s">
        <v>113</v>
      </c>
      <c r="D196" s="133">
        <f>SUM(D49:D58)</f>
        <v>22640.39</v>
      </c>
      <c r="E196" s="133">
        <f t="shared" ref="E196:L196" si="24">SUM(E49:E58)</f>
        <v>265433.88334712083</v>
      </c>
      <c r="F196" s="133">
        <f t="shared" si="24"/>
        <v>364355.28171397379</v>
      </c>
      <c r="G196" s="133">
        <f t="shared" si="24"/>
        <v>358920.3417422045</v>
      </c>
      <c r="H196" s="133">
        <f t="shared" si="24"/>
        <v>388883.95306563104</v>
      </c>
      <c r="I196" s="133">
        <f t="shared" si="24"/>
        <v>375302.06704967842</v>
      </c>
      <c r="J196" s="133">
        <f t="shared" si="24"/>
        <v>232998.78117400169</v>
      </c>
      <c r="K196" s="133">
        <f t="shared" si="24"/>
        <v>17208.97</v>
      </c>
      <c r="L196" s="133">
        <f t="shared" si="24"/>
        <v>2025743.6680926103</v>
      </c>
    </row>
    <row r="197" spans="2:14" x14ac:dyDescent="0.2">
      <c r="C197" t="s">
        <v>114</v>
      </c>
      <c r="D197" s="133">
        <f>SUM(D59:D68)</f>
        <v>0</v>
      </c>
      <c r="E197" s="133">
        <f t="shared" ref="E197:L197" si="25">SUM(E59:E68)</f>
        <v>0</v>
      </c>
      <c r="F197" s="133">
        <f t="shared" si="25"/>
        <v>160825</v>
      </c>
      <c r="G197" s="133">
        <f t="shared" si="25"/>
        <v>48825</v>
      </c>
      <c r="H197" s="133">
        <f t="shared" si="25"/>
        <v>141555</v>
      </c>
      <c r="I197" s="133">
        <f t="shared" si="25"/>
        <v>24455</v>
      </c>
      <c r="J197" s="133">
        <f t="shared" si="25"/>
        <v>0</v>
      </c>
      <c r="K197" s="133">
        <f t="shared" si="25"/>
        <v>0</v>
      </c>
      <c r="L197" s="133">
        <f t="shared" si="25"/>
        <v>375660</v>
      </c>
    </row>
    <row r="198" spans="2:14" x14ac:dyDescent="0.2">
      <c r="B198" s="55"/>
      <c r="C198" s="55" t="s">
        <v>32</v>
      </c>
      <c r="D198" s="139">
        <f>SUM(D196:D197)</f>
        <v>22640.39</v>
      </c>
      <c r="E198" s="139">
        <f t="shared" ref="E198:L198" si="26">SUM(E196:E197)</f>
        <v>265433.88334712083</v>
      </c>
      <c r="F198" s="139">
        <f t="shared" si="26"/>
        <v>525180.28171397373</v>
      </c>
      <c r="G198" s="139">
        <f t="shared" si="26"/>
        <v>407745.3417422045</v>
      </c>
      <c r="H198" s="139">
        <f t="shared" si="26"/>
        <v>530438.95306563098</v>
      </c>
      <c r="I198" s="139">
        <f t="shared" si="26"/>
        <v>399757.06704967842</v>
      </c>
      <c r="J198" s="139">
        <f t="shared" si="26"/>
        <v>232998.78117400169</v>
      </c>
      <c r="K198" s="139">
        <f t="shared" si="26"/>
        <v>17208.97</v>
      </c>
      <c r="L198" s="139">
        <f t="shared" si="26"/>
        <v>2401403.6680926103</v>
      </c>
    </row>
    <row r="199" spans="2:14" x14ac:dyDescent="0.2">
      <c r="B199" s="55" t="s">
        <v>117</v>
      </c>
      <c r="D199" s="139">
        <f>SUM(D198,D195,D192)</f>
        <v>979091.52375600359</v>
      </c>
      <c r="E199" s="139">
        <f t="shared" ref="E199:L199" si="27">SUM(E198,E195,E192)</f>
        <v>8395399.1688699313</v>
      </c>
      <c r="F199" s="139">
        <f t="shared" si="27"/>
        <v>7690781.5658356529</v>
      </c>
      <c r="G199" s="139">
        <f t="shared" si="27"/>
        <v>7201782.3198976675</v>
      </c>
      <c r="H199" s="139">
        <f t="shared" si="27"/>
        <v>4441492.8487705961</v>
      </c>
      <c r="I199" s="139">
        <f t="shared" si="27"/>
        <v>2908169.8268850334</v>
      </c>
      <c r="J199" s="139">
        <f t="shared" si="27"/>
        <v>1717907.6608651215</v>
      </c>
      <c r="K199" s="139">
        <f t="shared" si="27"/>
        <v>158145.68</v>
      </c>
      <c r="L199" s="139">
        <f t="shared" si="27"/>
        <v>33492770.594880007</v>
      </c>
      <c r="N199" s="133">
        <f>L199-L71</f>
        <v>0</v>
      </c>
    </row>
    <row r="200" spans="2:14" x14ac:dyDescent="0.2">
      <c r="B200" s="151" t="s">
        <v>118</v>
      </c>
      <c r="C200" s="152"/>
      <c r="D200" s="152"/>
      <c r="E200" s="152"/>
      <c r="F200" s="152"/>
      <c r="G200" s="152"/>
      <c r="H200" s="152"/>
      <c r="I200" s="152"/>
      <c r="J200" s="152"/>
      <c r="K200" s="152"/>
      <c r="L200" s="152"/>
    </row>
    <row r="201" spans="2:14" x14ac:dyDescent="0.2">
      <c r="B201" s="152" t="s">
        <v>119</v>
      </c>
      <c r="C201" s="152" t="s">
        <v>113</v>
      </c>
      <c r="D201" s="153">
        <f>SUM(D73:D82)</f>
        <v>150474.74328320788</v>
      </c>
      <c r="E201" s="153">
        <f t="shared" ref="E201:L201" si="28">SUM(E73:E82)</f>
        <v>652758.70608706295</v>
      </c>
      <c r="F201" s="153">
        <f t="shared" si="28"/>
        <v>469131.54880141089</v>
      </c>
      <c r="G201" s="153">
        <f t="shared" si="28"/>
        <v>397781.35078559996</v>
      </c>
      <c r="H201" s="153">
        <f t="shared" si="28"/>
        <v>358886.62391096097</v>
      </c>
      <c r="I201" s="153">
        <f t="shared" si="28"/>
        <v>300307.34763407928</v>
      </c>
      <c r="J201" s="153">
        <f t="shared" si="28"/>
        <v>252209.11062437121</v>
      </c>
      <c r="K201" s="153">
        <f t="shared" si="28"/>
        <v>39142.606363636369</v>
      </c>
      <c r="L201" s="153">
        <f t="shared" si="28"/>
        <v>2620692.0374903292</v>
      </c>
    </row>
    <row r="202" spans="2:14" x14ac:dyDescent="0.2">
      <c r="B202" s="152"/>
      <c r="C202" s="152" t="s">
        <v>114</v>
      </c>
      <c r="D202" s="153">
        <f>SUM(D83:D92)</f>
        <v>201448.06919980759</v>
      </c>
      <c r="E202" s="153">
        <f t="shared" ref="E202:L202" si="29">SUM(E83:E92)</f>
        <v>1409194.5035670772</v>
      </c>
      <c r="F202" s="153">
        <f t="shared" si="29"/>
        <v>1370711.9026097027</v>
      </c>
      <c r="G202" s="153">
        <f t="shared" si="29"/>
        <v>1128736.3515238729</v>
      </c>
      <c r="H202" s="153">
        <f t="shared" si="29"/>
        <v>777647.05008862331</v>
      </c>
      <c r="I202" s="153">
        <f t="shared" si="29"/>
        <v>426312.22146406973</v>
      </c>
      <c r="J202" s="153">
        <f t="shared" si="29"/>
        <v>245019.67277820056</v>
      </c>
      <c r="K202" s="153">
        <f t="shared" si="29"/>
        <v>12000</v>
      </c>
      <c r="L202" s="153">
        <f t="shared" si="29"/>
        <v>5571069.7712313542</v>
      </c>
    </row>
    <row r="203" spans="2:14" x14ac:dyDescent="0.2">
      <c r="B203" s="152"/>
      <c r="C203" s="151" t="s">
        <v>32</v>
      </c>
      <c r="D203" s="154">
        <f>SUM(D201:D202)</f>
        <v>351922.81248301547</v>
      </c>
      <c r="E203" s="154">
        <f t="shared" ref="E203:L203" si="30">SUM(E201:E202)</f>
        <v>2061953.2096541403</v>
      </c>
      <c r="F203" s="154">
        <f t="shared" si="30"/>
        <v>1839843.4514111136</v>
      </c>
      <c r="G203" s="154">
        <f t="shared" si="30"/>
        <v>1526517.702309473</v>
      </c>
      <c r="H203" s="154">
        <f t="shared" si="30"/>
        <v>1136533.6739995843</v>
      </c>
      <c r="I203" s="154">
        <f t="shared" si="30"/>
        <v>726619.56909814896</v>
      </c>
      <c r="J203" s="154">
        <f t="shared" si="30"/>
        <v>497228.7834025718</v>
      </c>
      <c r="K203" s="154">
        <f t="shared" si="30"/>
        <v>51142.606363636369</v>
      </c>
      <c r="L203" s="154">
        <f t="shared" si="30"/>
        <v>8191761.8087216839</v>
      </c>
    </row>
    <row r="204" spans="2:14" x14ac:dyDescent="0.2">
      <c r="B204" s="152" t="s">
        <v>120</v>
      </c>
      <c r="C204" s="152" t="s">
        <v>113</v>
      </c>
      <c r="D204" s="153">
        <f>SUM(D94:D103)</f>
        <v>22354.309999999998</v>
      </c>
      <c r="E204" s="153">
        <f t="shared" ref="E204:L204" si="31">SUM(E94:E103)</f>
        <v>124838.94000000002</v>
      </c>
      <c r="F204" s="153">
        <f t="shared" si="31"/>
        <v>178626.29</v>
      </c>
      <c r="G204" s="153">
        <f t="shared" si="31"/>
        <v>184934.39999999999</v>
      </c>
      <c r="H204" s="153">
        <f t="shared" si="31"/>
        <v>182937.94999999998</v>
      </c>
      <c r="I204" s="153">
        <f t="shared" si="31"/>
        <v>158919.1</v>
      </c>
      <c r="J204" s="153">
        <f t="shared" si="31"/>
        <v>117212.53</v>
      </c>
      <c r="K204" s="153">
        <f t="shared" si="31"/>
        <v>17155.169999999998</v>
      </c>
      <c r="L204" s="153">
        <f t="shared" si="31"/>
        <v>986978.69000000006</v>
      </c>
    </row>
    <row r="205" spans="2:14" x14ac:dyDescent="0.2">
      <c r="B205" s="152"/>
      <c r="C205" s="152" t="s">
        <v>114</v>
      </c>
      <c r="D205" s="153">
        <f>SUM(D104:D113)</f>
        <v>197318.04</v>
      </c>
      <c r="E205" s="153">
        <f t="shared" ref="E205:L205" si="32">SUM(E104:E113)</f>
        <v>725690.89</v>
      </c>
      <c r="F205" s="153">
        <f t="shared" si="32"/>
        <v>1457491.3621386504</v>
      </c>
      <c r="G205" s="153">
        <f t="shared" si="32"/>
        <v>1513592.0219480908</v>
      </c>
      <c r="H205" s="153">
        <f t="shared" si="32"/>
        <v>1264427.2065383163</v>
      </c>
      <c r="I205" s="153">
        <f t="shared" si="32"/>
        <v>979703.02585303958</v>
      </c>
      <c r="J205" s="153">
        <f t="shared" si="32"/>
        <v>430832.30654642388</v>
      </c>
      <c r="K205" s="153">
        <f t="shared" si="32"/>
        <v>0</v>
      </c>
      <c r="L205" s="153">
        <f t="shared" si="32"/>
        <v>6569054.8530245209</v>
      </c>
    </row>
    <row r="206" spans="2:14" x14ac:dyDescent="0.2">
      <c r="B206" s="152"/>
      <c r="C206" s="151" t="s">
        <v>32</v>
      </c>
      <c r="D206" s="154">
        <f>SUM(D204:D205)</f>
        <v>219672.35</v>
      </c>
      <c r="E206" s="154">
        <f t="shared" ref="E206:L206" si="33">SUM(E204:E205)</f>
        <v>850529.83000000007</v>
      </c>
      <c r="F206" s="154">
        <f t="shared" si="33"/>
        <v>1636117.6521386504</v>
      </c>
      <c r="G206" s="154">
        <f t="shared" si="33"/>
        <v>1698526.4219480907</v>
      </c>
      <c r="H206" s="154">
        <f t="shared" si="33"/>
        <v>1447365.1565383163</v>
      </c>
      <c r="I206" s="154">
        <f t="shared" si="33"/>
        <v>1138622.1258530396</v>
      </c>
      <c r="J206" s="154">
        <f t="shared" si="33"/>
        <v>548044.83654642384</v>
      </c>
      <c r="K206" s="154">
        <f t="shared" si="33"/>
        <v>17155.169999999998</v>
      </c>
      <c r="L206" s="154">
        <f t="shared" si="33"/>
        <v>7556033.5430245213</v>
      </c>
    </row>
    <row r="207" spans="2:14" x14ac:dyDescent="0.2">
      <c r="B207" s="151" t="s">
        <v>121</v>
      </c>
      <c r="C207" s="152"/>
      <c r="D207" s="154">
        <f>SUM(D206,D203)</f>
        <v>571595.16248301545</v>
      </c>
      <c r="E207" s="154">
        <f t="shared" ref="E207:L207" si="34">SUM(E206,E203)</f>
        <v>2912483.0396541404</v>
      </c>
      <c r="F207" s="154">
        <f t="shared" si="34"/>
        <v>3475961.103549764</v>
      </c>
      <c r="G207" s="154">
        <f t="shared" si="34"/>
        <v>3225044.1242575636</v>
      </c>
      <c r="H207" s="154">
        <f t="shared" si="34"/>
        <v>2583898.8305379003</v>
      </c>
      <c r="I207" s="154">
        <f t="shared" si="34"/>
        <v>1865241.6949511885</v>
      </c>
      <c r="J207" s="154">
        <f t="shared" si="34"/>
        <v>1045273.6199489956</v>
      </c>
      <c r="K207" s="154">
        <f t="shared" si="34"/>
        <v>68297.776363636367</v>
      </c>
      <c r="L207" s="154">
        <f t="shared" si="34"/>
        <v>15747795.351746205</v>
      </c>
      <c r="N207" s="133">
        <f>L207-L115</f>
        <v>0</v>
      </c>
    </row>
    <row r="208" spans="2:14" x14ac:dyDescent="0.2">
      <c r="B208" s="55" t="s">
        <v>91</v>
      </c>
    </row>
    <row r="209" spans="2:14" x14ac:dyDescent="0.2">
      <c r="B209" t="s">
        <v>122</v>
      </c>
      <c r="C209" t="s">
        <v>113</v>
      </c>
      <c r="D209" s="133">
        <f>SUM(D117:D126)</f>
        <v>1704186.2612465154</v>
      </c>
      <c r="E209" s="133">
        <f t="shared" ref="E209:L209" si="35">SUM(E117:E126)</f>
        <v>3299879.6144371857</v>
      </c>
      <c r="F209" s="133">
        <f t="shared" si="35"/>
        <v>3732759.394793944</v>
      </c>
      <c r="G209" s="133">
        <f t="shared" si="35"/>
        <v>3544390.7689659474</v>
      </c>
      <c r="H209" s="133">
        <f t="shared" si="35"/>
        <v>3620306.8434806764</v>
      </c>
      <c r="I209" s="133">
        <f t="shared" si="35"/>
        <v>3502853.8779371595</v>
      </c>
      <c r="J209" s="133">
        <f t="shared" si="35"/>
        <v>3591109.2164954003</v>
      </c>
      <c r="K209" s="133">
        <f t="shared" si="35"/>
        <v>95460.677105090901</v>
      </c>
      <c r="L209" s="133">
        <f t="shared" si="35"/>
        <v>23090946.65446192</v>
      </c>
    </row>
    <row r="210" spans="2:14" x14ac:dyDescent="0.2">
      <c r="C210" t="s">
        <v>114</v>
      </c>
      <c r="D210" s="133">
        <f>SUM(D127:D136)</f>
        <v>1315140.0159309166</v>
      </c>
      <c r="E210" s="133">
        <f t="shared" ref="E210:L210" si="36">SUM(E127:E136)</f>
        <v>2605214.0324503463</v>
      </c>
      <c r="F210" s="133">
        <f t="shared" si="36"/>
        <v>3373011.3211834803</v>
      </c>
      <c r="G210" s="133">
        <f t="shared" si="36"/>
        <v>2160562.2671915833</v>
      </c>
      <c r="H210" s="133">
        <f t="shared" si="36"/>
        <v>2344710.149635484</v>
      </c>
      <c r="I210" s="133">
        <f t="shared" si="36"/>
        <v>2306314.6580102737</v>
      </c>
      <c r="J210" s="133">
        <f t="shared" si="36"/>
        <v>2243252.562778201</v>
      </c>
      <c r="K210" s="133">
        <f t="shared" si="36"/>
        <v>12000</v>
      </c>
      <c r="L210" s="133">
        <f t="shared" si="36"/>
        <v>16360205.007180287</v>
      </c>
    </row>
    <row r="211" spans="2:14" x14ac:dyDescent="0.2">
      <c r="C211" s="55" t="s">
        <v>32</v>
      </c>
      <c r="D211" s="139">
        <f>SUM(D209:D210)</f>
        <v>3019326.2771774321</v>
      </c>
      <c r="E211" s="139">
        <f t="shared" ref="E211:L211" si="37">SUM(E209:E210)</f>
        <v>5905093.6468875315</v>
      </c>
      <c r="F211" s="139">
        <f t="shared" si="37"/>
        <v>7105770.7159774248</v>
      </c>
      <c r="G211" s="139">
        <f t="shared" si="37"/>
        <v>5704953.0361575307</v>
      </c>
      <c r="H211" s="139">
        <f t="shared" si="37"/>
        <v>5965016.9931161609</v>
      </c>
      <c r="I211" s="139">
        <f t="shared" si="37"/>
        <v>5809168.5359474327</v>
      </c>
      <c r="J211" s="139">
        <f t="shared" si="37"/>
        <v>5834361.7792736012</v>
      </c>
      <c r="K211" s="139">
        <f t="shared" si="37"/>
        <v>107460.6771050909</v>
      </c>
      <c r="L211" s="139">
        <f t="shared" si="37"/>
        <v>39451151.661642209</v>
      </c>
    </row>
    <row r="212" spans="2:14" x14ac:dyDescent="0.2">
      <c r="B212" t="s">
        <v>123</v>
      </c>
      <c r="C212" t="s">
        <v>113</v>
      </c>
      <c r="D212" s="133">
        <f>SUM(D138:D147)</f>
        <v>207799.89238984851</v>
      </c>
      <c r="E212" s="133">
        <f t="shared" ref="E212:L212" si="38">SUM(E138:E147)</f>
        <v>717853.93432250491</v>
      </c>
      <c r="F212" s="133">
        <f t="shared" si="38"/>
        <v>624095.58079637156</v>
      </c>
      <c r="G212" s="133">
        <f t="shared" si="38"/>
        <v>657897.7644169234</v>
      </c>
      <c r="H212" s="133">
        <f t="shared" si="38"/>
        <v>782457.19498020015</v>
      </c>
      <c r="I212" s="133">
        <f t="shared" si="38"/>
        <v>644205.95209973387</v>
      </c>
      <c r="J212" s="133">
        <f t="shared" si="38"/>
        <v>776459.42981046403</v>
      </c>
      <c r="K212" s="133">
        <f t="shared" si="38"/>
        <v>42637.938046424242</v>
      </c>
      <c r="L212" s="133">
        <f t="shared" si="38"/>
        <v>4453407.6868624697</v>
      </c>
    </row>
    <row r="213" spans="2:14" x14ac:dyDescent="0.2">
      <c r="C213" t="s">
        <v>114</v>
      </c>
      <c r="D213" s="133">
        <f>SUM(D148:D157)</f>
        <v>209437.74593091669</v>
      </c>
      <c r="E213" s="133">
        <f t="shared" ref="E213:L213" si="39">SUM(E148:E157)</f>
        <v>465919.41560436139</v>
      </c>
      <c r="F213" s="133">
        <f t="shared" si="39"/>
        <v>526393.94224447047</v>
      </c>
      <c r="G213" s="133">
        <f t="shared" si="39"/>
        <v>538331.88830058218</v>
      </c>
      <c r="H213" s="133">
        <f t="shared" si="39"/>
        <v>531299.72075809666</v>
      </c>
      <c r="I213" s="133">
        <f t="shared" si="39"/>
        <v>513645.3934052125</v>
      </c>
      <c r="J213" s="133">
        <f t="shared" si="39"/>
        <v>429388.34277820057</v>
      </c>
      <c r="K213" s="133">
        <f t="shared" si="39"/>
        <v>0</v>
      </c>
      <c r="L213" s="133">
        <f t="shared" si="39"/>
        <v>3214416.44902184</v>
      </c>
    </row>
    <row r="214" spans="2:14" x14ac:dyDescent="0.2">
      <c r="C214" s="55" t="s">
        <v>32</v>
      </c>
      <c r="D214" s="139">
        <f>SUM(D212:D213)</f>
        <v>417237.63832076523</v>
      </c>
      <c r="E214" s="139">
        <f t="shared" ref="E214:L214" si="40">SUM(E212:E213)</f>
        <v>1183773.3499268664</v>
      </c>
      <c r="F214" s="139">
        <f t="shared" si="40"/>
        <v>1150489.523040842</v>
      </c>
      <c r="G214" s="139">
        <f t="shared" si="40"/>
        <v>1196229.6527175056</v>
      </c>
      <c r="H214" s="139">
        <f t="shared" si="40"/>
        <v>1313756.9157382967</v>
      </c>
      <c r="I214" s="139">
        <f t="shared" si="40"/>
        <v>1157851.3455049463</v>
      </c>
      <c r="J214" s="139">
        <f t="shared" si="40"/>
        <v>1205847.7725886647</v>
      </c>
      <c r="K214" s="139">
        <f t="shared" si="40"/>
        <v>42637.938046424242</v>
      </c>
      <c r="L214" s="139">
        <f t="shared" si="40"/>
        <v>7667824.1358843092</v>
      </c>
    </row>
    <row r="215" spans="2:14" x14ac:dyDescent="0.2">
      <c r="B215" t="s">
        <v>124</v>
      </c>
      <c r="C215" t="s">
        <v>113</v>
      </c>
      <c r="D215" s="133">
        <f>SUM(D159:D168)</f>
        <v>302425.48181818175</v>
      </c>
      <c r="E215" s="133">
        <f t="shared" ref="E215:L215" si="41">SUM(E159:E168)</f>
        <v>840925.10956691147</v>
      </c>
      <c r="F215" s="133">
        <f t="shared" si="41"/>
        <v>850592.68885911477</v>
      </c>
      <c r="G215" s="133">
        <f t="shared" si="41"/>
        <v>907164.11023210734</v>
      </c>
      <c r="H215" s="133">
        <f t="shared" si="41"/>
        <v>886575.03585912264</v>
      </c>
      <c r="I215" s="133">
        <f t="shared" si="41"/>
        <v>893517.76986166125</v>
      </c>
      <c r="J215" s="133">
        <f t="shared" si="41"/>
        <v>895641.80666123284</v>
      </c>
      <c r="K215" s="133">
        <f t="shared" si="41"/>
        <v>74273.947575757571</v>
      </c>
      <c r="L215" s="133">
        <f t="shared" si="41"/>
        <v>5651115.9504340878</v>
      </c>
    </row>
    <row r="216" spans="2:14" x14ac:dyDescent="0.2">
      <c r="C216" t="s">
        <v>114</v>
      </c>
      <c r="D216" s="133">
        <f>SUM(D169:D178)</f>
        <v>79737.646537781897</v>
      </c>
      <c r="E216" s="133">
        <f t="shared" ref="E216:L216" si="42">SUM(E169:E178)</f>
        <v>239093.14432020948</v>
      </c>
      <c r="F216" s="133">
        <f t="shared" si="42"/>
        <v>269483.67217821471</v>
      </c>
      <c r="G216" s="133">
        <f t="shared" si="42"/>
        <v>275610.39123267005</v>
      </c>
      <c r="H216" s="133">
        <f t="shared" si="42"/>
        <v>272254.47426348686</v>
      </c>
      <c r="I216" s="133">
        <f t="shared" si="42"/>
        <v>276142.39562007401</v>
      </c>
      <c r="J216" s="133">
        <f t="shared" si="42"/>
        <v>270512.01151057583</v>
      </c>
      <c r="K216" s="133">
        <f t="shared" si="42"/>
        <v>0</v>
      </c>
      <c r="L216" s="133">
        <f t="shared" si="42"/>
        <v>1682833.7356630128</v>
      </c>
    </row>
    <row r="217" spans="2:14" x14ac:dyDescent="0.2">
      <c r="C217" s="55" t="s">
        <v>32</v>
      </c>
      <c r="D217" s="139">
        <f>SUM(D215:D216)</f>
        <v>382163.12835596362</v>
      </c>
      <c r="E217" s="139">
        <f t="shared" ref="E217:L217" si="43">SUM(E215:E216)</f>
        <v>1080018.2538871209</v>
      </c>
      <c r="F217" s="139">
        <f t="shared" si="43"/>
        <v>1120076.3610373295</v>
      </c>
      <c r="G217" s="139">
        <f t="shared" si="43"/>
        <v>1182774.5014647774</v>
      </c>
      <c r="H217" s="139">
        <f t="shared" si="43"/>
        <v>1158829.5101226096</v>
      </c>
      <c r="I217" s="139">
        <f t="shared" si="43"/>
        <v>1169660.1654817353</v>
      </c>
      <c r="J217" s="139">
        <f t="shared" si="43"/>
        <v>1166153.8181718087</v>
      </c>
      <c r="K217" s="139">
        <f t="shared" si="43"/>
        <v>74273.947575757571</v>
      </c>
      <c r="L217" s="139">
        <f t="shared" si="43"/>
        <v>7333949.6860971004</v>
      </c>
    </row>
    <row r="218" spans="2:14" x14ac:dyDescent="0.2">
      <c r="B218" s="55" t="s">
        <v>125</v>
      </c>
      <c r="D218" s="139">
        <f>SUM(D217,D214,D211)</f>
        <v>3818727.0438541612</v>
      </c>
      <c r="E218" s="139">
        <f t="shared" ref="E218:L218" si="44">SUM(E217,E214,E211)</f>
        <v>8168885.2507015187</v>
      </c>
      <c r="F218" s="139">
        <f t="shared" si="44"/>
        <v>9376336.6000555959</v>
      </c>
      <c r="G218" s="139">
        <f t="shared" si="44"/>
        <v>8083957.1903398139</v>
      </c>
      <c r="H218" s="139">
        <f t="shared" si="44"/>
        <v>8437603.4189770669</v>
      </c>
      <c r="I218" s="139">
        <f t="shared" si="44"/>
        <v>8136680.0469341148</v>
      </c>
      <c r="J218" s="139">
        <f t="shared" si="44"/>
        <v>8206363.3700340744</v>
      </c>
      <c r="K218" s="139">
        <f t="shared" si="44"/>
        <v>224372.56272727271</v>
      </c>
      <c r="L218" s="139">
        <f t="shared" si="44"/>
        <v>54452925.483623616</v>
      </c>
      <c r="N218" s="133">
        <f>L218-L180</f>
        <v>0</v>
      </c>
    </row>
    <row r="219" spans="2:14" x14ac:dyDescent="0.2">
      <c r="B219" s="55" t="s">
        <v>126</v>
      </c>
      <c r="D219" s="139">
        <f>SUM(D218,D207,D199)</f>
        <v>5369413.7300931802</v>
      </c>
      <c r="E219" s="139">
        <f t="shared" ref="E219:L219" si="45">SUM(E218,E207,E199)</f>
        <v>19476767.459225591</v>
      </c>
      <c r="F219" s="139">
        <f t="shared" si="45"/>
        <v>20543079.269441012</v>
      </c>
      <c r="G219" s="139">
        <f t="shared" si="45"/>
        <v>18510783.634495046</v>
      </c>
      <c r="H219" s="139">
        <f t="shared" si="45"/>
        <v>15462995.098285563</v>
      </c>
      <c r="I219" s="139">
        <f t="shared" si="45"/>
        <v>12910091.568770336</v>
      </c>
      <c r="J219" s="139">
        <f t="shared" si="45"/>
        <v>10969544.650848191</v>
      </c>
      <c r="K219" s="139">
        <f t="shared" si="45"/>
        <v>450816.0190909091</v>
      </c>
      <c r="L219" s="139">
        <f t="shared" si="45"/>
        <v>103693491.43024984</v>
      </c>
      <c r="N219" s="133">
        <f>L219-L186</f>
        <v>0</v>
      </c>
    </row>
    <row r="220" spans="2:14" x14ac:dyDescent="0.2">
      <c r="B220" s="142"/>
      <c r="C220" s="142"/>
      <c r="D220" s="142"/>
      <c r="E220" s="142"/>
      <c r="F220" s="142"/>
      <c r="G220" s="142"/>
      <c r="H220" s="142"/>
      <c r="I220" s="142"/>
      <c r="J220" s="142"/>
      <c r="K220" s="142"/>
      <c r="L220" s="142"/>
    </row>
    <row r="223" spans="2:14" x14ac:dyDescent="0.2">
      <c r="D223" s="133">
        <f>D219-D186</f>
        <v>0</v>
      </c>
      <c r="E223" s="133">
        <f t="shared" ref="E223:L223" si="46">E219-E186</f>
        <v>0</v>
      </c>
      <c r="F223" s="133">
        <f t="shared" si="46"/>
        <v>0</v>
      </c>
      <c r="G223" s="133">
        <f t="shared" si="46"/>
        <v>0</v>
      </c>
      <c r="H223" s="133">
        <f t="shared" si="46"/>
        <v>0</v>
      </c>
      <c r="I223" s="133">
        <f t="shared" si="46"/>
        <v>0</v>
      </c>
      <c r="J223" s="133">
        <f t="shared" si="46"/>
        <v>0</v>
      </c>
      <c r="K223" s="133">
        <f t="shared" si="46"/>
        <v>0</v>
      </c>
      <c r="L223" s="133">
        <f t="shared" si="46"/>
        <v>0</v>
      </c>
    </row>
    <row r="225" spans="2:13" x14ac:dyDescent="0.2">
      <c r="M225" t="s">
        <v>127</v>
      </c>
    </row>
    <row r="226" spans="2:13" x14ac:dyDescent="0.2">
      <c r="B226" t="s">
        <v>128</v>
      </c>
      <c r="D226" s="133">
        <f>SUM(D190,D193,D196,D201,D204,D209,D212,D215)</f>
        <v>3133405.7174937576</v>
      </c>
      <c r="E226" s="133">
        <f t="shared" ref="E226:L227" si="47">SUM(E190,E193,E196,E201,E204,E209,E212,E215)</f>
        <v>8995241.7148996908</v>
      </c>
      <c r="F226" s="133">
        <f t="shared" si="47"/>
        <v>10309490.320240207</v>
      </c>
      <c r="G226" s="133">
        <f t="shared" si="47"/>
        <v>9324297.5715166591</v>
      </c>
      <c r="H226" s="133">
        <f t="shared" si="47"/>
        <v>8992513.2719514053</v>
      </c>
      <c r="I226" s="133">
        <f t="shared" si="47"/>
        <v>8023686.1712691085</v>
      </c>
      <c r="J226" s="133">
        <f t="shared" si="47"/>
        <v>7254472.3144565895</v>
      </c>
      <c r="K226" s="133">
        <f t="shared" si="47"/>
        <v>426816.01909090905</v>
      </c>
      <c r="L226" s="133">
        <f t="shared" si="47"/>
        <v>56459923.100918323</v>
      </c>
      <c r="M226" s="143">
        <f>L226/L$228</f>
        <v>0.54448859154189533</v>
      </c>
    </row>
    <row r="227" spans="2:13" x14ac:dyDescent="0.2">
      <c r="B227" t="s">
        <v>129</v>
      </c>
      <c r="D227" s="133">
        <f>SUM(D191,D194,D197,D202,D205,D210,D213,D216)</f>
        <v>2236008.0125994226</v>
      </c>
      <c r="E227" s="133">
        <f t="shared" si="47"/>
        <v>10481525.744325902</v>
      </c>
      <c r="F227" s="133">
        <f t="shared" si="47"/>
        <v>10233588.949200803</v>
      </c>
      <c r="G227" s="133">
        <f t="shared" si="47"/>
        <v>9186486.062978385</v>
      </c>
      <c r="H227" s="133">
        <f t="shared" si="47"/>
        <v>6470481.826334158</v>
      </c>
      <c r="I227" s="133">
        <f t="shared" si="47"/>
        <v>4886405.3975012284</v>
      </c>
      <c r="J227" s="133">
        <f t="shared" si="47"/>
        <v>3715072.3363916017</v>
      </c>
      <c r="K227" s="133">
        <f t="shared" si="47"/>
        <v>24000</v>
      </c>
      <c r="L227" s="133">
        <f t="shared" si="47"/>
        <v>47233568.329331502</v>
      </c>
      <c r="M227" s="143">
        <f t="shared" ref="M227:M228" si="48">L227/L$228</f>
        <v>0.45551140845810467</v>
      </c>
    </row>
    <row r="228" spans="2:13" x14ac:dyDescent="0.2">
      <c r="B228" t="s">
        <v>102</v>
      </c>
      <c r="D228" s="139">
        <f>SUM(D226:D227)</f>
        <v>5369413.7300931802</v>
      </c>
      <c r="E228" s="139">
        <f t="shared" ref="E228:L228" si="49">SUM(E226:E227)</f>
        <v>19476767.459225595</v>
      </c>
      <c r="F228" s="139">
        <f t="shared" si="49"/>
        <v>20543079.269441009</v>
      </c>
      <c r="G228" s="139">
        <f t="shared" si="49"/>
        <v>18510783.634495042</v>
      </c>
      <c r="H228" s="139">
        <f t="shared" si="49"/>
        <v>15462995.098285563</v>
      </c>
      <c r="I228" s="139">
        <f t="shared" si="49"/>
        <v>12910091.568770338</v>
      </c>
      <c r="J228" s="139">
        <f t="shared" si="49"/>
        <v>10969544.650848191</v>
      </c>
      <c r="K228" s="139">
        <f t="shared" si="49"/>
        <v>450816.01909090905</v>
      </c>
      <c r="L228" s="139">
        <f t="shared" si="49"/>
        <v>103693491.43024983</v>
      </c>
      <c r="M228" s="143">
        <f t="shared" si="48"/>
        <v>1</v>
      </c>
    </row>
  </sheetData>
  <mergeCells count="8">
    <mergeCell ref="B138:B157"/>
    <mergeCell ref="B159:B178"/>
    <mergeCell ref="B6:B26"/>
    <mergeCell ref="B27:B47"/>
    <mergeCell ref="B49:B69"/>
    <mergeCell ref="B73:B93"/>
    <mergeCell ref="B94:B114"/>
    <mergeCell ref="B117:B13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52B46-F475-456A-B65F-351DB6DEAA97}">
  <sheetPr>
    <tabColor rgb="FF00B0F0"/>
  </sheetPr>
  <dimension ref="B3:S49"/>
  <sheetViews>
    <sheetView zoomScaleNormal="100" workbookViewId="0">
      <selection activeCell="B9" sqref="B9"/>
    </sheetView>
  </sheetViews>
  <sheetFormatPr baseColWidth="10" defaultColWidth="8.83203125" defaultRowHeight="15" x14ac:dyDescent="0.2"/>
  <cols>
    <col min="2" max="2" width="68.6640625" customWidth="1"/>
    <col min="3" max="3" width="11.83203125" customWidth="1"/>
    <col min="4" max="4" width="9.5" customWidth="1"/>
    <col min="5" max="5" width="10" hidden="1" customWidth="1"/>
    <col min="6" max="6" width="8.33203125" hidden="1" customWidth="1"/>
    <col min="7" max="7" width="8.6640625" hidden="1" customWidth="1"/>
    <col min="8" max="8" width="8.6640625" customWidth="1"/>
    <col min="9" max="9" width="9.1640625" customWidth="1"/>
    <col min="10" max="10" width="9.6640625" customWidth="1"/>
    <col min="11" max="11" width="10.33203125" customWidth="1"/>
    <col min="12" max="12" width="10.6640625" customWidth="1"/>
    <col min="16" max="16" width="10.33203125" bestFit="1" customWidth="1"/>
    <col min="17" max="17" width="10.6640625" customWidth="1"/>
    <col min="19" max="19" width="12" customWidth="1"/>
  </cols>
  <sheetData>
    <row r="3" spans="2:19" x14ac:dyDescent="0.2">
      <c r="B3" s="55" t="s">
        <v>130</v>
      </c>
    </row>
    <row r="5" spans="2:19" x14ac:dyDescent="0.2">
      <c r="B5" s="56"/>
      <c r="C5" s="56"/>
      <c r="D5" s="57" t="s">
        <v>32</v>
      </c>
      <c r="E5" s="58"/>
      <c r="F5" s="58"/>
      <c r="G5" s="58"/>
      <c r="H5" s="58"/>
      <c r="I5" s="58"/>
      <c r="J5" s="58"/>
      <c r="K5" s="58"/>
      <c r="L5" s="58"/>
    </row>
    <row r="6" spans="2:19" x14ac:dyDescent="0.2">
      <c r="B6" s="56" t="s">
        <v>131</v>
      </c>
      <c r="C6" s="56"/>
      <c r="D6" s="56" t="str">
        <f>'[2]Annex 4 template - CompA'!D2</f>
        <v>GCF</v>
      </c>
      <c r="E6" s="56" t="str">
        <f>'[2]Annex 4 template - CompA'!E2</f>
        <v>SPC</v>
      </c>
      <c r="F6" s="56">
        <f>'[2]Annex 4 template - CompA'!F2</f>
        <v>0</v>
      </c>
      <c r="G6" s="56">
        <f>'[2]Annex 4 template - CompA'!G2</f>
        <v>0</v>
      </c>
      <c r="H6" s="56">
        <f>'[2]Annex 4 template - CompA'!H2</f>
        <v>2026</v>
      </c>
      <c r="I6" s="56">
        <f>'[2]Annex 4 template - CompA'!I2</f>
        <v>2027</v>
      </c>
      <c r="J6" s="56">
        <f>'[2]Annex 4 template - CompA'!J2</f>
        <v>2028</v>
      </c>
      <c r="K6" s="56">
        <f>'[2]Annex 4 template - CompA'!K2</f>
        <v>2029</v>
      </c>
      <c r="L6" s="56">
        <f>'[2]Annex 4 template - CompA'!L2</f>
        <v>2030</v>
      </c>
      <c r="M6" s="56">
        <f>'[2]Annex 4 template - CompA'!M2</f>
        <v>2031</v>
      </c>
      <c r="N6" s="56">
        <f>'[2]Annex 4 template - CompA'!N2</f>
        <v>2032</v>
      </c>
      <c r="O6" s="56">
        <f>'[2]Annex 4 template - CompA'!O2</f>
        <v>2033</v>
      </c>
      <c r="P6" t="s">
        <v>32</v>
      </c>
    </row>
    <row r="7" spans="2:19" ht="18.5" customHeight="1" x14ac:dyDescent="0.2">
      <c r="B7" s="59" t="str">
        <f>'[2]Annex 4 template - CompA'!C4</f>
        <v xml:space="preserve">
Activity 1.1: Provide technical and logistical support to strengthen National FAD programmes.
</v>
      </c>
      <c r="C7" s="58"/>
      <c r="D7" s="58"/>
      <c r="E7" s="58"/>
      <c r="F7" s="58"/>
      <c r="G7" s="58"/>
      <c r="H7" s="58"/>
      <c r="I7" s="58"/>
      <c r="J7" s="58"/>
      <c r="K7" s="58"/>
      <c r="L7" s="58"/>
    </row>
    <row r="8" spans="2:19" ht="25.25" customHeight="1" x14ac:dyDescent="0.2">
      <c r="B8" s="60" t="str">
        <f>'[2]Annex 4 template - CompA'!C5</f>
        <v xml:space="preserve">1.1a. Audit progress towards requirements for scaling-up National FAD Programmes in the 14 Participating Countries. </v>
      </c>
      <c r="C8" s="61">
        <f>SUM('[2]Annex 4 template - CompA'!D6:D345)</f>
        <v>1538986.2809217554</v>
      </c>
      <c r="D8" s="62">
        <f>SUM('[2]Annex 4 template - CompA'!D6,'[2]Annex 4 template - CompA'!D12,'[2]Annex 4 template - CompA'!D18,'[2]Annex 4 template - CompA'!D24,'[2]Annex 4 template - CompA'!D30,'[2]Annex 4 template - CompA'!D36,'[2]Annex 4 template - CompA'!D42,'[2]Annex 4 template - CompA'!D48,'[2]Annex 4 template - CompA'!D54,'[2]Annex 4 template - CompA'!D60,'[2]Annex 4 template - CompA'!D66,'[2]Annex 4 template - CompA'!D72,'[2]Annex 4 template - CompA'!D78,'[2]Annex 4 template - CompA'!D84,'[2]Annex 4 template - CompA'!D90,'[2]Annex 4 template - CompA'!D103,'[2]Annex 4 template - CompA'!D108,'[2]Annex 4 template - CompA'!D98,'[2]Annex 4 template - CompA'!D113,'[2]Annex 4 template - CompA'!D118,'[2]Annex 4 template - CompA'!D123,'[2]Annex 4 template - CompA'!D128,'[2]Annex 4 template - CompA'!D133,'[2]Annex 4 template - CompA'!D138,'[2]Annex 4 template - CompA'!D143,'[2]Annex 4 template - CompA'!D148,'[2]Annex 4 template - CompA'!D153,'[2]Annex 4 template - CompA'!D158,'[2]Annex 4 template - CompA'!D163,'[2]Annex 4 template - CompA'!D176,'[2]Annex 4 template - CompA'!D197,'[2]Annex 4 template - CompA'!D214,'[2]Annex 4 template - CompA'!D237,'[2]Annex 4 template - CompA'!D243,'[2]Annex 4 template - CompA'!D248,'[2]Annex 4 template - CompA'!D255,'[2]Annex 4 template - CompA'!D261,'[2]Annex 4 template - CompA'!D266,'[2]Annex 4 template - CompA'!D272,'[2]Annex 4 template - CompA'!D277,'[2]Annex 4 template - CompA'!D283,'[2]Annex 4 template - CompA'!D287,'[2]Annex 4 template - CompA'!D293,'[2]Annex 4 template - CompA'!D299,'[2]Annex 4 template - CompA'!D305,'[2]Annex 4 template - CompA'!D324,'[2]Annex 4 template - CompA'!D328,)</f>
        <v>1538986.2809217554</v>
      </c>
      <c r="E8" s="61">
        <f>SUM('[2]Annex 4 template - CompA'!E6,'[2]Annex 4 template - CompA'!E12,'[2]Annex 4 template - CompA'!E18,'[2]Annex 4 template - CompA'!E24,'[2]Annex 4 template - CompA'!E30,'[2]Annex 4 template - CompA'!E36,'[2]Annex 4 template - CompA'!E42,'[2]Annex 4 template - CompA'!E48,'[2]Annex 4 template - CompA'!E54,'[2]Annex 4 template - CompA'!E60,'[2]Annex 4 template - CompA'!E66,'[2]Annex 4 template - CompA'!E72,'[2]Annex 4 template - CompA'!E78,'[2]Annex 4 template - CompA'!E84,'[2]Annex 4 template - CompA'!E90,'[2]Annex 4 template - CompA'!E103,'[2]Annex 4 template - CompA'!E108,'[2]Annex 4 template - CompA'!E98,'[2]Annex 4 template - CompA'!E113,'[2]Annex 4 template - CompA'!E118,'[2]Annex 4 template - CompA'!E123,'[2]Annex 4 template - CompA'!E128,'[2]Annex 4 template - CompA'!E133,'[2]Annex 4 template - CompA'!E138,'[2]Annex 4 template - CompA'!E143,'[2]Annex 4 template - CompA'!E148,'[2]Annex 4 template - CompA'!E153,'[2]Annex 4 template - CompA'!E158,'[2]Annex 4 template - CompA'!E163,'[2]Annex 4 template - CompA'!E176,'[2]Annex 4 template - CompA'!E197,'[2]Annex 4 template - CompA'!E214,'[2]Annex 4 template - CompA'!E237,'[2]Annex 4 template - CompA'!E243,'[2]Annex 4 template - CompA'!E248,'[2]Annex 4 template - CompA'!E255,'[2]Annex 4 template - CompA'!E261,'[2]Annex 4 template - CompA'!E266,'[2]Annex 4 template - CompA'!E272,'[2]Annex 4 template - CompA'!E277,'[2]Annex 4 template - CompA'!E283,'[2]Annex 4 template - CompA'!E287,'[2]Annex 4 template - CompA'!E293,'[2]Annex 4 template - CompA'!E299,'[2]Annex 4 template - CompA'!E305,'[2]Annex 4 template - CompA'!E324,'[2]Annex 4 template - CompA'!E328,)</f>
        <v>0</v>
      </c>
      <c r="F8" s="61">
        <f>SUM('[2]Annex 4 template - CompA'!F6,'[2]Annex 4 template - CompA'!F12,'[2]Annex 4 template - CompA'!F18,'[2]Annex 4 template - CompA'!F24,'[2]Annex 4 template - CompA'!F30,'[2]Annex 4 template - CompA'!F36,'[2]Annex 4 template - CompA'!F42,'[2]Annex 4 template - CompA'!F48,'[2]Annex 4 template - CompA'!F54,'[2]Annex 4 template - CompA'!F60,'[2]Annex 4 template - CompA'!F66,'[2]Annex 4 template - CompA'!F72,'[2]Annex 4 template - CompA'!F78,'[2]Annex 4 template - CompA'!F84,'[2]Annex 4 template - CompA'!F90,'[2]Annex 4 template - CompA'!F103,'[2]Annex 4 template - CompA'!F108,'[2]Annex 4 template - CompA'!F98,'[2]Annex 4 template - CompA'!F113,'[2]Annex 4 template - CompA'!F118,'[2]Annex 4 template - CompA'!F123,'[2]Annex 4 template - CompA'!F128,'[2]Annex 4 template - CompA'!F133,'[2]Annex 4 template - CompA'!F138,'[2]Annex 4 template - CompA'!F143,'[2]Annex 4 template - CompA'!F148,'[2]Annex 4 template - CompA'!F153,'[2]Annex 4 template - CompA'!F158,'[2]Annex 4 template - CompA'!F163,'[2]Annex 4 template - CompA'!F176,'[2]Annex 4 template - CompA'!F197,'[2]Annex 4 template - CompA'!F214,'[2]Annex 4 template - CompA'!F237,'[2]Annex 4 template - CompA'!F243,'[2]Annex 4 template - CompA'!F248,'[2]Annex 4 template - CompA'!F255,'[2]Annex 4 template - CompA'!F261,'[2]Annex 4 template - CompA'!F266,'[2]Annex 4 template - CompA'!F272,'[2]Annex 4 template - CompA'!F277,'[2]Annex 4 template - CompA'!F283,'[2]Annex 4 template - CompA'!F287,'[2]Annex 4 template - CompA'!F293,'[2]Annex 4 template - CompA'!F299,'[2]Annex 4 template - CompA'!F305,'[2]Annex 4 template - CompA'!F324,'[2]Annex 4 template - CompA'!F328,)</f>
        <v>0</v>
      </c>
      <c r="G8" s="61">
        <f>SUM('[2]Annex 4 template - CompA'!G6,'[2]Annex 4 template - CompA'!G12,'[2]Annex 4 template - CompA'!G18,'[2]Annex 4 template - CompA'!G24,'[2]Annex 4 template - CompA'!G30,'[2]Annex 4 template - CompA'!G36,'[2]Annex 4 template - CompA'!G42,'[2]Annex 4 template - CompA'!G48,'[2]Annex 4 template - CompA'!G54,'[2]Annex 4 template - CompA'!G60,'[2]Annex 4 template - CompA'!G66,'[2]Annex 4 template - CompA'!G72,'[2]Annex 4 template - CompA'!G78,'[2]Annex 4 template - CompA'!G84,'[2]Annex 4 template - CompA'!G90,'[2]Annex 4 template - CompA'!G103,'[2]Annex 4 template - CompA'!G108,'[2]Annex 4 template - CompA'!G98,'[2]Annex 4 template - CompA'!G113,'[2]Annex 4 template - CompA'!G118,'[2]Annex 4 template - CompA'!G123,'[2]Annex 4 template - CompA'!G128,'[2]Annex 4 template - CompA'!G133,'[2]Annex 4 template - CompA'!G138,'[2]Annex 4 template - CompA'!G143,'[2]Annex 4 template - CompA'!G148,'[2]Annex 4 template - CompA'!G153,'[2]Annex 4 template - CompA'!G158,'[2]Annex 4 template - CompA'!G163,'[2]Annex 4 template - CompA'!G176,'[2]Annex 4 template - CompA'!G197,'[2]Annex 4 template - CompA'!G214,'[2]Annex 4 template - CompA'!G237,'[2]Annex 4 template - CompA'!G243,'[2]Annex 4 template - CompA'!G248,'[2]Annex 4 template - CompA'!G255,'[2]Annex 4 template - CompA'!G261,'[2]Annex 4 template - CompA'!G266,'[2]Annex 4 template - CompA'!G272,'[2]Annex 4 template - CompA'!G277,'[2]Annex 4 template - CompA'!G283,'[2]Annex 4 template - CompA'!G287,'[2]Annex 4 template - CompA'!G293,'[2]Annex 4 template - CompA'!G299,'[2]Annex 4 template - CompA'!G305,'[2]Annex 4 template - CompA'!G324,'[2]Annex 4 template - CompA'!G328,)</f>
        <v>0</v>
      </c>
      <c r="H8" s="61">
        <f>SUM('[2]Annex 4 template - CompA'!H6,'[2]Annex 4 template - CompA'!H12,'[2]Annex 4 template - CompA'!H18,'[2]Annex 4 template - CompA'!H24,'[2]Annex 4 template - CompA'!H30,'[2]Annex 4 template - CompA'!H36,'[2]Annex 4 template - CompA'!H42,'[2]Annex 4 template - CompA'!H48,'[2]Annex 4 template - CompA'!H54,'[2]Annex 4 template - CompA'!H60,'[2]Annex 4 template - CompA'!H66,'[2]Annex 4 template - CompA'!H72,'[2]Annex 4 template - CompA'!H78,'[2]Annex 4 template - CompA'!H84,'[2]Annex 4 template - CompA'!H90,'[2]Annex 4 template - CompA'!H103,'[2]Annex 4 template - CompA'!H108,'[2]Annex 4 template - CompA'!H98,'[2]Annex 4 template - CompA'!H113,'[2]Annex 4 template - CompA'!H118,'[2]Annex 4 template - CompA'!H123,'[2]Annex 4 template - CompA'!H128,'[2]Annex 4 template - CompA'!H133,'[2]Annex 4 template - CompA'!H138,'[2]Annex 4 template - CompA'!H143,'[2]Annex 4 template - CompA'!H148,'[2]Annex 4 template - CompA'!H153,'[2]Annex 4 template - CompA'!H158,'[2]Annex 4 template - CompA'!H163,'[2]Annex 4 template - CompA'!H176,'[2]Annex 4 template - CompA'!H197,'[2]Annex 4 template - CompA'!H214,'[2]Annex 4 template - CompA'!H237,'[2]Annex 4 template - CompA'!H243,'[2]Annex 4 template - CompA'!H248,'[2]Annex 4 template - CompA'!H255,'[2]Annex 4 template - CompA'!H261,'[2]Annex 4 template - CompA'!H266,'[2]Annex 4 template - CompA'!H272,'[2]Annex 4 template - CompA'!H277,'[2]Annex 4 template - CompA'!H283,'[2]Annex 4 template - CompA'!H287,'[2]Annex 4 template - CompA'!H293,'[2]Annex 4 template - CompA'!H299,'[2]Annex 4 template - CompA'!H305,'[2]Annex 4 template - CompA'!H324,'[2]Annex 4 template - CompA'!H328,)</f>
        <v>246221.89340611297</v>
      </c>
      <c r="I8" s="61">
        <f>SUM('[2]Annex 4 template - CompA'!I6,'[2]Annex 4 template - CompA'!I12,'[2]Annex 4 template - CompA'!I18,'[2]Annex 4 template - CompA'!I24,'[2]Annex 4 template - CompA'!I30,'[2]Annex 4 template - CompA'!I36,'[2]Annex 4 template - CompA'!I42,'[2]Annex 4 template - CompA'!I48,'[2]Annex 4 template - CompA'!I54,'[2]Annex 4 template - CompA'!I60,'[2]Annex 4 template - CompA'!I66,'[2]Annex 4 template - CompA'!I72,'[2]Annex 4 template - CompA'!I78,'[2]Annex 4 template - CompA'!I84,'[2]Annex 4 template - CompA'!I90,'[2]Annex 4 template - CompA'!I103,'[2]Annex 4 template - CompA'!I108,'[2]Annex 4 template - CompA'!I98,'[2]Annex 4 template - CompA'!I113,'[2]Annex 4 template - CompA'!I118,'[2]Annex 4 template - CompA'!I123,'[2]Annex 4 template - CompA'!I128,'[2]Annex 4 template - CompA'!I133,'[2]Annex 4 template - CompA'!I138,'[2]Annex 4 template - CompA'!I143,'[2]Annex 4 template - CompA'!I148,'[2]Annex 4 template - CompA'!I153,'[2]Annex 4 template - CompA'!I158,'[2]Annex 4 template - CompA'!I163,'[2]Annex 4 template - CompA'!I176,'[2]Annex 4 template - CompA'!I197,'[2]Annex 4 template - CompA'!I214,'[2]Annex 4 template - CompA'!I237,'[2]Annex 4 template - CompA'!I243,'[2]Annex 4 template - CompA'!I248,'[2]Annex 4 template - CompA'!I255,'[2]Annex 4 template - CompA'!I261,'[2]Annex 4 template - CompA'!I266,'[2]Annex 4 template - CompA'!I272,'[2]Annex 4 template - CompA'!I277,'[2]Annex 4 template - CompA'!I283,'[2]Annex 4 template - CompA'!I287,'[2]Annex 4 template - CompA'!I293,'[2]Annex 4 template - CompA'!I299,'[2]Annex 4 template - CompA'!I305,'[2]Annex 4 template - CompA'!I324,'[2]Annex 4 template - CompA'!I328,)</f>
        <v>748587.74785482488</v>
      </c>
      <c r="J8" s="61">
        <f>SUM('[2]Annex 4 template - CompA'!J6,'[2]Annex 4 template - CompA'!J12,'[2]Annex 4 template - CompA'!J18,'[2]Annex 4 template - CompA'!J24,'[2]Annex 4 template - CompA'!J30,'[2]Annex 4 template - CompA'!J36,'[2]Annex 4 template - CompA'!J42,'[2]Annex 4 template - CompA'!J48,'[2]Annex 4 template - CompA'!J54,'[2]Annex 4 template - CompA'!J60,'[2]Annex 4 template - CompA'!J66,'[2]Annex 4 template - CompA'!J72,'[2]Annex 4 template - CompA'!J78,'[2]Annex 4 template - CompA'!J84,'[2]Annex 4 template - CompA'!J90,'[2]Annex 4 template - CompA'!J103,'[2]Annex 4 template - CompA'!J108,'[2]Annex 4 template - CompA'!J98,'[2]Annex 4 template - CompA'!J113,'[2]Annex 4 template - CompA'!J118,'[2]Annex 4 template - CompA'!J123,'[2]Annex 4 template - CompA'!J128,'[2]Annex 4 template - CompA'!J133,'[2]Annex 4 template - CompA'!J138,'[2]Annex 4 template - CompA'!J143,'[2]Annex 4 template - CompA'!J148,'[2]Annex 4 template - CompA'!J153,'[2]Annex 4 template - CompA'!J158,'[2]Annex 4 template - CompA'!J163,'[2]Annex 4 template - CompA'!J176,'[2]Annex 4 template - CompA'!J197,'[2]Annex 4 template - CompA'!J214,'[2]Annex 4 template - CompA'!J237,'[2]Annex 4 template - CompA'!J243,'[2]Annex 4 template - CompA'!J248,'[2]Annex 4 template - CompA'!J255,'[2]Annex 4 template - CompA'!J261,'[2]Annex 4 template - CompA'!J266,'[2]Annex 4 template - CompA'!J272,'[2]Annex 4 template - CompA'!J277,'[2]Annex 4 template - CompA'!J283,'[2]Annex 4 template - CompA'!J287,'[2]Annex 4 template - CompA'!J293,'[2]Annex 4 template - CompA'!J299,'[2]Annex 4 template - CompA'!J305,'[2]Annex 4 template - CompA'!J324,'[2]Annex 4 template - CompA'!J328,)</f>
        <v>544176.63966081722</v>
      </c>
      <c r="K8" s="61">
        <f>SUM('[2]Annex 4 template - CompA'!K6,'[2]Annex 4 template - CompA'!K12,'[2]Annex 4 template - CompA'!K18,'[2]Annex 4 template - CompA'!K24,'[2]Annex 4 template - CompA'!K30,'[2]Annex 4 template - CompA'!K36,'[2]Annex 4 template - CompA'!K42,'[2]Annex 4 template - CompA'!K48,'[2]Annex 4 template - CompA'!K54,'[2]Annex 4 template - CompA'!K60,'[2]Annex 4 template - CompA'!K66,'[2]Annex 4 template - CompA'!K72,'[2]Annex 4 template - CompA'!K78,'[2]Annex 4 template - CompA'!K84,'[2]Annex 4 template - CompA'!K90,'[2]Annex 4 template - CompA'!K103,'[2]Annex 4 template - CompA'!K108,'[2]Annex 4 template - CompA'!K98,'[2]Annex 4 template - CompA'!K113,'[2]Annex 4 template - CompA'!K118,'[2]Annex 4 template - CompA'!K123,'[2]Annex 4 template - CompA'!K128,'[2]Annex 4 template - CompA'!K133,'[2]Annex 4 template - CompA'!K138,'[2]Annex 4 template - CompA'!K143,'[2]Annex 4 template - CompA'!K148,'[2]Annex 4 template - CompA'!K153,'[2]Annex 4 template - CompA'!K158,'[2]Annex 4 template - CompA'!K163,'[2]Annex 4 template - CompA'!K176,'[2]Annex 4 template - CompA'!K197,'[2]Annex 4 template - CompA'!K214,'[2]Annex 4 template - CompA'!K237,'[2]Annex 4 template - CompA'!K243,'[2]Annex 4 template - CompA'!K248,'[2]Annex 4 template - CompA'!K255,'[2]Annex 4 template - CompA'!K261,'[2]Annex 4 template - CompA'!K266,'[2]Annex 4 template - CompA'!K272,'[2]Annex 4 template - CompA'!K277,'[2]Annex 4 template - CompA'!K283,'[2]Annex 4 template - CompA'!K287,'[2]Annex 4 template - CompA'!K293,'[2]Annex 4 template - CompA'!K299,'[2]Annex 4 template - CompA'!K305,'[2]Annex 4 template - CompA'!K324,'[2]Annex 4 template - CompA'!K328,)</f>
        <v>0</v>
      </c>
      <c r="L8" s="61">
        <f>SUM('[2]Annex 4 template - CompA'!L6,'[2]Annex 4 template - CompA'!L12,'[2]Annex 4 template - CompA'!L18,'[2]Annex 4 template - CompA'!L24,'[2]Annex 4 template - CompA'!L30,'[2]Annex 4 template - CompA'!L36,'[2]Annex 4 template - CompA'!L42,'[2]Annex 4 template - CompA'!L48,'[2]Annex 4 template - CompA'!L54,'[2]Annex 4 template - CompA'!L60,'[2]Annex 4 template - CompA'!L66,'[2]Annex 4 template - CompA'!L72,'[2]Annex 4 template - CompA'!L78,'[2]Annex 4 template - CompA'!L84,'[2]Annex 4 template - CompA'!L90,'[2]Annex 4 template - CompA'!L103,'[2]Annex 4 template - CompA'!L108,'[2]Annex 4 template - CompA'!L98,'[2]Annex 4 template - CompA'!L113,'[2]Annex 4 template - CompA'!L118,'[2]Annex 4 template - CompA'!L123,'[2]Annex 4 template - CompA'!L128,'[2]Annex 4 template - CompA'!L133,'[2]Annex 4 template - CompA'!L138,'[2]Annex 4 template - CompA'!L143,'[2]Annex 4 template - CompA'!L148,'[2]Annex 4 template - CompA'!L153,'[2]Annex 4 template - CompA'!L158,'[2]Annex 4 template - CompA'!L163,'[2]Annex 4 template - CompA'!L176,'[2]Annex 4 template - CompA'!L197,'[2]Annex 4 template - CompA'!L214,'[2]Annex 4 template - CompA'!L237,'[2]Annex 4 template - CompA'!L243,'[2]Annex 4 template - CompA'!L248,'[2]Annex 4 template - CompA'!L255,'[2]Annex 4 template - CompA'!L261,'[2]Annex 4 template - CompA'!L266,'[2]Annex 4 template - CompA'!L272,'[2]Annex 4 template - CompA'!L277,'[2]Annex 4 template - CompA'!L283,'[2]Annex 4 template - CompA'!L287,'[2]Annex 4 template - CompA'!L293,'[2]Annex 4 template - CompA'!L299,'[2]Annex 4 template - CompA'!L305,'[2]Annex 4 template - CompA'!L324,'[2]Annex 4 template - CompA'!L328,)</f>
        <v>0</v>
      </c>
      <c r="M8" s="61">
        <f>SUM('[2]Annex 4 template - CompA'!M6,'[2]Annex 4 template - CompA'!M12,'[2]Annex 4 template - CompA'!M18,'[2]Annex 4 template - CompA'!M24,'[2]Annex 4 template - CompA'!M30,'[2]Annex 4 template - CompA'!M36,'[2]Annex 4 template - CompA'!M42,'[2]Annex 4 template - CompA'!M48,'[2]Annex 4 template - CompA'!M54,'[2]Annex 4 template - CompA'!M60,'[2]Annex 4 template - CompA'!M66,'[2]Annex 4 template - CompA'!M72,'[2]Annex 4 template - CompA'!M78,'[2]Annex 4 template - CompA'!M84,'[2]Annex 4 template - CompA'!M90,'[2]Annex 4 template - CompA'!M103,'[2]Annex 4 template - CompA'!M108,'[2]Annex 4 template - CompA'!M98,'[2]Annex 4 template - CompA'!M113,'[2]Annex 4 template - CompA'!M118,'[2]Annex 4 template - CompA'!M123,'[2]Annex 4 template - CompA'!M128,'[2]Annex 4 template - CompA'!M133,'[2]Annex 4 template - CompA'!M138,'[2]Annex 4 template - CompA'!M143,'[2]Annex 4 template - CompA'!M148,'[2]Annex 4 template - CompA'!M153,'[2]Annex 4 template - CompA'!M158,'[2]Annex 4 template - CompA'!M163,'[2]Annex 4 template - CompA'!M176,'[2]Annex 4 template - CompA'!M197,'[2]Annex 4 template - CompA'!M214,'[2]Annex 4 template - CompA'!M237,'[2]Annex 4 template - CompA'!M243,'[2]Annex 4 template - CompA'!M248,'[2]Annex 4 template - CompA'!M255,'[2]Annex 4 template - CompA'!M261,'[2]Annex 4 template - CompA'!M266,'[2]Annex 4 template - CompA'!M272,'[2]Annex 4 template - CompA'!M277,'[2]Annex 4 template - CompA'!M283,'[2]Annex 4 template - CompA'!M287,'[2]Annex 4 template - CompA'!M293,'[2]Annex 4 template - CompA'!M299,'[2]Annex 4 template - CompA'!M305,'[2]Annex 4 template - CompA'!M324,'[2]Annex 4 template - CompA'!M328,)</f>
        <v>0</v>
      </c>
      <c r="N8" s="61">
        <f>SUM('[2]Annex 4 template - CompA'!N6,'[2]Annex 4 template - CompA'!N12,'[2]Annex 4 template - CompA'!N18,'[2]Annex 4 template - CompA'!N24,'[2]Annex 4 template - CompA'!N30,'[2]Annex 4 template - CompA'!N36,'[2]Annex 4 template - CompA'!N42,'[2]Annex 4 template - CompA'!N48,'[2]Annex 4 template - CompA'!N54,'[2]Annex 4 template - CompA'!N60,'[2]Annex 4 template - CompA'!N66,'[2]Annex 4 template - CompA'!N72,'[2]Annex 4 template - CompA'!N78,'[2]Annex 4 template - CompA'!N84,'[2]Annex 4 template - CompA'!N90,'[2]Annex 4 template - CompA'!N103,'[2]Annex 4 template - CompA'!N108,'[2]Annex 4 template - CompA'!N98,'[2]Annex 4 template - CompA'!N113,'[2]Annex 4 template - CompA'!N118,'[2]Annex 4 template - CompA'!N123,'[2]Annex 4 template - CompA'!N128,'[2]Annex 4 template - CompA'!N133,'[2]Annex 4 template - CompA'!N138,'[2]Annex 4 template - CompA'!N143,'[2]Annex 4 template - CompA'!N148,'[2]Annex 4 template - CompA'!N153,'[2]Annex 4 template - CompA'!N158,'[2]Annex 4 template - CompA'!N163,'[2]Annex 4 template - CompA'!N176,'[2]Annex 4 template - CompA'!N197,'[2]Annex 4 template - CompA'!N214,'[2]Annex 4 template - CompA'!N237,'[2]Annex 4 template - CompA'!N243,'[2]Annex 4 template - CompA'!N248,'[2]Annex 4 template - CompA'!N255,'[2]Annex 4 template - CompA'!N261,'[2]Annex 4 template - CompA'!N266,'[2]Annex 4 template - CompA'!N272,'[2]Annex 4 template - CompA'!N277,'[2]Annex 4 template - CompA'!N283,'[2]Annex 4 template - CompA'!N287,'[2]Annex 4 template - CompA'!N293,'[2]Annex 4 template - CompA'!N299,'[2]Annex 4 template - CompA'!N305,'[2]Annex 4 template - CompA'!N324,'[2]Annex 4 template - CompA'!N328,)</f>
        <v>0</v>
      </c>
      <c r="O8" s="61">
        <f>SUM('[2]Annex 4 template - CompA'!O6,'[2]Annex 4 template - CompA'!O12,'[2]Annex 4 template - CompA'!O18,'[2]Annex 4 template - CompA'!O24,'[2]Annex 4 template - CompA'!O30,'[2]Annex 4 template - CompA'!O36,'[2]Annex 4 template - CompA'!O42,'[2]Annex 4 template - CompA'!O48,'[2]Annex 4 template - CompA'!O54,'[2]Annex 4 template - CompA'!O60,'[2]Annex 4 template - CompA'!O66,'[2]Annex 4 template - CompA'!O72,'[2]Annex 4 template - CompA'!O78,'[2]Annex 4 template - CompA'!O84,'[2]Annex 4 template - CompA'!O90,'[2]Annex 4 template - CompA'!O103,'[2]Annex 4 template - CompA'!O108,'[2]Annex 4 template - CompA'!O98,'[2]Annex 4 template - CompA'!O113,'[2]Annex 4 template - CompA'!O118,'[2]Annex 4 template - CompA'!O123,'[2]Annex 4 template - CompA'!O128,'[2]Annex 4 template - CompA'!O133,'[2]Annex 4 template - CompA'!O138,'[2]Annex 4 template - CompA'!O143,'[2]Annex 4 template - CompA'!O148,'[2]Annex 4 template - CompA'!O153,'[2]Annex 4 template - CompA'!O158,'[2]Annex 4 template - CompA'!O163,'[2]Annex 4 template - CompA'!O176,'[2]Annex 4 template - CompA'!O197,'[2]Annex 4 template - CompA'!O214,'[2]Annex 4 template - CompA'!O237,'[2]Annex 4 template - CompA'!O243,'[2]Annex 4 template - CompA'!O248,'[2]Annex 4 template - CompA'!O255,'[2]Annex 4 template - CompA'!O261,'[2]Annex 4 template - CompA'!O266,'[2]Annex 4 template - CompA'!O272,'[2]Annex 4 template - CompA'!O277,'[2]Annex 4 template - CompA'!O283,'[2]Annex 4 template - CompA'!O287,'[2]Annex 4 template - CompA'!O293,'[2]Annex 4 template - CompA'!O299,'[2]Annex 4 template - CompA'!O305,'[2]Annex 4 template - CompA'!O324,'[2]Annex 4 template - CompA'!O328,)</f>
        <v>0</v>
      </c>
      <c r="P8" s="61">
        <f>SUM(H8:O8)</f>
        <v>1538986.2809217549</v>
      </c>
      <c r="Q8" s="63">
        <f>C8-D8</f>
        <v>0</v>
      </c>
      <c r="R8" s="63">
        <f>D8-P8</f>
        <v>0</v>
      </c>
      <c r="S8" s="63">
        <f>C8-D8</f>
        <v>0</v>
      </c>
    </row>
    <row r="9" spans="2:19" x14ac:dyDescent="0.2">
      <c r="B9" s="64" t="str">
        <f>'[2]Annex 4 template - CompA'!C352</f>
        <v>1.1b. Develop workplans for scaling-up National FAD Programmes based on the audit.</v>
      </c>
      <c r="C9" s="61">
        <f>SUM('[2]Annex 4 template - CompA'!D353:D689)</f>
        <v>1024608.8938346372</v>
      </c>
      <c r="D9" s="62">
        <f>SUM('[2]Annex 4 template - CompA'!D353:D670)</f>
        <v>1024608.8938346372</v>
      </c>
      <c r="E9" s="61">
        <f>SUM('[2]Annex 4 template - CompA'!E353,'[2]Annex 4 template - CompA'!E359,'[2]Annex 4 template - CompA'!E365,'[2]Annex 4 template - CompA'!E371,'[2]Annex 4 template - CompA'!E377,'[2]Annex 4 template - CompA'!E383,'[2]Annex 4 template - CompA'!E389,'[2]Annex 4 template - CompA'!E395,'[2]Annex 4 template - CompA'!E401,'[2]Annex 4 template - CompA'!E407,'[2]Annex 4 template - CompA'!E413,'[2]Annex 4 template - CompA'!E419,'[2]Annex 4 template - CompA'!E425,'[2]Annex 4 template - CompA'!E431,'[2]Annex 4 template - CompA'!E437,'[2]Annex 4 template - CompA'!E443,'[2]Annex 4 template - CompA'!E449,'[2]Annex 4 template - CompA'!E455,'[2]Annex 4 template - CompA'!E461,'[2]Annex 4 template - CompA'!E466,'[2]Annex 4 template - CompA'!E471,'[2]Annex 4 template - CompA'!E476,'[2]Annex 4 template - CompA'!E481,'[2]Annex 4 template - CompA'!E486,'[2]Annex 4 template - CompA'!E491,'[2]Annex 4 template - CompA'!E496,'[2]Annex 4 template - CompA'!E501,'[2]Annex 4 template - CompA'!E506,'[2]Annex 4 template - CompA'!E511,'[2]Annex 4 template - CompA'!E516,'[2]Annex 4 template - CompA'!E521,'[2]Annex 4 template - CompA'!E526,'[2]Annex 4 template - CompA'!E535,'[2]Annex 4 template - CompA'!E552,'[2]Annex 4 template - CompA'!E571,'[2]Annex 4 template - CompA'!E576,'[2]Annex 4 template - CompA'!E584,'[2]Annex 4 template - CompA'!E603,'[2]Annex 4 template - CompA'!E609,'[2]Annex 4 template - CompA'!E614,'[2]Annex 4 template - CompA'!E621,'[2]Annex 4 template - CompA'!E627,'[2]Annex 4 template - CompA'!E632,'[2]Annex 4 template - CompA'!E638,'[2]Annex 4 template - CompA'!E643,'[2]Annex 4 template - CompA'!E649,'[2]Annex 4 template - CompA'!E653,'[2]Annex 4 template - CompA'!E659,'[2]Annex 4 template - CompA'!E664,'[2]Annex 4 template - CompA'!E670)</f>
        <v>0</v>
      </c>
      <c r="F9" s="61">
        <f>SUM('[2]Annex 4 template - CompA'!F353,'[2]Annex 4 template - CompA'!F359,'[2]Annex 4 template - CompA'!F365,'[2]Annex 4 template - CompA'!F371,'[2]Annex 4 template - CompA'!F377,'[2]Annex 4 template - CompA'!F383,'[2]Annex 4 template - CompA'!F389,'[2]Annex 4 template - CompA'!F395,'[2]Annex 4 template - CompA'!F401,'[2]Annex 4 template - CompA'!F407,'[2]Annex 4 template - CompA'!F413,'[2]Annex 4 template - CompA'!F419,'[2]Annex 4 template - CompA'!F425,'[2]Annex 4 template - CompA'!F431,'[2]Annex 4 template - CompA'!F437,'[2]Annex 4 template - CompA'!F443,'[2]Annex 4 template - CompA'!F449,'[2]Annex 4 template - CompA'!F455,'[2]Annex 4 template - CompA'!F461,'[2]Annex 4 template - CompA'!F466,'[2]Annex 4 template - CompA'!F471,'[2]Annex 4 template - CompA'!F476,'[2]Annex 4 template - CompA'!F481,'[2]Annex 4 template - CompA'!F486,'[2]Annex 4 template - CompA'!F491,'[2]Annex 4 template - CompA'!F496,'[2]Annex 4 template - CompA'!F501,'[2]Annex 4 template - CompA'!F506,'[2]Annex 4 template - CompA'!F511,'[2]Annex 4 template - CompA'!F516,'[2]Annex 4 template - CompA'!F521,'[2]Annex 4 template - CompA'!F526,'[2]Annex 4 template - CompA'!F535,'[2]Annex 4 template - CompA'!F552,'[2]Annex 4 template - CompA'!F571,'[2]Annex 4 template - CompA'!F576,'[2]Annex 4 template - CompA'!F584,'[2]Annex 4 template - CompA'!F603,'[2]Annex 4 template - CompA'!F609,'[2]Annex 4 template - CompA'!F614,'[2]Annex 4 template - CompA'!F621,'[2]Annex 4 template - CompA'!F627,'[2]Annex 4 template - CompA'!F632,'[2]Annex 4 template - CompA'!F638,'[2]Annex 4 template - CompA'!F643,'[2]Annex 4 template - CompA'!F649,'[2]Annex 4 template - CompA'!F653,'[2]Annex 4 template - CompA'!F659,'[2]Annex 4 template - CompA'!F664,'[2]Annex 4 template - CompA'!F670)</f>
        <v>0</v>
      </c>
      <c r="G9" s="61">
        <f>SUM('[2]Annex 4 template - CompA'!G353,'[2]Annex 4 template - CompA'!G359,'[2]Annex 4 template - CompA'!G365,'[2]Annex 4 template - CompA'!G371,'[2]Annex 4 template - CompA'!G377,'[2]Annex 4 template - CompA'!G383,'[2]Annex 4 template - CompA'!G389,'[2]Annex 4 template - CompA'!G395,'[2]Annex 4 template - CompA'!G401,'[2]Annex 4 template - CompA'!G407,'[2]Annex 4 template - CompA'!G413,'[2]Annex 4 template - CompA'!G419,'[2]Annex 4 template - CompA'!G425,'[2]Annex 4 template - CompA'!G431,'[2]Annex 4 template - CompA'!G437,'[2]Annex 4 template - CompA'!G443,'[2]Annex 4 template - CompA'!G449,'[2]Annex 4 template - CompA'!G455,'[2]Annex 4 template - CompA'!G461,'[2]Annex 4 template - CompA'!G466,'[2]Annex 4 template - CompA'!G471,'[2]Annex 4 template - CompA'!G476,'[2]Annex 4 template - CompA'!G481,'[2]Annex 4 template - CompA'!G486,'[2]Annex 4 template - CompA'!G491,'[2]Annex 4 template - CompA'!G496,'[2]Annex 4 template - CompA'!G501,'[2]Annex 4 template - CompA'!G506,'[2]Annex 4 template - CompA'!G511,'[2]Annex 4 template - CompA'!G516,'[2]Annex 4 template - CompA'!G521,'[2]Annex 4 template - CompA'!G526,'[2]Annex 4 template - CompA'!G535,'[2]Annex 4 template - CompA'!G552,'[2]Annex 4 template - CompA'!G571,'[2]Annex 4 template - CompA'!G576,'[2]Annex 4 template - CompA'!G584,'[2]Annex 4 template - CompA'!G603,'[2]Annex 4 template - CompA'!G609,'[2]Annex 4 template - CompA'!G614,'[2]Annex 4 template - CompA'!G621,'[2]Annex 4 template - CompA'!G627,'[2]Annex 4 template - CompA'!G632,'[2]Annex 4 template - CompA'!G638,'[2]Annex 4 template - CompA'!G643,'[2]Annex 4 template - CompA'!G649,'[2]Annex 4 template - CompA'!G653,'[2]Annex 4 template - CompA'!G659,'[2]Annex 4 template - CompA'!G664,'[2]Annex 4 template - CompA'!G670)</f>
        <v>0</v>
      </c>
      <c r="H9" s="61">
        <f>SUM('[2]Annex 4 template - CompA'!H353,'[2]Annex 4 template - CompA'!H359,'[2]Annex 4 template - CompA'!H365,'[2]Annex 4 template - CompA'!H371,'[2]Annex 4 template - CompA'!H377,'[2]Annex 4 template - CompA'!H383,'[2]Annex 4 template - CompA'!H389,'[2]Annex 4 template - CompA'!H395,'[2]Annex 4 template - CompA'!H401,'[2]Annex 4 template - CompA'!H407,'[2]Annex 4 template - CompA'!H413,'[2]Annex 4 template - CompA'!H419,'[2]Annex 4 template - CompA'!H425,'[2]Annex 4 template - CompA'!H431,'[2]Annex 4 template - CompA'!H437,'[2]Annex 4 template - CompA'!H443,'[2]Annex 4 template - CompA'!H449,'[2]Annex 4 template - CompA'!H455,'[2]Annex 4 template - CompA'!H461,'[2]Annex 4 template - CompA'!H466,'[2]Annex 4 template - CompA'!H471,'[2]Annex 4 template - CompA'!H476,'[2]Annex 4 template - CompA'!H481,'[2]Annex 4 template - CompA'!H486,'[2]Annex 4 template - CompA'!H491,'[2]Annex 4 template - CompA'!H496,'[2]Annex 4 template - CompA'!H501,'[2]Annex 4 template - CompA'!H506,'[2]Annex 4 template - CompA'!H511,'[2]Annex 4 template - CompA'!H516,'[2]Annex 4 template - CompA'!H521,'[2]Annex 4 template - CompA'!H526,'[2]Annex 4 template - CompA'!H535,'[2]Annex 4 template - CompA'!H552,'[2]Annex 4 template - CompA'!H571,'[2]Annex 4 template - CompA'!H576,'[2]Annex 4 template - CompA'!H584,'[2]Annex 4 template - CompA'!H603,'[2]Annex 4 template - CompA'!H609,'[2]Annex 4 template - CompA'!H614,'[2]Annex 4 template - CompA'!H621,'[2]Annex 4 template - CompA'!H627,'[2]Annex 4 template - CompA'!H632,'[2]Annex 4 template - CompA'!H638,'[2]Annex 4 template - CompA'!H643,'[2]Annex 4 template - CompA'!H649,'[2]Annex 4 template - CompA'!H653,'[2]Annex 4 template - CompA'!H659,'[2]Annex 4 template - CompA'!H664,'[2]Annex 4 template - CompA'!H670)</f>
        <v>139182.21629674028</v>
      </c>
      <c r="I9" s="61">
        <f>SUM('[2]Annex 4 template - CompA'!I353,'[2]Annex 4 template - CompA'!I359,'[2]Annex 4 template - CompA'!I365,'[2]Annex 4 template - CompA'!I371,'[2]Annex 4 template - CompA'!I377,'[2]Annex 4 template - CompA'!I383,'[2]Annex 4 template - CompA'!I389,'[2]Annex 4 template - CompA'!I395,'[2]Annex 4 template - CompA'!I401,'[2]Annex 4 template - CompA'!I407,'[2]Annex 4 template - CompA'!I413,'[2]Annex 4 template - CompA'!I419,'[2]Annex 4 template - CompA'!I425,'[2]Annex 4 template - CompA'!I431,'[2]Annex 4 template - CompA'!I437,'[2]Annex 4 template - CompA'!I443,'[2]Annex 4 template - CompA'!I449,'[2]Annex 4 template - CompA'!I455,'[2]Annex 4 template - CompA'!I461,'[2]Annex 4 template - CompA'!I466,'[2]Annex 4 template - CompA'!I471,'[2]Annex 4 template - CompA'!I476,'[2]Annex 4 template - CompA'!I481,'[2]Annex 4 template - CompA'!I486,'[2]Annex 4 template - CompA'!I491,'[2]Annex 4 template - CompA'!I496,'[2]Annex 4 template - CompA'!I501,'[2]Annex 4 template - CompA'!I506,'[2]Annex 4 template - CompA'!I511,'[2]Annex 4 template - CompA'!I516,'[2]Annex 4 template - CompA'!I521,'[2]Annex 4 template - CompA'!I526,'[2]Annex 4 template - CompA'!I535,'[2]Annex 4 template - CompA'!I552,'[2]Annex 4 template - CompA'!I571,'[2]Annex 4 template - CompA'!I576,'[2]Annex 4 template - CompA'!I584,'[2]Annex 4 template - CompA'!I603,'[2]Annex 4 template - CompA'!I609,'[2]Annex 4 template - CompA'!I614,'[2]Annex 4 template - CompA'!I621,'[2]Annex 4 template - CompA'!I627,'[2]Annex 4 template - CompA'!I632,'[2]Annex 4 template - CompA'!I638,'[2]Annex 4 template - CompA'!I643,'[2]Annex 4 template - CompA'!I649,'[2]Annex 4 template - CompA'!I653,'[2]Annex 4 template - CompA'!I659,'[2]Annex 4 template - CompA'!I664,'[2]Annex 4 template - CompA'!I670)</f>
        <v>488776.425386391</v>
      </c>
      <c r="J9" s="61">
        <f>SUM('[2]Annex 4 template - CompA'!J353,'[2]Annex 4 template - CompA'!J359,'[2]Annex 4 template - CompA'!J365,'[2]Annex 4 template - CompA'!J371,'[2]Annex 4 template - CompA'!J377,'[2]Annex 4 template - CompA'!J383,'[2]Annex 4 template - CompA'!J389,'[2]Annex 4 template - CompA'!J395,'[2]Annex 4 template - CompA'!J401,'[2]Annex 4 template - CompA'!J407,'[2]Annex 4 template - CompA'!J413,'[2]Annex 4 template - CompA'!J419,'[2]Annex 4 template - CompA'!J425,'[2]Annex 4 template - CompA'!J431,'[2]Annex 4 template - CompA'!J437,'[2]Annex 4 template - CompA'!J443,'[2]Annex 4 template - CompA'!J449,'[2]Annex 4 template - CompA'!J455,'[2]Annex 4 template - CompA'!J461,'[2]Annex 4 template - CompA'!J466,'[2]Annex 4 template - CompA'!J471,'[2]Annex 4 template - CompA'!J476,'[2]Annex 4 template - CompA'!J481,'[2]Annex 4 template - CompA'!J486,'[2]Annex 4 template - CompA'!J491,'[2]Annex 4 template - CompA'!J496,'[2]Annex 4 template - CompA'!J501,'[2]Annex 4 template - CompA'!J506,'[2]Annex 4 template - CompA'!J511,'[2]Annex 4 template - CompA'!J516,'[2]Annex 4 template - CompA'!J521,'[2]Annex 4 template - CompA'!J526,'[2]Annex 4 template - CompA'!J535,'[2]Annex 4 template - CompA'!J552,'[2]Annex 4 template - CompA'!J571,'[2]Annex 4 template - CompA'!J576,'[2]Annex 4 template - CompA'!J584,'[2]Annex 4 template - CompA'!J603,'[2]Annex 4 template - CompA'!J609,'[2]Annex 4 template - CompA'!J614,'[2]Annex 4 template - CompA'!J621,'[2]Annex 4 template - CompA'!J627,'[2]Annex 4 template - CompA'!J632,'[2]Annex 4 template - CompA'!J638,'[2]Annex 4 template - CompA'!J643,'[2]Annex 4 template - CompA'!J649,'[2]Annex 4 template - CompA'!J653,'[2]Annex 4 template - CompA'!J659,'[2]Annex 4 template - CompA'!J664,'[2]Annex 4 template - CompA'!J670)</f>
        <v>396650.25215150585</v>
      </c>
      <c r="K9" s="61">
        <f>SUM('[2]Annex 4 template - CompA'!K353,'[2]Annex 4 template - CompA'!K359,'[2]Annex 4 template - CompA'!K365,'[2]Annex 4 template - CompA'!K371,'[2]Annex 4 template - CompA'!K377,'[2]Annex 4 template - CompA'!K383,'[2]Annex 4 template - CompA'!K389,'[2]Annex 4 template - CompA'!K395,'[2]Annex 4 template - CompA'!K401,'[2]Annex 4 template - CompA'!K407,'[2]Annex 4 template - CompA'!K413,'[2]Annex 4 template - CompA'!K419,'[2]Annex 4 template - CompA'!K425,'[2]Annex 4 template - CompA'!K431,'[2]Annex 4 template - CompA'!K437,'[2]Annex 4 template - CompA'!K443,'[2]Annex 4 template - CompA'!K449,'[2]Annex 4 template - CompA'!K455,'[2]Annex 4 template - CompA'!K461,'[2]Annex 4 template - CompA'!K466,'[2]Annex 4 template - CompA'!K471,'[2]Annex 4 template - CompA'!K476,'[2]Annex 4 template - CompA'!K481,'[2]Annex 4 template - CompA'!K486,'[2]Annex 4 template - CompA'!K491,'[2]Annex 4 template - CompA'!K496,'[2]Annex 4 template - CompA'!K501,'[2]Annex 4 template - CompA'!K506,'[2]Annex 4 template - CompA'!K511,'[2]Annex 4 template - CompA'!K516,'[2]Annex 4 template - CompA'!K521,'[2]Annex 4 template - CompA'!K526,'[2]Annex 4 template - CompA'!K535,'[2]Annex 4 template - CompA'!K552,'[2]Annex 4 template - CompA'!K571,'[2]Annex 4 template - CompA'!K576,'[2]Annex 4 template - CompA'!K584,'[2]Annex 4 template - CompA'!K603,'[2]Annex 4 template - CompA'!K609,'[2]Annex 4 template - CompA'!K614,'[2]Annex 4 template - CompA'!K621,'[2]Annex 4 template - CompA'!K627,'[2]Annex 4 template - CompA'!K632,'[2]Annex 4 template - CompA'!K638,'[2]Annex 4 template - CompA'!K643,'[2]Annex 4 template - CompA'!K649,'[2]Annex 4 template - CompA'!K653,'[2]Annex 4 template - CompA'!K659,'[2]Annex 4 template - CompA'!K664,'[2]Annex 4 template - CompA'!K670)</f>
        <v>0</v>
      </c>
      <c r="L9" s="61">
        <f>SUM('[2]Annex 4 template - CompA'!L353,'[2]Annex 4 template - CompA'!L359,'[2]Annex 4 template - CompA'!L365,'[2]Annex 4 template - CompA'!L371,'[2]Annex 4 template - CompA'!L377,'[2]Annex 4 template - CompA'!L383,'[2]Annex 4 template - CompA'!L389,'[2]Annex 4 template - CompA'!L395,'[2]Annex 4 template - CompA'!L401,'[2]Annex 4 template - CompA'!L407,'[2]Annex 4 template - CompA'!L413,'[2]Annex 4 template - CompA'!L419,'[2]Annex 4 template - CompA'!L425,'[2]Annex 4 template - CompA'!L431,'[2]Annex 4 template - CompA'!L437,'[2]Annex 4 template - CompA'!L443,'[2]Annex 4 template - CompA'!L449,'[2]Annex 4 template - CompA'!L455,'[2]Annex 4 template - CompA'!L461,'[2]Annex 4 template - CompA'!L466,'[2]Annex 4 template - CompA'!L471,'[2]Annex 4 template - CompA'!L476,'[2]Annex 4 template - CompA'!L481,'[2]Annex 4 template - CompA'!L486,'[2]Annex 4 template - CompA'!L491,'[2]Annex 4 template - CompA'!L496,'[2]Annex 4 template - CompA'!L501,'[2]Annex 4 template - CompA'!L506,'[2]Annex 4 template - CompA'!L511,'[2]Annex 4 template - CompA'!L516,'[2]Annex 4 template - CompA'!L521,'[2]Annex 4 template - CompA'!L526,'[2]Annex 4 template - CompA'!L535,'[2]Annex 4 template - CompA'!L552,'[2]Annex 4 template - CompA'!L571,'[2]Annex 4 template - CompA'!L576,'[2]Annex 4 template - CompA'!L584,'[2]Annex 4 template - CompA'!L603,'[2]Annex 4 template - CompA'!L609,'[2]Annex 4 template - CompA'!L614,'[2]Annex 4 template - CompA'!L621,'[2]Annex 4 template - CompA'!L627,'[2]Annex 4 template - CompA'!L632,'[2]Annex 4 template - CompA'!L638,'[2]Annex 4 template - CompA'!L643,'[2]Annex 4 template - CompA'!L649,'[2]Annex 4 template - CompA'!L653,'[2]Annex 4 template - CompA'!L659,'[2]Annex 4 template - CompA'!L664,'[2]Annex 4 template - CompA'!L670)</f>
        <v>0</v>
      </c>
      <c r="M9" s="61">
        <f>SUM('[2]Annex 4 template - CompA'!M353,'[2]Annex 4 template - CompA'!M359,'[2]Annex 4 template - CompA'!M365,'[2]Annex 4 template - CompA'!M371,'[2]Annex 4 template - CompA'!M377,'[2]Annex 4 template - CompA'!M383,'[2]Annex 4 template - CompA'!M389,'[2]Annex 4 template - CompA'!M395,'[2]Annex 4 template - CompA'!M401,'[2]Annex 4 template - CompA'!M407,'[2]Annex 4 template - CompA'!M413,'[2]Annex 4 template - CompA'!M419,'[2]Annex 4 template - CompA'!M425,'[2]Annex 4 template - CompA'!M431,'[2]Annex 4 template - CompA'!M437,'[2]Annex 4 template - CompA'!M443,'[2]Annex 4 template - CompA'!M449,'[2]Annex 4 template - CompA'!M455,'[2]Annex 4 template - CompA'!M461,'[2]Annex 4 template - CompA'!M466,'[2]Annex 4 template - CompA'!M471,'[2]Annex 4 template - CompA'!M476,'[2]Annex 4 template - CompA'!M481,'[2]Annex 4 template - CompA'!M486,'[2]Annex 4 template - CompA'!M491,'[2]Annex 4 template - CompA'!M496,'[2]Annex 4 template - CompA'!M501,'[2]Annex 4 template - CompA'!M506,'[2]Annex 4 template - CompA'!M511,'[2]Annex 4 template - CompA'!M516,'[2]Annex 4 template - CompA'!M521,'[2]Annex 4 template - CompA'!M526,'[2]Annex 4 template - CompA'!M535,'[2]Annex 4 template - CompA'!M552,'[2]Annex 4 template - CompA'!M571,'[2]Annex 4 template - CompA'!M576,'[2]Annex 4 template - CompA'!M584,'[2]Annex 4 template - CompA'!M603,'[2]Annex 4 template - CompA'!M609,'[2]Annex 4 template - CompA'!M614,'[2]Annex 4 template - CompA'!M621,'[2]Annex 4 template - CompA'!M627,'[2]Annex 4 template - CompA'!M632,'[2]Annex 4 template - CompA'!M638,'[2]Annex 4 template - CompA'!M643,'[2]Annex 4 template - CompA'!M649,'[2]Annex 4 template - CompA'!M653,'[2]Annex 4 template - CompA'!M659,'[2]Annex 4 template - CompA'!M664,'[2]Annex 4 template - CompA'!M670)</f>
        <v>0</v>
      </c>
      <c r="N9" s="61">
        <f>SUM('[2]Annex 4 template - CompA'!N353,'[2]Annex 4 template - CompA'!N359,'[2]Annex 4 template - CompA'!N365,'[2]Annex 4 template - CompA'!N371,'[2]Annex 4 template - CompA'!N377,'[2]Annex 4 template - CompA'!N383,'[2]Annex 4 template - CompA'!N389,'[2]Annex 4 template - CompA'!N395,'[2]Annex 4 template - CompA'!N401,'[2]Annex 4 template - CompA'!N407,'[2]Annex 4 template - CompA'!N413,'[2]Annex 4 template - CompA'!N419,'[2]Annex 4 template - CompA'!N425,'[2]Annex 4 template - CompA'!N431,'[2]Annex 4 template - CompA'!N437,'[2]Annex 4 template - CompA'!N443,'[2]Annex 4 template - CompA'!N449,'[2]Annex 4 template - CompA'!N455,'[2]Annex 4 template - CompA'!N461,'[2]Annex 4 template - CompA'!N466,'[2]Annex 4 template - CompA'!N471,'[2]Annex 4 template - CompA'!N476,'[2]Annex 4 template - CompA'!N481,'[2]Annex 4 template - CompA'!N486,'[2]Annex 4 template - CompA'!N491,'[2]Annex 4 template - CompA'!N496,'[2]Annex 4 template - CompA'!N501,'[2]Annex 4 template - CompA'!N506,'[2]Annex 4 template - CompA'!N511,'[2]Annex 4 template - CompA'!N516,'[2]Annex 4 template - CompA'!N521,'[2]Annex 4 template - CompA'!N526,'[2]Annex 4 template - CompA'!N535,'[2]Annex 4 template - CompA'!N552,'[2]Annex 4 template - CompA'!N571,'[2]Annex 4 template - CompA'!N576,'[2]Annex 4 template - CompA'!N584,'[2]Annex 4 template - CompA'!N603,'[2]Annex 4 template - CompA'!N609,'[2]Annex 4 template - CompA'!N614,'[2]Annex 4 template - CompA'!N621,'[2]Annex 4 template - CompA'!N627,'[2]Annex 4 template - CompA'!N632,'[2]Annex 4 template - CompA'!N638,'[2]Annex 4 template - CompA'!N643,'[2]Annex 4 template - CompA'!N649,'[2]Annex 4 template - CompA'!N653,'[2]Annex 4 template - CompA'!N659,'[2]Annex 4 template - CompA'!N664,'[2]Annex 4 template - CompA'!N670)</f>
        <v>0</v>
      </c>
      <c r="O9" s="61">
        <f>SUM('[2]Annex 4 template - CompA'!O353,'[2]Annex 4 template - CompA'!O359,'[2]Annex 4 template - CompA'!O365,'[2]Annex 4 template - CompA'!O371,'[2]Annex 4 template - CompA'!O377,'[2]Annex 4 template - CompA'!O383,'[2]Annex 4 template - CompA'!O389,'[2]Annex 4 template - CompA'!O395,'[2]Annex 4 template - CompA'!O401,'[2]Annex 4 template - CompA'!O407,'[2]Annex 4 template - CompA'!O413,'[2]Annex 4 template - CompA'!O419,'[2]Annex 4 template - CompA'!O425,'[2]Annex 4 template - CompA'!O431,'[2]Annex 4 template - CompA'!O437,'[2]Annex 4 template - CompA'!O443,'[2]Annex 4 template - CompA'!O449,'[2]Annex 4 template - CompA'!O455,'[2]Annex 4 template - CompA'!O461,'[2]Annex 4 template - CompA'!O466,'[2]Annex 4 template - CompA'!O471,'[2]Annex 4 template - CompA'!O476,'[2]Annex 4 template - CompA'!O481,'[2]Annex 4 template - CompA'!O486,'[2]Annex 4 template - CompA'!O491,'[2]Annex 4 template - CompA'!O496,'[2]Annex 4 template - CompA'!O501,'[2]Annex 4 template - CompA'!O506,'[2]Annex 4 template - CompA'!O511,'[2]Annex 4 template - CompA'!O516,'[2]Annex 4 template - CompA'!O521,'[2]Annex 4 template - CompA'!O526,'[2]Annex 4 template - CompA'!O535,'[2]Annex 4 template - CompA'!O552,'[2]Annex 4 template - CompA'!O571,'[2]Annex 4 template - CompA'!O576,'[2]Annex 4 template - CompA'!O584,'[2]Annex 4 template - CompA'!O603,'[2]Annex 4 template - CompA'!O609,'[2]Annex 4 template - CompA'!O614,'[2]Annex 4 template - CompA'!O621,'[2]Annex 4 template - CompA'!O627,'[2]Annex 4 template - CompA'!O632,'[2]Annex 4 template - CompA'!O638,'[2]Annex 4 template - CompA'!O643,'[2]Annex 4 template - CompA'!O649,'[2]Annex 4 template - CompA'!O653,'[2]Annex 4 template - CompA'!O659,'[2]Annex 4 template - CompA'!O664,'[2]Annex 4 template - CompA'!O670)</f>
        <v>0</v>
      </c>
      <c r="P9" s="61">
        <f t="shared" ref="P9:P16" si="0">SUM(H9:O9)</f>
        <v>1024608.893834637</v>
      </c>
      <c r="Q9" s="63">
        <f t="shared" ref="Q9:Q46" si="1">C9-D9</f>
        <v>0</v>
      </c>
      <c r="R9" s="63">
        <f t="shared" ref="R9:R45" si="2">D9-P9</f>
        <v>0</v>
      </c>
      <c r="S9" s="63">
        <f t="shared" ref="S9:S20" si="3">C9-D9</f>
        <v>0</v>
      </c>
    </row>
    <row r="10" spans="2:19" ht="27" customHeight="1" x14ac:dyDescent="0.2">
      <c r="B10" s="60" t="str">
        <f>'[2]Annex 4 template - CompA'!C694</f>
        <v xml:space="preserve">1.1c. Review national policies and regulations to identify barriers to the equitable and sustainable use of FADs. </v>
      </c>
      <c r="C10" s="61">
        <f>SUM('[2]Annex 4 template - CompA'!D695:D993)</f>
        <v>1123436.9715443957</v>
      </c>
      <c r="D10" s="62">
        <f>SUM('[2]Annex 4 template - CompA'!D695,'[2]Annex 4 template - CompA'!D701,'[2]Annex 4 template - CompA'!D707,'[2]Annex 4 template - CompA'!D713,'[2]Annex 4 template - CompA'!D719,'[2]Annex 4 template - CompA'!D725,'[2]Annex 4 template - CompA'!D731,'[2]Annex 4 template - CompA'!D737,'[2]Annex 4 template - CompA'!D743,'[2]Annex 4 template - CompA'!D749,'[2]Annex 4 template - CompA'!D755,'[2]Annex 4 template - CompA'!D761,'[2]Annex 4 template - CompA'!D767,'[2]Annex 4 template - CompA'!D773,'[2]Annex 4 template - CompA'!D779,'[2]Annex 4 template - CompA'!D785,'[2]Annex 4 template - CompA'!D791,'[2]Annex 4 template - CompA'!D797,'[2]Annex 4 template - CompA'!D803,'[2]Annex 4 template - CompA'!D809,'[2]Annex 4 template - CompA'!D815,'[2]Annex 4 template - CompA'!D820,'[2]Annex 4 template - CompA'!D825,'[2]Annex 4 template - CompA'!D830,'[2]Annex 4 template - CompA'!D835,'[2]Annex 4 template - CompA'!D840,'[2]Annex 4 template - CompA'!D845,'[2]Annex 4 template - CompA'!D850,'[2]Annex 4 template - CompA'!D855,'[2]Annex 4 template - CompA'!D860,'[2]Annex 4 template - CompA'!D865,'[2]Annex 4 template - CompA'!D870,'[2]Annex 4 template - CompA'!D875,'[2]Annex 4 template - CompA'!D880,'[2]Annex 4 template - CompA'!D886,'[2]Annex 4 template - CompA'!D907,'[2]Annex 4 template - CompA'!D925,'[2]Annex 4 template - CompA'!D929,'[2]Annex 4 template - CompA'!D946,'[2]Annex 4 template - CompA'!D963,'[2]Annex 4 template - CompA'!D981,'[2]Annex 4 template - CompA'!D986,)</f>
        <v>1123436.9715443957</v>
      </c>
      <c r="E10" s="62">
        <f>SUM('[2]Annex 4 template - CompA'!E695,'[2]Annex 4 template - CompA'!E701,'[2]Annex 4 template - CompA'!E707,'[2]Annex 4 template - CompA'!E713,'[2]Annex 4 template - CompA'!E719,'[2]Annex 4 template - CompA'!E725,'[2]Annex 4 template - CompA'!E731,'[2]Annex 4 template - CompA'!E737,'[2]Annex 4 template - CompA'!E743,'[2]Annex 4 template - CompA'!E749,'[2]Annex 4 template - CompA'!E755,'[2]Annex 4 template - CompA'!E761,'[2]Annex 4 template - CompA'!E767,'[2]Annex 4 template - CompA'!E773,'[2]Annex 4 template - CompA'!E779,'[2]Annex 4 template - CompA'!E785,'[2]Annex 4 template - CompA'!E791,'[2]Annex 4 template - CompA'!E797,'[2]Annex 4 template - CompA'!E803,'[2]Annex 4 template - CompA'!E809,'[2]Annex 4 template - CompA'!E815,'[2]Annex 4 template - CompA'!E820,'[2]Annex 4 template - CompA'!E825,'[2]Annex 4 template - CompA'!E830,'[2]Annex 4 template - CompA'!E835,'[2]Annex 4 template - CompA'!E840,'[2]Annex 4 template - CompA'!E845,'[2]Annex 4 template - CompA'!E850,'[2]Annex 4 template - CompA'!E855,'[2]Annex 4 template - CompA'!E860,'[2]Annex 4 template - CompA'!E865,'[2]Annex 4 template - CompA'!E870,'[2]Annex 4 template - CompA'!E875,'[2]Annex 4 template - CompA'!E880,'[2]Annex 4 template - CompA'!E886,'[2]Annex 4 template - CompA'!E907,'[2]Annex 4 template - CompA'!E925,'[2]Annex 4 template - CompA'!E929,'[2]Annex 4 template - CompA'!E946,'[2]Annex 4 template - CompA'!E963,'[2]Annex 4 template - CompA'!E981,'[2]Annex 4 template - CompA'!E986,)</f>
        <v>0</v>
      </c>
      <c r="F10" s="62">
        <f>SUM('[2]Annex 4 template - CompA'!F695,'[2]Annex 4 template - CompA'!F701,'[2]Annex 4 template - CompA'!F707,'[2]Annex 4 template - CompA'!F713,'[2]Annex 4 template - CompA'!F719,'[2]Annex 4 template - CompA'!F725,'[2]Annex 4 template - CompA'!F731,'[2]Annex 4 template - CompA'!F737,'[2]Annex 4 template - CompA'!F743,'[2]Annex 4 template - CompA'!F749,'[2]Annex 4 template - CompA'!F755,'[2]Annex 4 template - CompA'!F761,'[2]Annex 4 template - CompA'!F767,'[2]Annex 4 template - CompA'!F773,'[2]Annex 4 template - CompA'!F779,'[2]Annex 4 template - CompA'!F785,'[2]Annex 4 template - CompA'!F791,'[2]Annex 4 template - CompA'!F797,'[2]Annex 4 template - CompA'!F803,'[2]Annex 4 template - CompA'!F809,'[2]Annex 4 template - CompA'!F815,'[2]Annex 4 template - CompA'!F820,'[2]Annex 4 template - CompA'!F825,'[2]Annex 4 template - CompA'!F830,'[2]Annex 4 template - CompA'!F835,'[2]Annex 4 template - CompA'!F840,'[2]Annex 4 template - CompA'!F845,'[2]Annex 4 template - CompA'!F850,'[2]Annex 4 template - CompA'!F855,'[2]Annex 4 template - CompA'!F860,'[2]Annex 4 template - CompA'!F865,'[2]Annex 4 template - CompA'!F870,'[2]Annex 4 template - CompA'!F875,'[2]Annex 4 template - CompA'!F880,'[2]Annex 4 template - CompA'!F886,'[2]Annex 4 template - CompA'!F907,'[2]Annex 4 template - CompA'!F925,'[2]Annex 4 template - CompA'!F929,'[2]Annex 4 template - CompA'!F946,'[2]Annex 4 template - CompA'!F963,'[2]Annex 4 template - CompA'!F981,'[2]Annex 4 template - CompA'!F986,)</f>
        <v>0</v>
      </c>
      <c r="G10" s="62">
        <f>SUM('[2]Annex 4 template - CompA'!G695,'[2]Annex 4 template - CompA'!G701,'[2]Annex 4 template - CompA'!G707,'[2]Annex 4 template - CompA'!G713,'[2]Annex 4 template - CompA'!G719,'[2]Annex 4 template - CompA'!G725,'[2]Annex 4 template - CompA'!G731,'[2]Annex 4 template - CompA'!G737,'[2]Annex 4 template - CompA'!G743,'[2]Annex 4 template - CompA'!G749,'[2]Annex 4 template - CompA'!G755,'[2]Annex 4 template - CompA'!G761,'[2]Annex 4 template - CompA'!G767,'[2]Annex 4 template - CompA'!G773,'[2]Annex 4 template - CompA'!G779,'[2]Annex 4 template - CompA'!G785,'[2]Annex 4 template - CompA'!G791,'[2]Annex 4 template - CompA'!G797,'[2]Annex 4 template - CompA'!G803,'[2]Annex 4 template - CompA'!G809,'[2]Annex 4 template - CompA'!G815,'[2]Annex 4 template - CompA'!G820,'[2]Annex 4 template - CompA'!G825,'[2]Annex 4 template - CompA'!G830,'[2]Annex 4 template - CompA'!G835,'[2]Annex 4 template - CompA'!G840,'[2]Annex 4 template - CompA'!G845,'[2]Annex 4 template - CompA'!G850,'[2]Annex 4 template - CompA'!G855,'[2]Annex 4 template - CompA'!G860,'[2]Annex 4 template - CompA'!G865,'[2]Annex 4 template - CompA'!G870,'[2]Annex 4 template - CompA'!G875,'[2]Annex 4 template - CompA'!G880,'[2]Annex 4 template - CompA'!G886,'[2]Annex 4 template - CompA'!G907,'[2]Annex 4 template - CompA'!G925,'[2]Annex 4 template - CompA'!G929,'[2]Annex 4 template - CompA'!G946,'[2]Annex 4 template - CompA'!G963,'[2]Annex 4 template - CompA'!G981,'[2]Annex 4 template - CompA'!G986,)</f>
        <v>0</v>
      </c>
      <c r="H10" s="62">
        <f>SUM('[2]Annex 4 template - CompA'!H695,'[2]Annex 4 template - CompA'!H701,'[2]Annex 4 template - CompA'!H707,'[2]Annex 4 template - CompA'!H713,'[2]Annex 4 template - CompA'!H719,'[2]Annex 4 template - CompA'!H725,'[2]Annex 4 template - CompA'!H731,'[2]Annex 4 template - CompA'!H737,'[2]Annex 4 template - CompA'!H743,'[2]Annex 4 template - CompA'!H749,'[2]Annex 4 template - CompA'!H755,'[2]Annex 4 template - CompA'!H761,'[2]Annex 4 template - CompA'!H767,'[2]Annex 4 template - CompA'!H773,'[2]Annex 4 template - CompA'!H779,'[2]Annex 4 template - CompA'!H785,'[2]Annex 4 template - CompA'!H791,'[2]Annex 4 template - CompA'!H797,'[2]Annex 4 template - CompA'!H803,'[2]Annex 4 template - CompA'!H809,'[2]Annex 4 template - CompA'!H815,'[2]Annex 4 template - CompA'!H820,'[2]Annex 4 template - CompA'!H825,'[2]Annex 4 template - CompA'!H830,'[2]Annex 4 template - CompA'!H835,'[2]Annex 4 template - CompA'!H840,'[2]Annex 4 template - CompA'!H845,'[2]Annex 4 template - CompA'!H850,'[2]Annex 4 template - CompA'!H855,'[2]Annex 4 template - CompA'!H860,'[2]Annex 4 template - CompA'!H865,'[2]Annex 4 template - CompA'!H870,'[2]Annex 4 template - CompA'!H875,'[2]Annex 4 template - CompA'!H880,'[2]Annex 4 template - CompA'!H886,'[2]Annex 4 template - CompA'!H907,'[2]Annex 4 template - CompA'!H925,'[2]Annex 4 template - CompA'!H929,'[2]Annex 4 template - CompA'!H946,'[2]Annex 4 template - CompA'!H963,'[2]Annex 4 template - CompA'!H981,'[2]Annex 4 template - CompA'!H986,)</f>
        <v>105771.71324899502</v>
      </c>
      <c r="I10" s="62">
        <f>SUM('[2]Annex 4 template - CompA'!I695,'[2]Annex 4 template - CompA'!I701,'[2]Annex 4 template - CompA'!I707,'[2]Annex 4 template - CompA'!I713,'[2]Annex 4 template - CompA'!I719,'[2]Annex 4 template - CompA'!I725,'[2]Annex 4 template - CompA'!I731,'[2]Annex 4 template - CompA'!I737,'[2]Annex 4 template - CompA'!I743,'[2]Annex 4 template - CompA'!I749,'[2]Annex 4 template - CompA'!I755,'[2]Annex 4 template - CompA'!I761,'[2]Annex 4 template - CompA'!I767,'[2]Annex 4 template - CompA'!I773,'[2]Annex 4 template - CompA'!I779,'[2]Annex 4 template - CompA'!I785,'[2]Annex 4 template - CompA'!I791,'[2]Annex 4 template - CompA'!I797,'[2]Annex 4 template - CompA'!I803,'[2]Annex 4 template - CompA'!I809,'[2]Annex 4 template - CompA'!I815,'[2]Annex 4 template - CompA'!I820,'[2]Annex 4 template - CompA'!I825,'[2]Annex 4 template - CompA'!I830,'[2]Annex 4 template - CompA'!I835,'[2]Annex 4 template - CompA'!I840,'[2]Annex 4 template - CompA'!I845,'[2]Annex 4 template - CompA'!I850,'[2]Annex 4 template - CompA'!I855,'[2]Annex 4 template - CompA'!I860,'[2]Annex 4 template - CompA'!I865,'[2]Annex 4 template - CompA'!I870,'[2]Annex 4 template - CompA'!I875,'[2]Annex 4 template - CompA'!I880,'[2]Annex 4 template - CompA'!I886,'[2]Annex 4 template - CompA'!I907,'[2]Annex 4 template - CompA'!I925,'[2]Annex 4 template - CompA'!I929,'[2]Annex 4 template - CompA'!I946,'[2]Annex 4 template - CompA'!I963,'[2]Annex 4 template - CompA'!I981,'[2]Annex 4 template - CompA'!I986,)</f>
        <v>713176.24148451793</v>
      </c>
      <c r="J10" s="62">
        <f>SUM('[2]Annex 4 template - CompA'!J695,'[2]Annex 4 template - CompA'!J701,'[2]Annex 4 template - CompA'!J707,'[2]Annex 4 template - CompA'!J713,'[2]Annex 4 template - CompA'!J719,'[2]Annex 4 template - CompA'!J725,'[2]Annex 4 template - CompA'!J731,'[2]Annex 4 template - CompA'!J737,'[2]Annex 4 template - CompA'!J743,'[2]Annex 4 template - CompA'!J749,'[2]Annex 4 template - CompA'!J755,'[2]Annex 4 template - CompA'!J761,'[2]Annex 4 template - CompA'!J767,'[2]Annex 4 template - CompA'!J773,'[2]Annex 4 template - CompA'!J779,'[2]Annex 4 template - CompA'!J785,'[2]Annex 4 template - CompA'!J791,'[2]Annex 4 template - CompA'!J797,'[2]Annex 4 template - CompA'!J803,'[2]Annex 4 template - CompA'!J809,'[2]Annex 4 template - CompA'!J815,'[2]Annex 4 template - CompA'!J820,'[2]Annex 4 template - CompA'!J825,'[2]Annex 4 template - CompA'!J830,'[2]Annex 4 template - CompA'!J835,'[2]Annex 4 template - CompA'!J840,'[2]Annex 4 template - CompA'!J845,'[2]Annex 4 template - CompA'!J850,'[2]Annex 4 template - CompA'!J855,'[2]Annex 4 template - CompA'!J860,'[2]Annex 4 template - CompA'!J865,'[2]Annex 4 template - CompA'!J870,'[2]Annex 4 template - CompA'!J875,'[2]Annex 4 template - CompA'!J880,'[2]Annex 4 template - CompA'!J886,'[2]Annex 4 template - CompA'!J907,'[2]Annex 4 template - CompA'!J925,'[2]Annex 4 template - CompA'!J929,'[2]Annex 4 template - CompA'!J946,'[2]Annex 4 template - CompA'!J963,'[2]Annex 4 template - CompA'!J981,'[2]Annex 4 template - CompA'!J986,)</f>
        <v>304489.01681088272</v>
      </c>
      <c r="K10" s="62">
        <f>SUM('[2]Annex 4 template - CompA'!K695,'[2]Annex 4 template - CompA'!K701,'[2]Annex 4 template - CompA'!K707,'[2]Annex 4 template - CompA'!K713,'[2]Annex 4 template - CompA'!K719,'[2]Annex 4 template - CompA'!K725,'[2]Annex 4 template - CompA'!K731,'[2]Annex 4 template - CompA'!K737,'[2]Annex 4 template - CompA'!K743,'[2]Annex 4 template - CompA'!K749,'[2]Annex 4 template - CompA'!K755,'[2]Annex 4 template - CompA'!K761,'[2]Annex 4 template - CompA'!K767,'[2]Annex 4 template - CompA'!K773,'[2]Annex 4 template - CompA'!K779,'[2]Annex 4 template - CompA'!K785,'[2]Annex 4 template - CompA'!K791,'[2]Annex 4 template - CompA'!K797,'[2]Annex 4 template - CompA'!K803,'[2]Annex 4 template - CompA'!K809,'[2]Annex 4 template - CompA'!K815,'[2]Annex 4 template - CompA'!K820,'[2]Annex 4 template - CompA'!K825,'[2]Annex 4 template - CompA'!K830,'[2]Annex 4 template - CompA'!K835,'[2]Annex 4 template - CompA'!K840,'[2]Annex 4 template - CompA'!K845,'[2]Annex 4 template - CompA'!K850,'[2]Annex 4 template - CompA'!K855,'[2]Annex 4 template - CompA'!K860,'[2]Annex 4 template - CompA'!K865,'[2]Annex 4 template - CompA'!K870,'[2]Annex 4 template - CompA'!K875,'[2]Annex 4 template - CompA'!K880,'[2]Annex 4 template - CompA'!K886,'[2]Annex 4 template - CompA'!K907,'[2]Annex 4 template - CompA'!K925,'[2]Annex 4 template - CompA'!K929,'[2]Annex 4 template - CompA'!K946,'[2]Annex 4 template - CompA'!K963,'[2]Annex 4 template - CompA'!K981,'[2]Annex 4 template - CompA'!K986,)</f>
        <v>0</v>
      </c>
      <c r="L10" s="62">
        <f>SUM('[2]Annex 4 template - CompA'!L695,'[2]Annex 4 template - CompA'!L701,'[2]Annex 4 template - CompA'!L707,'[2]Annex 4 template - CompA'!L713,'[2]Annex 4 template - CompA'!L719,'[2]Annex 4 template - CompA'!L725,'[2]Annex 4 template - CompA'!L731,'[2]Annex 4 template - CompA'!L737,'[2]Annex 4 template - CompA'!L743,'[2]Annex 4 template - CompA'!L749,'[2]Annex 4 template - CompA'!L755,'[2]Annex 4 template - CompA'!L761,'[2]Annex 4 template - CompA'!L767,'[2]Annex 4 template - CompA'!L773,'[2]Annex 4 template - CompA'!L779,'[2]Annex 4 template - CompA'!L785,'[2]Annex 4 template - CompA'!L791,'[2]Annex 4 template - CompA'!L797,'[2]Annex 4 template - CompA'!L803,'[2]Annex 4 template - CompA'!L809,'[2]Annex 4 template - CompA'!L815,'[2]Annex 4 template - CompA'!L820,'[2]Annex 4 template - CompA'!L825,'[2]Annex 4 template - CompA'!L830,'[2]Annex 4 template - CompA'!L835,'[2]Annex 4 template - CompA'!L840,'[2]Annex 4 template - CompA'!L845,'[2]Annex 4 template - CompA'!L850,'[2]Annex 4 template - CompA'!L855,'[2]Annex 4 template - CompA'!L860,'[2]Annex 4 template - CompA'!L865,'[2]Annex 4 template - CompA'!L870,'[2]Annex 4 template - CompA'!L875,'[2]Annex 4 template - CompA'!L880,'[2]Annex 4 template - CompA'!L886,'[2]Annex 4 template - CompA'!L907,'[2]Annex 4 template - CompA'!L925,'[2]Annex 4 template - CompA'!L929,'[2]Annex 4 template - CompA'!L946,'[2]Annex 4 template - CompA'!L963,'[2]Annex 4 template - CompA'!L981,'[2]Annex 4 template - CompA'!L986,)</f>
        <v>0</v>
      </c>
      <c r="M10" s="62">
        <f>SUM('[2]Annex 4 template - CompA'!M695,'[2]Annex 4 template - CompA'!M701,'[2]Annex 4 template - CompA'!M707,'[2]Annex 4 template - CompA'!M713,'[2]Annex 4 template - CompA'!M719,'[2]Annex 4 template - CompA'!M725,'[2]Annex 4 template - CompA'!M731,'[2]Annex 4 template - CompA'!M737,'[2]Annex 4 template - CompA'!M743,'[2]Annex 4 template - CompA'!M749,'[2]Annex 4 template - CompA'!M755,'[2]Annex 4 template - CompA'!M761,'[2]Annex 4 template - CompA'!M767,'[2]Annex 4 template - CompA'!M773,'[2]Annex 4 template - CompA'!M779,'[2]Annex 4 template - CompA'!M785,'[2]Annex 4 template - CompA'!M791,'[2]Annex 4 template - CompA'!M797,'[2]Annex 4 template - CompA'!M803,'[2]Annex 4 template - CompA'!M809,'[2]Annex 4 template - CompA'!M815,'[2]Annex 4 template - CompA'!M820,'[2]Annex 4 template - CompA'!M825,'[2]Annex 4 template - CompA'!M830,'[2]Annex 4 template - CompA'!M835,'[2]Annex 4 template - CompA'!M840,'[2]Annex 4 template - CompA'!M845,'[2]Annex 4 template - CompA'!M850,'[2]Annex 4 template - CompA'!M855,'[2]Annex 4 template - CompA'!M860,'[2]Annex 4 template - CompA'!M865,'[2]Annex 4 template - CompA'!M870,'[2]Annex 4 template - CompA'!M875,'[2]Annex 4 template - CompA'!M880,'[2]Annex 4 template - CompA'!M886,'[2]Annex 4 template - CompA'!M907,'[2]Annex 4 template - CompA'!M925,'[2]Annex 4 template - CompA'!M929,'[2]Annex 4 template - CompA'!M946,'[2]Annex 4 template - CompA'!M963,'[2]Annex 4 template - CompA'!M981,'[2]Annex 4 template - CompA'!M986,)</f>
        <v>0</v>
      </c>
      <c r="N10" s="62">
        <f>SUM('[2]Annex 4 template - CompA'!N695,'[2]Annex 4 template - CompA'!N701,'[2]Annex 4 template - CompA'!N707,'[2]Annex 4 template - CompA'!N713,'[2]Annex 4 template - CompA'!N719,'[2]Annex 4 template - CompA'!N725,'[2]Annex 4 template - CompA'!N731,'[2]Annex 4 template - CompA'!N737,'[2]Annex 4 template - CompA'!N743,'[2]Annex 4 template - CompA'!N749,'[2]Annex 4 template - CompA'!N755,'[2]Annex 4 template - CompA'!N761,'[2]Annex 4 template - CompA'!N767,'[2]Annex 4 template - CompA'!N773,'[2]Annex 4 template - CompA'!N779,'[2]Annex 4 template - CompA'!N785,'[2]Annex 4 template - CompA'!N791,'[2]Annex 4 template - CompA'!N797,'[2]Annex 4 template - CompA'!N803,'[2]Annex 4 template - CompA'!N809,'[2]Annex 4 template - CompA'!N815,'[2]Annex 4 template - CompA'!N820,'[2]Annex 4 template - CompA'!N825,'[2]Annex 4 template - CompA'!N830,'[2]Annex 4 template - CompA'!N835,'[2]Annex 4 template - CompA'!N840,'[2]Annex 4 template - CompA'!N845,'[2]Annex 4 template - CompA'!N850,'[2]Annex 4 template - CompA'!N855,'[2]Annex 4 template - CompA'!N860,'[2]Annex 4 template - CompA'!N865,'[2]Annex 4 template - CompA'!N870,'[2]Annex 4 template - CompA'!N875,'[2]Annex 4 template - CompA'!N880,'[2]Annex 4 template - CompA'!N886,'[2]Annex 4 template - CompA'!N907,'[2]Annex 4 template - CompA'!N925,'[2]Annex 4 template - CompA'!N929,'[2]Annex 4 template - CompA'!N946,'[2]Annex 4 template - CompA'!N963,'[2]Annex 4 template - CompA'!N981,'[2]Annex 4 template - CompA'!N986,)</f>
        <v>0</v>
      </c>
      <c r="O10" s="62">
        <f>SUM('[2]Annex 4 template - CompA'!O695,'[2]Annex 4 template - CompA'!O701,'[2]Annex 4 template - CompA'!O707,'[2]Annex 4 template - CompA'!O713,'[2]Annex 4 template - CompA'!O719,'[2]Annex 4 template - CompA'!O725,'[2]Annex 4 template - CompA'!O731,'[2]Annex 4 template - CompA'!O737,'[2]Annex 4 template - CompA'!O743,'[2]Annex 4 template - CompA'!O749,'[2]Annex 4 template - CompA'!O755,'[2]Annex 4 template - CompA'!O761,'[2]Annex 4 template - CompA'!O767,'[2]Annex 4 template - CompA'!O773,'[2]Annex 4 template - CompA'!O779,'[2]Annex 4 template - CompA'!O785,'[2]Annex 4 template - CompA'!O791,'[2]Annex 4 template - CompA'!O797,'[2]Annex 4 template - CompA'!O803,'[2]Annex 4 template - CompA'!O809,'[2]Annex 4 template - CompA'!O815,'[2]Annex 4 template - CompA'!O820,'[2]Annex 4 template - CompA'!O825,'[2]Annex 4 template - CompA'!O830,'[2]Annex 4 template - CompA'!O835,'[2]Annex 4 template - CompA'!O840,'[2]Annex 4 template - CompA'!O845,'[2]Annex 4 template - CompA'!O850,'[2]Annex 4 template - CompA'!O855,'[2]Annex 4 template - CompA'!O860,'[2]Annex 4 template - CompA'!O865,'[2]Annex 4 template - CompA'!O870,'[2]Annex 4 template - CompA'!O875,'[2]Annex 4 template - CompA'!O880,'[2]Annex 4 template - CompA'!O886,'[2]Annex 4 template - CompA'!O907,'[2]Annex 4 template - CompA'!O925,'[2]Annex 4 template - CompA'!O929,'[2]Annex 4 template - CompA'!O946,'[2]Annex 4 template - CompA'!O963,'[2]Annex 4 template - CompA'!O981,'[2]Annex 4 template - CompA'!O986,)</f>
        <v>0</v>
      </c>
      <c r="P10" s="61">
        <f t="shared" si="0"/>
        <v>1123436.9715443957</v>
      </c>
      <c r="Q10" s="63">
        <f t="shared" si="1"/>
        <v>0</v>
      </c>
      <c r="R10" s="63">
        <f t="shared" si="2"/>
        <v>0</v>
      </c>
      <c r="S10" s="63">
        <f t="shared" si="3"/>
        <v>0</v>
      </c>
    </row>
    <row r="11" spans="2:19" ht="27" x14ac:dyDescent="0.2">
      <c r="B11" s="60" t="str">
        <f>'[2]Annex 4 template - CompA'!C997</f>
        <v>1.1d Design and implement capacity development activities to augment the skills of national staff to implement national FAD programmes.</v>
      </c>
      <c r="C11" s="61">
        <f>SUM('[2]Annex 4 template - CompA'!D998:D1549)</f>
        <v>7339084.2239641929</v>
      </c>
      <c r="D11" s="62">
        <f>SUM('[2]Annex 4 template - CompA'!D998,'[2]Annex 4 template - CompA'!D1004,'[2]Annex 4 template - CompA'!D1010,'[2]Annex 4 template - CompA'!D1016,'[2]Annex 4 template - CompA'!D1022,'[2]Annex 4 template - CompA'!D1028,'[2]Annex 4 template - CompA'!D1034,'[2]Annex 4 template - CompA'!D1040,'[2]Annex 4 template - CompA'!D1046,'[2]Annex 4 template - CompA'!D1052,'[2]Annex 4 template - CompA'!D1058,'[2]Annex 4 template - CompA'!D1064,'[2]Annex 4 template - CompA'!D1070,'[2]Annex 4 template - CompA'!D1076,'[2]Annex 4 template - CompA'!D1082,'[2]Annex 4 template - CompA'!D1088,'[2]Annex 4 template - CompA'!D1094,'[2]Annex 4 template - CompA'!D1100,'[2]Annex 4 template - CompA'!D1106,'[2]Annex 4 template - CompA'!D1112,'[2]Annex 4 template - CompA'!D1118,'[2]Annex 4 template - CompA'!D1124,'[2]Annex 4 template - CompA'!D1130,'[2]Annex 4 template - CompA'!D1137,'[2]Annex 4 template - CompA'!D1142,'[2]Annex 4 template - CompA'!D1147,'[2]Annex 4 template - CompA'!D1152,'[2]Annex 4 template - CompA'!D1157,'[2]Annex 4 template - CompA'!D1162,'[2]Annex 4 template - CompA'!D1167,'[2]Annex 4 template - CompA'!D1172,'[2]Annex 4 template - CompA'!D1177,'[2]Annex 4 template - CompA'!D1182,'[2]Annex 4 template - CompA'!D1187,'[2]Annex 4 template - CompA'!D1192,'[2]Annex 4 template - CompA'!D1197,'[2]Annex 4 template - CompA'!D1202,'[2]Annex 4 template - CompA'!D1207,'[2]Annex 4 template - CompA'!D1212,'[2]Annex 4 template - CompA'!D1217,'[2]Annex 4 template - CompA'!D1222,'[2]Annex 4 template - CompA'!D1227,'[2]Annex 4 template - CompA'!D1233,'[2]Annex 4 template - CompA'!D1250,'[2]Annex 4 template - CompA'!D1270,'[2]Annex 4 template - CompA'!D1288,'[2]Annex 4 template - CompA'!D1324,'[2]Annex 4 template - CompA'!D1330,'[2]Annex 4 template - CompA'!D1335,'[2]Annex 4 template - CompA'!D1342,'[2]Annex 4 template - CompA'!D1348,'[2]Annex 4 template - CompA'!D1353,'[2]Annex 4 template - CompA'!D1359,'[2]Annex 4 template - CompA'!D1364,'[2]Annex 4 template - CompA'!D1370,'[2]Annex 4 template - CompA'!D1374,'[2]Annex 4 template - CompA'!D1380,'[2]Annex 4 template - CompA'!D1384,'[2]Annex 4 template - CompA'!D1390,'[2]Annex 4 template - CompA'!D1394,'[2]Annex 4 template - CompA'!D1412,'[2]Annex 4 template - CompA'!D1430,'[2]Annex 4 template - CompA'!D1447,'[2]Annex 4 template - CompA'!D1464,'[2]Annex 4 template - CompA'!D1481,'[2]Annex 4 template - CompA'!D1498,'[2]Annex 4 template - CompA'!D1515,'[2]Annex 4 template - CompA'!D1532,'[2]Annex 4 template - CompA'!D1538,'[2]Annex 4 template - CompA'!D1544,)</f>
        <v>7339084.2239641929</v>
      </c>
      <c r="E11" s="62">
        <f>SUM('[2]Annex 4 template - CompA'!E998,'[2]Annex 4 template - CompA'!E1004,'[2]Annex 4 template - CompA'!E1010,'[2]Annex 4 template - CompA'!E1016,'[2]Annex 4 template - CompA'!E1022,'[2]Annex 4 template - CompA'!E1028,'[2]Annex 4 template - CompA'!E1034,'[2]Annex 4 template - CompA'!E1040,'[2]Annex 4 template - CompA'!E1046,'[2]Annex 4 template - CompA'!E1052,'[2]Annex 4 template - CompA'!E1058,'[2]Annex 4 template - CompA'!E1064,'[2]Annex 4 template - CompA'!E1070,'[2]Annex 4 template - CompA'!E1076,'[2]Annex 4 template - CompA'!E1082,'[2]Annex 4 template - CompA'!E1088,'[2]Annex 4 template - CompA'!E1094,'[2]Annex 4 template - CompA'!E1100,'[2]Annex 4 template - CompA'!E1106,'[2]Annex 4 template - CompA'!E1112,'[2]Annex 4 template - CompA'!E1118,'[2]Annex 4 template - CompA'!E1124,'[2]Annex 4 template - CompA'!E1130,'[2]Annex 4 template - CompA'!E1137,'[2]Annex 4 template - CompA'!E1142,'[2]Annex 4 template - CompA'!E1147,'[2]Annex 4 template - CompA'!E1152,'[2]Annex 4 template - CompA'!E1157,'[2]Annex 4 template - CompA'!E1162,'[2]Annex 4 template - CompA'!E1167,'[2]Annex 4 template - CompA'!E1172,'[2]Annex 4 template - CompA'!E1177,'[2]Annex 4 template - CompA'!E1182,'[2]Annex 4 template - CompA'!E1187,'[2]Annex 4 template - CompA'!E1192,'[2]Annex 4 template - CompA'!E1197,'[2]Annex 4 template - CompA'!E1202,'[2]Annex 4 template - CompA'!E1207,'[2]Annex 4 template - CompA'!E1212,'[2]Annex 4 template - CompA'!E1217,'[2]Annex 4 template - CompA'!E1222,'[2]Annex 4 template - CompA'!E1227,'[2]Annex 4 template - CompA'!E1233,'[2]Annex 4 template - CompA'!E1250,'[2]Annex 4 template - CompA'!E1270,'[2]Annex 4 template - CompA'!E1288,'[2]Annex 4 template - CompA'!E1324,'[2]Annex 4 template - CompA'!E1330,'[2]Annex 4 template - CompA'!E1335,'[2]Annex 4 template - CompA'!E1342,'[2]Annex 4 template - CompA'!E1348,'[2]Annex 4 template - CompA'!E1353,'[2]Annex 4 template - CompA'!E1359,'[2]Annex 4 template - CompA'!E1364,'[2]Annex 4 template - CompA'!E1370,'[2]Annex 4 template - CompA'!E1374,'[2]Annex 4 template - CompA'!E1380,'[2]Annex 4 template - CompA'!E1384,'[2]Annex 4 template - CompA'!E1390,'[2]Annex 4 template - CompA'!E1394,'[2]Annex 4 template - CompA'!E1412,'[2]Annex 4 template - CompA'!E1430,'[2]Annex 4 template - CompA'!E1447,'[2]Annex 4 template - CompA'!E1464,'[2]Annex 4 template - CompA'!E1481,'[2]Annex 4 template - CompA'!E1498,'[2]Annex 4 template - CompA'!E1515,'[2]Annex 4 template - CompA'!E1532,'[2]Annex 4 template - CompA'!E1538,'[2]Annex 4 template - CompA'!E1544,)</f>
        <v>0</v>
      </c>
      <c r="F11" s="62">
        <f>SUM('[2]Annex 4 template - CompA'!F998,'[2]Annex 4 template - CompA'!F1004,'[2]Annex 4 template - CompA'!F1010,'[2]Annex 4 template - CompA'!F1016,'[2]Annex 4 template - CompA'!F1022,'[2]Annex 4 template - CompA'!F1028,'[2]Annex 4 template - CompA'!F1034,'[2]Annex 4 template - CompA'!F1040,'[2]Annex 4 template - CompA'!F1046,'[2]Annex 4 template - CompA'!F1052,'[2]Annex 4 template - CompA'!F1058,'[2]Annex 4 template - CompA'!F1064,'[2]Annex 4 template - CompA'!F1070,'[2]Annex 4 template - CompA'!F1076,'[2]Annex 4 template - CompA'!F1082,'[2]Annex 4 template - CompA'!F1088,'[2]Annex 4 template - CompA'!F1094,'[2]Annex 4 template - CompA'!F1100,'[2]Annex 4 template - CompA'!F1106,'[2]Annex 4 template - CompA'!F1112,'[2]Annex 4 template - CompA'!F1118,'[2]Annex 4 template - CompA'!F1124,'[2]Annex 4 template - CompA'!F1130,'[2]Annex 4 template - CompA'!F1137,'[2]Annex 4 template - CompA'!F1142,'[2]Annex 4 template - CompA'!F1147,'[2]Annex 4 template - CompA'!F1152,'[2]Annex 4 template - CompA'!F1157,'[2]Annex 4 template - CompA'!F1162,'[2]Annex 4 template - CompA'!F1167,'[2]Annex 4 template - CompA'!F1172,'[2]Annex 4 template - CompA'!F1177,'[2]Annex 4 template - CompA'!F1182,'[2]Annex 4 template - CompA'!F1187,'[2]Annex 4 template - CompA'!F1192,'[2]Annex 4 template - CompA'!F1197,'[2]Annex 4 template - CompA'!F1202,'[2]Annex 4 template - CompA'!F1207,'[2]Annex 4 template - CompA'!F1212,'[2]Annex 4 template - CompA'!F1217,'[2]Annex 4 template - CompA'!F1222,'[2]Annex 4 template - CompA'!F1227,'[2]Annex 4 template - CompA'!F1233,'[2]Annex 4 template - CompA'!F1250,'[2]Annex 4 template - CompA'!F1270,'[2]Annex 4 template - CompA'!F1288,'[2]Annex 4 template - CompA'!F1324,'[2]Annex 4 template - CompA'!F1330,'[2]Annex 4 template - CompA'!F1335,'[2]Annex 4 template - CompA'!F1342,'[2]Annex 4 template - CompA'!F1348,'[2]Annex 4 template - CompA'!F1353,'[2]Annex 4 template - CompA'!F1359,'[2]Annex 4 template - CompA'!F1364,'[2]Annex 4 template - CompA'!F1370,'[2]Annex 4 template - CompA'!F1374,'[2]Annex 4 template - CompA'!F1380,'[2]Annex 4 template - CompA'!F1384,'[2]Annex 4 template - CompA'!F1390,'[2]Annex 4 template - CompA'!F1394,'[2]Annex 4 template - CompA'!F1412,'[2]Annex 4 template - CompA'!F1430,'[2]Annex 4 template - CompA'!F1447,'[2]Annex 4 template - CompA'!F1464,'[2]Annex 4 template - CompA'!F1481,'[2]Annex 4 template - CompA'!F1498,'[2]Annex 4 template - CompA'!F1515,'[2]Annex 4 template - CompA'!F1532,'[2]Annex 4 template - CompA'!F1538,'[2]Annex 4 template - CompA'!F1544,)</f>
        <v>0</v>
      </c>
      <c r="G11" s="62">
        <f>SUM('[2]Annex 4 template - CompA'!G998,'[2]Annex 4 template - CompA'!G1004,'[2]Annex 4 template - CompA'!G1010,'[2]Annex 4 template - CompA'!G1016,'[2]Annex 4 template - CompA'!G1022,'[2]Annex 4 template - CompA'!G1028,'[2]Annex 4 template - CompA'!G1034,'[2]Annex 4 template - CompA'!G1040,'[2]Annex 4 template - CompA'!G1046,'[2]Annex 4 template - CompA'!G1052,'[2]Annex 4 template - CompA'!G1058,'[2]Annex 4 template - CompA'!G1064,'[2]Annex 4 template - CompA'!G1070,'[2]Annex 4 template - CompA'!G1076,'[2]Annex 4 template - CompA'!G1082,'[2]Annex 4 template - CompA'!G1088,'[2]Annex 4 template - CompA'!G1094,'[2]Annex 4 template - CompA'!G1100,'[2]Annex 4 template - CompA'!G1106,'[2]Annex 4 template - CompA'!G1112,'[2]Annex 4 template - CompA'!G1118,'[2]Annex 4 template - CompA'!G1124,'[2]Annex 4 template - CompA'!G1130,'[2]Annex 4 template - CompA'!G1137,'[2]Annex 4 template - CompA'!G1142,'[2]Annex 4 template - CompA'!G1147,'[2]Annex 4 template - CompA'!G1152,'[2]Annex 4 template - CompA'!G1157,'[2]Annex 4 template - CompA'!G1162,'[2]Annex 4 template - CompA'!G1167,'[2]Annex 4 template - CompA'!G1172,'[2]Annex 4 template - CompA'!G1177,'[2]Annex 4 template - CompA'!G1182,'[2]Annex 4 template - CompA'!G1187,'[2]Annex 4 template - CompA'!G1192,'[2]Annex 4 template - CompA'!G1197,'[2]Annex 4 template - CompA'!G1202,'[2]Annex 4 template - CompA'!G1207,'[2]Annex 4 template - CompA'!G1212,'[2]Annex 4 template - CompA'!G1217,'[2]Annex 4 template - CompA'!G1222,'[2]Annex 4 template - CompA'!G1227,'[2]Annex 4 template - CompA'!G1233,'[2]Annex 4 template - CompA'!G1250,'[2]Annex 4 template - CompA'!G1270,'[2]Annex 4 template - CompA'!G1288,'[2]Annex 4 template - CompA'!G1324,'[2]Annex 4 template - CompA'!G1330,'[2]Annex 4 template - CompA'!G1335,'[2]Annex 4 template - CompA'!G1342,'[2]Annex 4 template - CompA'!G1348,'[2]Annex 4 template - CompA'!G1353,'[2]Annex 4 template - CompA'!G1359,'[2]Annex 4 template - CompA'!G1364,'[2]Annex 4 template - CompA'!G1370,'[2]Annex 4 template - CompA'!G1374,'[2]Annex 4 template - CompA'!G1380,'[2]Annex 4 template - CompA'!G1384,'[2]Annex 4 template - CompA'!G1390,'[2]Annex 4 template - CompA'!G1394,'[2]Annex 4 template - CompA'!G1412,'[2]Annex 4 template - CompA'!G1430,'[2]Annex 4 template - CompA'!G1447,'[2]Annex 4 template - CompA'!G1464,'[2]Annex 4 template - CompA'!G1481,'[2]Annex 4 template - CompA'!G1498,'[2]Annex 4 template - CompA'!G1515,'[2]Annex 4 template - CompA'!G1532,'[2]Annex 4 template - CompA'!G1538,'[2]Annex 4 template - CompA'!G1544,)</f>
        <v>0</v>
      </c>
      <c r="H11" s="62">
        <f>SUM('[2]Annex 4 template - CompA'!H998,'[2]Annex 4 template - CompA'!H1004,'[2]Annex 4 template - CompA'!H1010,'[2]Annex 4 template - CompA'!H1016,'[2]Annex 4 template - CompA'!H1022,'[2]Annex 4 template - CompA'!H1028,'[2]Annex 4 template - CompA'!H1034,'[2]Annex 4 template - CompA'!H1040,'[2]Annex 4 template - CompA'!H1046,'[2]Annex 4 template - CompA'!H1052,'[2]Annex 4 template - CompA'!H1058,'[2]Annex 4 template - CompA'!H1064,'[2]Annex 4 template - CompA'!H1070,'[2]Annex 4 template - CompA'!H1076,'[2]Annex 4 template - CompA'!H1082,'[2]Annex 4 template - CompA'!H1088,'[2]Annex 4 template - CompA'!H1094,'[2]Annex 4 template - CompA'!H1100,'[2]Annex 4 template - CompA'!H1106,'[2]Annex 4 template - CompA'!H1112,'[2]Annex 4 template - CompA'!H1118,'[2]Annex 4 template - CompA'!H1124,'[2]Annex 4 template - CompA'!H1130,'[2]Annex 4 template - CompA'!H1137,'[2]Annex 4 template - CompA'!H1142,'[2]Annex 4 template - CompA'!H1147,'[2]Annex 4 template - CompA'!H1152,'[2]Annex 4 template - CompA'!H1157,'[2]Annex 4 template - CompA'!H1162,'[2]Annex 4 template - CompA'!H1167,'[2]Annex 4 template - CompA'!H1172,'[2]Annex 4 template - CompA'!H1177,'[2]Annex 4 template - CompA'!H1182,'[2]Annex 4 template - CompA'!H1187,'[2]Annex 4 template - CompA'!H1192,'[2]Annex 4 template - CompA'!H1197,'[2]Annex 4 template - CompA'!H1202,'[2]Annex 4 template - CompA'!H1207,'[2]Annex 4 template - CompA'!H1212,'[2]Annex 4 template - CompA'!H1217,'[2]Annex 4 template - CompA'!H1222,'[2]Annex 4 template - CompA'!H1227,'[2]Annex 4 template - CompA'!H1233,'[2]Annex 4 template - CompA'!H1250,'[2]Annex 4 template - CompA'!H1270,'[2]Annex 4 template - CompA'!H1288,'[2]Annex 4 template - CompA'!H1324,'[2]Annex 4 template - CompA'!H1330,'[2]Annex 4 template - CompA'!H1335,'[2]Annex 4 template - CompA'!H1342,'[2]Annex 4 template - CompA'!H1348,'[2]Annex 4 template - CompA'!H1353,'[2]Annex 4 template - CompA'!H1359,'[2]Annex 4 template - CompA'!H1364,'[2]Annex 4 template - CompA'!H1370,'[2]Annex 4 template - CompA'!H1374,'[2]Annex 4 template - CompA'!H1380,'[2]Annex 4 template - CompA'!H1384,'[2]Annex 4 template - CompA'!H1390,'[2]Annex 4 template - CompA'!H1394,'[2]Annex 4 template - CompA'!H1412,'[2]Annex 4 template - CompA'!H1430,'[2]Annex 4 template - CompA'!H1447,'[2]Annex 4 template - CompA'!H1464,'[2]Annex 4 template - CompA'!H1481,'[2]Annex 4 template - CompA'!H1498,'[2]Annex 4 template - CompA'!H1515,'[2]Annex 4 template - CompA'!H1532,'[2]Annex 4 template - CompA'!H1538,'[2]Annex 4 template - CompA'!H1544,)</f>
        <v>120817.4872915067</v>
      </c>
      <c r="I11" s="62">
        <f>SUM('[2]Annex 4 template - CompA'!I998,'[2]Annex 4 template - CompA'!I1004,'[2]Annex 4 template - CompA'!I1010,'[2]Annex 4 template - CompA'!I1016,'[2]Annex 4 template - CompA'!I1022,'[2]Annex 4 template - CompA'!I1028,'[2]Annex 4 template - CompA'!I1034,'[2]Annex 4 template - CompA'!I1040,'[2]Annex 4 template - CompA'!I1046,'[2]Annex 4 template - CompA'!I1052,'[2]Annex 4 template - CompA'!I1058,'[2]Annex 4 template - CompA'!I1064,'[2]Annex 4 template - CompA'!I1070,'[2]Annex 4 template - CompA'!I1076,'[2]Annex 4 template - CompA'!I1082,'[2]Annex 4 template - CompA'!I1088,'[2]Annex 4 template - CompA'!I1094,'[2]Annex 4 template - CompA'!I1100,'[2]Annex 4 template - CompA'!I1106,'[2]Annex 4 template - CompA'!I1112,'[2]Annex 4 template - CompA'!I1118,'[2]Annex 4 template - CompA'!I1124,'[2]Annex 4 template - CompA'!I1130,'[2]Annex 4 template - CompA'!I1137,'[2]Annex 4 template - CompA'!I1142,'[2]Annex 4 template - CompA'!I1147,'[2]Annex 4 template - CompA'!I1152,'[2]Annex 4 template - CompA'!I1157,'[2]Annex 4 template - CompA'!I1162,'[2]Annex 4 template - CompA'!I1167,'[2]Annex 4 template - CompA'!I1172,'[2]Annex 4 template - CompA'!I1177,'[2]Annex 4 template - CompA'!I1182,'[2]Annex 4 template - CompA'!I1187,'[2]Annex 4 template - CompA'!I1192,'[2]Annex 4 template - CompA'!I1197,'[2]Annex 4 template - CompA'!I1202,'[2]Annex 4 template - CompA'!I1207,'[2]Annex 4 template - CompA'!I1212,'[2]Annex 4 template - CompA'!I1217,'[2]Annex 4 template - CompA'!I1222,'[2]Annex 4 template - CompA'!I1227,'[2]Annex 4 template - CompA'!I1233,'[2]Annex 4 template - CompA'!I1250,'[2]Annex 4 template - CompA'!I1270,'[2]Annex 4 template - CompA'!I1288,'[2]Annex 4 template - CompA'!I1324,'[2]Annex 4 template - CompA'!I1330,'[2]Annex 4 template - CompA'!I1335,'[2]Annex 4 template - CompA'!I1342,'[2]Annex 4 template - CompA'!I1348,'[2]Annex 4 template - CompA'!I1353,'[2]Annex 4 template - CompA'!I1359,'[2]Annex 4 template - CompA'!I1364,'[2]Annex 4 template - CompA'!I1370,'[2]Annex 4 template - CompA'!I1374,'[2]Annex 4 template - CompA'!I1380,'[2]Annex 4 template - CompA'!I1384,'[2]Annex 4 template - CompA'!I1390,'[2]Annex 4 template - CompA'!I1394,'[2]Annex 4 template - CompA'!I1412,'[2]Annex 4 template - CompA'!I1430,'[2]Annex 4 template - CompA'!I1447,'[2]Annex 4 template - CompA'!I1464,'[2]Annex 4 template - CompA'!I1481,'[2]Annex 4 template - CompA'!I1498,'[2]Annex 4 template - CompA'!I1515,'[2]Annex 4 template - CompA'!I1532,'[2]Annex 4 template - CompA'!I1538,'[2]Annex 4 template - CompA'!I1544,)</f>
        <v>1174071.4497433496</v>
      </c>
      <c r="J11" s="62">
        <f>SUM('[2]Annex 4 template - CompA'!J998,'[2]Annex 4 template - CompA'!J1004,'[2]Annex 4 template - CompA'!J1010,'[2]Annex 4 template - CompA'!J1016,'[2]Annex 4 template - CompA'!J1022,'[2]Annex 4 template - CompA'!J1028,'[2]Annex 4 template - CompA'!J1034,'[2]Annex 4 template - CompA'!J1040,'[2]Annex 4 template - CompA'!J1046,'[2]Annex 4 template - CompA'!J1052,'[2]Annex 4 template - CompA'!J1058,'[2]Annex 4 template - CompA'!J1064,'[2]Annex 4 template - CompA'!J1070,'[2]Annex 4 template - CompA'!J1076,'[2]Annex 4 template - CompA'!J1082,'[2]Annex 4 template - CompA'!J1088,'[2]Annex 4 template - CompA'!J1094,'[2]Annex 4 template - CompA'!J1100,'[2]Annex 4 template - CompA'!J1106,'[2]Annex 4 template - CompA'!J1112,'[2]Annex 4 template - CompA'!J1118,'[2]Annex 4 template - CompA'!J1124,'[2]Annex 4 template - CompA'!J1130,'[2]Annex 4 template - CompA'!J1137,'[2]Annex 4 template - CompA'!J1142,'[2]Annex 4 template - CompA'!J1147,'[2]Annex 4 template - CompA'!J1152,'[2]Annex 4 template - CompA'!J1157,'[2]Annex 4 template - CompA'!J1162,'[2]Annex 4 template - CompA'!J1167,'[2]Annex 4 template - CompA'!J1172,'[2]Annex 4 template - CompA'!J1177,'[2]Annex 4 template - CompA'!J1182,'[2]Annex 4 template - CompA'!J1187,'[2]Annex 4 template - CompA'!J1192,'[2]Annex 4 template - CompA'!J1197,'[2]Annex 4 template - CompA'!J1202,'[2]Annex 4 template - CompA'!J1207,'[2]Annex 4 template - CompA'!J1212,'[2]Annex 4 template - CompA'!J1217,'[2]Annex 4 template - CompA'!J1222,'[2]Annex 4 template - CompA'!J1227,'[2]Annex 4 template - CompA'!J1233,'[2]Annex 4 template - CompA'!J1250,'[2]Annex 4 template - CompA'!J1270,'[2]Annex 4 template - CompA'!J1288,'[2]Annex 4 template - CompA'!J1324,'[2]Annex 4 template - CompA'!J1330,'[2]Annex 4 template - CompA'!J1335,'[2]Annex 4 template - CompA'!J1342,'[2]Annex 4 template - CompA'!J1348,'[2]Annex 4 template - CompA'!J1353,'[2]Annex 4 template - CompA'!J1359,'[2]Annex 4 template - CompA'!J1364,'[2]Annex 4 template - CompA'!J1370,'[2]Annex 4 template - CompA'!J1374,'[2]Annex 4 template - CompA'!J1380,'[2]Annex 4 template - CompA'!J1384,'[2]Annex 4 template - CompA'!J1390,'[2]Annex 4 template - CompA'!J1394,'[2]Annex 4 template - CompA'!J1412,'[2]Annex 4 template - CompA'!J1430,'[2]Annex 4 template - CompA'!J1447,'[2]Annex 4 template - CompA'!J1464,'[2]Annex 4 template - CompA'!J1481,'[2]Annex 4 template - CompA'!J1498,'[2]Annex 4 template - CompA'!J1515,'[2]Annex 4 template - CompA'!J1532,'[2]Annex 4 template - CompA'!J1538,'[2]Annex 4 template - CompA'!J1544,)</f>
        <v>1730548.5189310554</v>
      </c>
      <c r="K11" s="62">
        <f>SUM('[2]Annex 4 template - CompA'!K998,'[2]Annex 4 template - CompA'!K1004,'[2]Annex 4 template - CompA'!K1010,'[2]Annex 4 template - CompA'!K1016,'[2]Annex 4 template - CompA'!K1022,'[2]Annex 4 template - CompA'!K1028,'[2]Annex 4 template - CompA'!K1034,'[2]Annex 4 template - CompA'!K1040,'[2]Annex 4 template - CompA'!K1046,'[2]Annex 4 template - CompA'!K1052,'[2]Annex 4 template - CompA'!K1058,'[2]Annex 4 template - CompA'!K1064,'[2]Annex 4 template - CompA'!K1070,'[2]Annex 4 template - CompA'!K1076,'[2]Annex 4 template - CompA'!K1082,'[2]Annex 4 template - CompA'!K1088,'[2]Annex 4 template - CompA'!K1094,'[2]Annex 4 template - CompA'!K1100,'[2]Annex 4 template - CompA'!K1106,'[2]Annex 4 template - CompA'!K1112,'[2]Annex 4 template - CompA'!K1118,'[2]Annex 4 template - CompA'!K1124,'[2]Annex 4 template - CompA'!K1130,'[2]Annex 4 template - CompA'!K1137,'[2]Annex 4 template - CompA'!K1142,'[2]Annex 4 template - CompA'!K1147,'[2]Annex 4 template - CompA'!K1152,'[2]Annex 4 template - CompA'!K1157,'[2]Annex 4 template - CompA'!K1162,'[2]Annex 4 template - CompA'!K1167,'[2]Annex 4 template - CompA'!K1172,'[2]Annex 4 template - CompA'!K1177,'[2]Annex 4 template - CompA'!K1182,'[2]Annex 4 template - CompA'!K1187,'[2]Annex 4 template - CompA'!K1192,'[2]Annex 4 template - CompA'!K1197,'[2]Annex 4 template - CompA'!K1202,'[2]Annex 4 template - CompA'!K1207,'[2]Annex 4 template - CompA'!K1212,'[2]Annex 4 template - CompA'!K1217,'[2]Annex 4 template - CompA'!K1222,'[2]Annex 4 template - CompA'!K1227,'[2]Annex 4 template - CompA'!K1233,'[2]Annex 4 template - CompA'!K1250,'[2]Annex 4 template - CompA'!K1270,'[2]Annex 4 template - CompA'!K1288,'[2]Annex 4 template - CompA'!K1324,'[2]Annex 4 template - CompA'!K1330,'[2]Annex 4 template - CompA'!K1335,'[2]Annex 4 template - CompA'!K1342,'[2]Annex 4 template - CompA'!K1348,'[2]Annex 4 template - CompA'!K1353,'[2]Annex 4 template - CompA'!K1359,'[2]Annex 4 template - CompA'!K1364,'[2]Annex 4 template - CompA'!K1370,'[2]Annex 4 template - CompA'!K1374,'[2]Annex 4 template - CompA'!K1380,'[2]Annex 4 template - CompA'!K1384,'[2]Annex 4 template - CompA'!K1390,'[2]Annex 4 template - CompA'!K1394,'[2]Annex 4 template - CompA'!K1412,'[2]Annex 4 template - CompA'!K1430,'[2]Annex 4 template - CompA'!K1447,'[2]Annex 4 template - CompA'!K1464,'[2]Annex 4 template - CompA'!K1481,'[2]Annex 4 template - CompA'!K1498,'[2]Annex 4 template - CompA'!K1515,'[2]Annex 4 template - CompA'!K1532,'[2]Annex 4 template - CompA'!K1538,'[2]Annex 4 template - CompA'!K1544,)</f>
        <v>1726659.9528045354</v>
      </c>
      <c r="L11" s="62">
        <f>SUM('[2]Annex 4 template - CompA'!L998,'[2]Annex 4 template - CompA'!L1004,'[2]Annex 4 template - CompA'!L1010,'[2]Annex 4 template - CompA'!L1016,'[2]Annex 4 template - CompA'!L1022,'[2]Annex 4 template - CompA'!L1028,'[2]Annex 4 template - CompA'!L1034,'[2]Annex 4 template - CompA'!L1040,'[2]Annex 4 template - CompA'!L1046,'[2]Annex 4 template - CompA'!L1052,'[2]Annex 4 template - CompA'!L1058,'[2]Annex 4 template - CompA'!L1064,'[2]Annex 4 template - CompA'!L1070,'[2]Annex 4 template - CompA'!L1076,'[2]Annex 4 template - CompA'!L1082,'[2]Annex 4 template - CompA'!L1088,'[2]Annex 4 template - CompA'!L1094,'[2]Annex 4 template - CompA'!L1100,'[2]Annex 4 template - CompA'!L1106,'[2]Annex 4 template - CompA'!L1112,'[2]Annex 4 template - CompA'!L1118,'[2]Annex 4 template - CompA'!L1124,'[2]Annex 4 template - CompA'!L1130,'[2]Annex 4 template - CompA'!L1137,'[2]Annex 4 template - CompA'!L1142,'[2]Annex 4 template - CompA'!L1147,'[2]Annex 4 template - CompA'!L1152,'[2]Annex 4 template - CompA'!L1157,'[2]Annex 4 template - CompA'!L1162,'[2]Annex 4 template - CompA'!L1167,'[2]Annex 4 template - CompA'!L1172,'[2]Annex 4 template - CompA'!L1177,'[2]Annex 4 template - CompA'!L1182,'[2]Annex 4 template - CompA'!L1187,'[2]Annex 4 template - CompA'!L1192,'[2]Annex 4 template - CompA'!L1197,'[2]Annex 4 template - CompA'!L1202,'[2]Annex 4 template - CompA'!L1207,'[2]Annex 4 template - CompA'!L1212,'[2]Annex 4 template - CompA'!L1217,'[2]Annex 4 template - CompA'!L1222,'[2]Annex 4 template - CompA'!L1227,'[2]Annex 4 template - CompA'!L1233,'[2]Annex 4 template - CompA'!L1250,'[2]Annex 4 template - CompA'!L1270,'[2]Annex 4 template - CompA'!L1288,'[2]Annex 4 template - CompA'!L1324,'[2]Annex 4 template - CompA'!L1330,'[2]Annex 4 template - CompA'!L1335,'[2]Annex 4 template - CompA'!L1342,'[2]Annex 4 template - CompA'!L1348,'[2]Annex 4 template - CompA'!L1353,'[2]Annex 4 template - CompA'!L1359,'[2]Annex 4 template - CompA'!L1364,'[2]Annex 4 template - CompA'!L1370,'[2]Annex 4 template - CompA'!L1374,'[2]Annex 4 template - CompA'!L1380,'[2]Annex 4 template - CompA'!L1384,'[2]Annex 4 template - CompA'!L1390,'[2]Annex 4 template - CompA'!L1394,'[2]Annex 4 template - CompA'!L1412,'[2]Annex 4 template - CompA'!L1430,'[2]Annex 4 template - CompA'!L1447,'[2]Annex 4 template - CompA'!L1464,'[2]Annex 4 template - CompA'!L1481,'[2]Annex 4 template - CompA'!L1498,'[2]Annex 4 template - CompA'!L1515,'[2]Annex 4 template - CompA'!L1532,'[2]Annex 4 template - CompA'!L1538,'[2]Annex 4 template - CompA'!L1544,)</f>
        <v>1337464.0527207437</v>
      </c>
      <c r="M11" s="62">
        <f>SUM('[2]Annex 4 template - CompA'!M998,'[2]Annex 4 template - CompA'!M1004,'[2]Annex 4 template - CompA'!M1010,'[2]Annex 4 template - CompA'!M1016,'[2]Annex 4 template - CompA'!M1022,'[2]Annex 4 template - CompA'!M1028,'[2]Annex 4 template - CompA'!M1034,'[2]Annex 4 template - CompA'!M1040,'[2]Annex 4 template - CompA'!M1046,'[2]Annex 4 template - CompA'!M1052,'[2]Annex 4 template - CompA'!M1058,'[2]Annex 4 template - CompA'!M1064,'[2]Annex 4 template - CompA'!M1070,'[2]Annex 4 template - CompA'!M1076,'[2]Annex 4 template - CompA'!M1082,'[2]Annex 4 template - CompA'!M1088,'[2]Annex 4 template - CompA'!M1094,'[2]Annex 4 template - CompA'!M1100,'[2]Annex 4 template - CompA'!M1106,'[2]Annex 4 template - CompA'!M1112,'[2]Annex 4 template - CompA'!M1118,'[2]Annex 4 template - CompA'!M1124,'[2]Annex 4 template - CompA'!M1130,'[2]Annex 4 template - CompA'!M1137,'[2]Annex 4 template - CompA'!M1142,'[2]Annex 4 template - CompA'!M1147,'[2]Annex 4 template - CompA'!M1152,'[2]Annex 4 template - CompA'!M1157,'[2]Annex 4 template - CompA'!M1162,'[2]Annex 4 template - CompA'!M1167,'[2]Annex 4 template - CompA'!M1172,'[2]Annex 4 template - CompA'!M1177,'[2]Annex 4 template - CompA'!M1182,'[2]Annex 4 template - CompA'!M1187,'[2]Annex 4 template - CompA'!M1192,'[2]Annex 4 template - CompA'!M1197,'[2]Annex 4 template - CompA'!M1202,'[2]Annex 4 template - CompA'!M1207,'[2]Annex 4 template - CompA'!M1212,'[2]Annex 4 template - CompA'!M1217,'[2]Annex 4 template - CompA'!M1222,'[2]Annex 4 template - CompA'!M1227,'[2]Annex 4 template - CompA'!M1233,'[2]Annex 4 template - CompA'!M1250,'[2]Annex 4 template - CompA'!M1270,'[2]Annex 4 template - CompA'!M1288,'[2]Annex 4 template - CompA'!M1324,'[2]Annex 4 template - CompA'!M1330,'[2]Annex 4 template - CompA'!M1335,'[2]Annex 4 template - CompA'!M1342,'[2]Annex 4 template - CompA'!M1348,'[2]Annex 4 template - CompA'!M1353,'[2]Annex 4 template - CompA'!M1359,'[2]Annex 4 template - CompA'!M1364,'[2]Annex 4 template - CompA'!M1370,'[2]Annex 4 template - CompA'!M1374,'[2]Annex 4 template - CompA'!M1380,'[2]Annex 4 template - CompA'!M1384,'[2]Annex 4 template - CompA'!M1390,'[2]Annex 4 template - CompA'!M1394,'[2]Annex 4 template - CompA'!M1412,'[2]Annex 4 template - CompA'!M1430,'[2]Annex 4 template - CompA'!M1447,'[2]Annex 4 template - CompA'!M1464,'[2]Annex 4 template - CompA'!M1481,'[2]Annex 4 template - CompA'!M1498,'[2]Annex 4 template - CompA'!M1515,'[2]Annex 4 template - CompA'!M1532,'[2]Annex 4 template - CompA'!M1538,'[2]Annex 4 template - CompA'!M1544,)</f>
        <v>906483.13696062739</v>
      </c>
      <c r="N11" s="62">
        <f>SUM('[2]Annex 4 template - CompA'!N998,'[2]Annex 4 template - CompA'!N1004,'[2]Annex 4 template - CompA'!N1010,'[2]Annex 4 template - CompA'!N1016,'[2]Annex 4 template - CompA'!N1022,'[2]Annex 4 template - CompA'!N1028,'[2]Annex 4 template - CompA'!N1034,'[2]Annex 4 template - CompA'!N1040,'[2]Annex 4 template - CompA'!N1046,'[2]Annex 4 template - CompA'!N1052,'[2]Annex 4 template - CompA'!N1058,'[2]Annex 4 template - CompA'!N1064,'[2]Annex 4 template - CompA'!N1070,'[2]Annex 4 template - CompA'!N1076,'[2]Annex 4 template - CompA'!N1082,'[2]Annex 4 template - CompA'!N1088,'[2]Annex 4 template - CompA'!N1094,'[2]Annex 4 template - CompA'!N1100,'[2]Annex 4 template - CompA'!N1106,'[2]Annex 4 template - CompA'!N1112,'[2]Annex 4 template - CompA'!N1118,'[2]Annex 4 template - CompA'!N1124,'[2]Annex 4 template - CompA'!N1130,'[2]Annex 4 template - CompA'!N1137,'[2]Annex 4 template - CompA'!N1142,'[2]Annex 4 template - CompA'!N1147,'[2]Annex 4 template - CompA'!N1152,'[2]Annex 4 template - CompA'!N1157,'[2]Annex 4 template - CompA'!N1162,'[2]Annex 4 template - CompA'!N1167,'[2]Annex 4 template - CompA'!N1172,'[2]Annex 4 template - CompA'!N1177,'[2]Annex 4 template - CompA'!N1182,'[2]Annex 4 template - CompA'!N1187,'[2]Annex 4 template - CompA'!N1192,'[2]Annex 4 template - CompA'!N1197,'[2]Annex 4 template - CompA'!N1202,'[2]Annex 4 template - CompA'!N1207,'[2]Annex 4 template - CompA'!N1212,'[2]Annex 4 template - CompA'!N1217,'[2]Annex 4 template - CompA'!N1222,'[2]Annex 4 template - CompA'!N1227,'[2]Annex 4 template - CompA'!N1233,'[2]Annex 4 template - CompA'!N1250,'[2]Annex 4 template - CompA'!N1270,'[2]Annex 4 template - CompA'!N1288,'[2]Annex 4 template - CompA'!N1324,'[2]Annex 4 template - CompA'!N1330,'[2]Annex 4 template - CompA'!N1335,'[2]Annex 4 template - CompA'!N1342,'[2]Annex 4 template - CompA'!N1348,'[2]Annex 4 template - CompA'!N1353,'[2]Annex 4 template - CompA'!N1359,'[2]Annex 4 template - CompA'!N1364,'[2]Annex 4 template - CompA'!N1370,'[2]Annex 4 template - CompA'!N1374,'[2]Annex 4 template - CompA'!N1380,'[2]Annex 4 template - CompA'!N1384,'[2]Annex 4 template - CompA'!N1390,'[2]Annex 4 template - CompA'!N1394,'[2]Annex 4 template - CompA'!N1412,'[2]Annex 4 template - CompA'!N1430,'[2]Annex 4 template - CompA'!N1447,'[2]Annex 4 template - CompA'!N1464,'[2]Annex 4 template - CompA'!N1481,'[2]Annex 4 template - CompA'!N1498,'[2]Annex 4 template - CompA'!N1515,'[2]Annex 4 template - CompA'!N1532,'[2]Annex 4 template - CompA'!N1538,'[2]Annex 4 template - CompA'!N1544,)</f>
        <v>307322.42305817583</v>
      </c>
      <c r="O11" s="62">
        <f>SUM('[2]Annex 4 template - CompA'!O998,'[2]Annex 4 template - CompA'!O1004,'[2]Annex 4 template - CompA'!O1010,'[2]Annex 4 template - CompA'!O1016,'[2]Annex 4 template - CompA'!O1022,'[2]Annex 4 template - CompA'!O1028,'[2]Annex 4 template - CompA'!O1034,'[2]Annex 4 template - CompA'!O1040,'[2]Annex 4 template - CompA'!O1046,'[2]Annex 4 template - CompA'!O1052,'[2]Annex 4 template - CompA'!O1058,'[2]Annex 4 template - CompA'!O1064,'[2]Annex 4 template - CompA'!O1070,'[2]Annex 4 template - CompA'!O1076,'[2]Annex 4 template - CompA'!O1082,'[2]Annex 4 template - CompA'!O1088,'[2]Annex 4 template - CompA'!O1094,'[2]Annex 4 template - CompA'!O1100,'[2]Annex 4 template - CompA'!O1106,'[2]Annex 4 template - CompA'!O1112,'[2]Annex 4 template - CompA'!O1118,'[2]Annex 4 template - CompA'!O1124,'[2]Annex 4 template - CompA'!O1130,'[2]Annex 4 template - CompA'!O1137,'[2]Annex 4 template - CompA'!O1142,'[2]Annex 4 template - CompA'!O1147,'[2]Annex 4 template - CompA'!O1152,'[2]Annex 4 template - CompA'!O1157,'[2]Annex 4 template - CompA'!O1162,'[2]Annex 4 template - CompA'!O1167,'[2]Annex 4 template - CompA'!O1172,'[2]Annex 4 template - CompA'!O1177,'[2]Annex 4 template - CompA'!O1182,'[2]Annex 4 template - CompA'!O1187,'[2]Annex 4 template - CompA'!O1192,'[2]Annex 4 template - CompA'!O1197,'[2]Annex 4 template - CompA'!O1202,'[2]Annex 4 template - CompA'!O1207,'[2]Annex 4 template - CompA'!O1212,'[2]Annex 4 template - CompA'!O1217,'[2]Annex 4 template - CompA'!O1222,'[2]Annex 4 template - CompA'!O1227,'[2]Annex 4 template - CompA'!O1233,'[2]Annex 4 template - CompA'!O1250,'[2]Annex 4 template - CompA'!O1270,'[2]Annex 4 template - CompA'!O1288,'[2]Annex 4 template - CompA'!O1324,'[2]Annex 4 template - CompA'!O1330,'[2]Annex 4 template - CompA'!O1335,'[2]Annex 4 template - CompA'!O1342,'[2]Annex 4 template - CompA'!O1348,'[2]Annex 4 template - CompA'!O1353,'[2]Annex 4 template - CompA'!O1359,'[2]Annex 4 template - CompA'!O1364,'[2]Annex 4 template - CompA'!O1370,'[2]Annex 4 template - CompA'!O1374,'[2]Annex 4 template - CompA'!O1380,'[2]Annex 4 template - CompA'!O1384,'[2]Annex 4 template - CompA'!O1390,'[2]Annex 4 template - CompA'!O1394,'[2]Annex 4 template - CompA'!O1412,'[2]Annex 4 template - CompA'!O1430,'[2]Annex 4 template - CompA'!O1447,'[2]Annex 4 template - CompA'!O1464,'[2]Annex 4 template - CompA'!O1481,'[2]Annex 4 template - CompA'!O1498,'[2]Annex 4 template - CompA'!O1515,'[2]Annex 4 template - CompA'!O1532,'[2]Annex 4 template - CompA'!O1538,'[2]Annex 4 template - CompA'!O1544,)</f>
        <v>35717.202454198661</v>
      </c>
      <c r="P11" s="61">
        <f t="shared" si="0"/>
        <v>7339084.2239641938</v>
      </c>
      <c r="Q11" s="63">
        <f t="shared" si="1"/>
        <v>0</v>
      </c>
      <c r="R11" s="63">
        <f t="shared" si="2"/>
        <v>0</v>
      </c>
      <c r="S11" s="63">
        <f t="shared" si="3"/>
        <v>0</v>
      </c>
    </row>
    <row r="12" spans="2:19" ht="24.5" customHeight="1" x14ac:dyDescent="0.2">
      <c r="B12" s="60" t="str">
        <f>'[2]Annex 4 template - CompA'!C1555</f>
        <v xml:space="preserve">1.1e. Design and implement a gender-responsive stakeholder engagement strategy for fisheries agencies and communities to identify suitable FAD sites.
</v>
      </c>
      <c r="C12" s="61">
        <f>SUM('[2]Annex 4 template - CompA'!D1556:D1898)</f>
        <v>2667460.9679193464</v>
      </c>
      <c r="D12" s="62">
        <f>SUM('[2]Annex 4 template - CompA'!D1556,'[2]Annex 4 template - CompA'!D1565,'[2]Annex 4 template - CompA'!D1573,'[2]Annex 4 template - CompA'!D1579,'[2]Annex 4 template - CompA'!D1586,'[2]Annex 4 template - CompA'!D1592,'[2]Annex 4 template - CompA'!D1598,'[2]Annex 4 template - CompA'!D1604,'[2]Annex 4 template - CompA'!D1610,'[2]Annex 4 template - CompA'!D1616,'[2]Annex 4 template - CompA'!D1622,'[2]Annex 4 template - CompA'!D1628,'[2]Annex 4 template - CompA'!D1634,'[2]Annex 4 template - CompA'!D1640,'[2]Annex 4 template - CompA'!D1646,'[2]Annex 4 template - CompA'!D1652,'[2]Annex 4 template - CompA'!D1658,'[2]Annex 4 template - CompA'!D1664,'[2]Annex 4 template - CompA'!D1671,'[2]Annex 4 template - CompA'!D1676,'[2]Annex 4 template - CompA'!D1681,'[2]Annex 4 template - CompA'!D1686,'[2]Annex 4 template - CompA'!D1691,'[2]Annex 4 template - CompA'!D1696,'[2]Annex 4 template - CompA'!D1701,'[2]Annex 4 template - CompA'!D1706,'[2]Annex 4 template - CompA'!D1711,'[2]Annex 4 template - CompA'!D1716,'[2]Annex 4 template - CompA'!D1721,'[2]Annex 4 template - CompA'!D1726,'[2]Annex 4 template - CompA'!D1731,'[2]Annex 4 template - CompA'!D1736,'[2]Annex 4 template - CompA'!D1741,'[2]Annex 4 template - CompA'!D1750,'[2]Annex 4 template - CompA'!D1767,'[2]Annex 4 template - CompA'!D1785,'[2]Annex 4 template - CompA'!D1795,'[2]Annex 4 template - CompA'!D1806,'[2]Annex 4 template - CompA'!D1813,'[2]Annex 4 template - CompA'!D1821,'[2]Annex 4 template - CompA'!D1838,'[2]Annex 4 template - CompA'!D1844,'[2]Annex 4 template - CompA'!D1849,'[2]Annex 4 template - CompA'!D1856,'[2]Annex 4 template - CompA'!D1862,'[2]Annex 4 template - CompA'!D1867,'[2]Annex 4 template - CompA'!D1873,'[2]Annex 4 template - CompA'!D1878,'[2]Annex 4 template - CompA'!D1884,'[2]Annex 4 template - CompA'!D1888,'[2]Annex 4 template - CompA'!D1894)</f>
        <v>2667460.9679193464</v>
      </c>
      <c r="E12" s="61">
        <f>SUM('[2]Annex 4 template - CompA'!E1556,'[2]Annex 4 template - CompA'!E1565,'[2]Annex 4 template - CompA'!E1573,'[2]Annex 4 template - CompA'!E1579,'[2]Annex 4 template - CompA'!E1586,'[2]Annex 4 template - CompA'!E1592,'[2]Annex 4 template - CompA'!E1598,'[2]Annex 4 template - CompA'!E1604,'[2]Annex 4 template - CompA'!E1610,'[2]Annex 4 template - CompA'!E1616,'[2]Annex 4 template - CompA'!E1622,'[2]Annex 4 template - CompA'!E1628,'[2]Annex 4 template - CompA'!E1634,'[2]Annex 4 template - CompA'!E1640,'[2]Annex 4 template - CompA'!E1646,'[2]Annex 4 template - CompA'!E1652,'[2]Annex 4 template - CompA'!E1658,'[2]Annex 4 template - CompA'!E1664,'[2]Annex 4 template - CompA'!E1671,'[2]Annex 4 template - CompA'!E1676,'[2]Annex 4 template - CompA'!E1681,'[2]Annex 4 template - CompA'!E1686,'[2]Annex 4 template - CompA'!E1691,'[2]Annex 4 template - CompA'!E1696,'[2]Annex 4 template - CompA'!E1701,'[2]Annex 4 template - CompA'!E1706,'[2]Annex 4 template - CompA'!E1711,'[2]Annex 4 template - CompA'!E1716,'[2]Annex 4 template - CompA'!E1721,'[2]Annex 4 template - CompA'!E1726,'[2]Annex 4 template - CompA'!E1731,'[2]Annex 4 template - CompA'!E1736,'[2]Annex 4 template - CompA'!E1741,'[2]Annex 4 template - CompA'!E1750,'[2]Annex 4 template - CompA'!E1767,'[2]Annex 4 template - CompA'!E1785,'[2]Annex 4 template - CompA'!E1795,'[2]Annex 4 template - CompA'!E1806,'[2]Annex 4 template - CompA'!E1813,'[2]Annex 4 template - CompA'!E1821,'[2]Annex 4 template - CompA'!E1838,'[2]Annex 4 template - CompA'!E1844,'[2]Annex 4 template - CompA'!E1849,'[2]Annex 4 template - CompA'!E1856,'[2]Annex 4 template - CompA'!E1862,'[2]Annex 4 template - CompA'!E1867,'[2]Annex 4 template - CompA'!E1873,'[2]Annex 4 template - CompA'!E1878,'[2]Annex 4 template - CompA'!E1884,'[2]Annex 4 template - CompA'!E1888,'[2]Annex 4 template - CompA'!E1894)</f>
        <v>0</v>
      </c>
      <c r="F12" s="61">
        <f>SUM('[2]Annex 4 template - CompA'!F1556,'[2]Annex 4 template - CompA'!F1565,'[2]Annex 4 template - CompA'!F1573,'[2]Annex 4 template - CompA'!F1579,'[2]Annex 4 template - CompA'!F1586,'[2]Annex 4 template - CompA'!F1592,'[2]Annex 4 template - CompA'!F1598,'[2]Annex 4 template - CompA'!F1604,'[2]Annex 4 template - CompA'!F1610,'[2]Annex 4 template - CompA'!F1616,'[2]Annex 4 template - CompA'!F1622,'[2]Annex 4 template - CompA'!F1628,'[2]Annex 4 template - CompA'!F1634,'[2]Annex 4 template - CompA'!F1640,'[2]Annex 4 template - CompA'!F1646,'[2]Annex 4 template - CompA'!F1652,'[2]Annex 4 template - CompA'!F1658,'[2]Annex 4 template - CompA'!F1664,'[2]Annex 4 template - CompA'!F1671,'[2]Annex 4 template - CompA'!F1676,'[2]Annex 4 template - CompA'!F1681,'[2]Annex 4 template - CompA'!F1686,'[2]Annex 4 template - CompA'!F1691,'[2]Annex 4 template - CompA'!F1696,'[2]Annex 4 template - CompA'!F1701,'[2]Annex 4 template - CompA'!F1706,'[2]Annex 4 template - CompA'!F1711,'[2]Annex 4 template - CompA'!F1716,'[2]Annex 4 template - CompA'!F1721,'[2]Annex 4 template - CompA'!F1726,'[2]Annex 4 template - CompA'!F1731,'[2]Annex 4 template - CompA'!F1736,'[2]Annex 4 template - CompA'!F1741,'[2]Annex 4 template - CompA'!F1750,'[2]Annex 4 template - CompA'!F1767,'[2]Annex 4 template - CompA'!F1785,'[2]Annex 4 template - CompA'!F1795,'[2]Annex 4 template - CompA'!F1806,'[2]Annex 4 template - CompA'!F1813,'[2]Annex 4 template - CompA'!F1821,'[2]Annex 4 template - CompA'!F1838,'[2]Annex 4 template - CompA'!F1844,'[2]Annex 4 template - CompA'!F1849,'[2]Annex 4 template - CompA'!F1856,'[2]Annex 4 template - CompA'!F1862,'[2]Annex 4 template - CompA'!F1867,'[2]Annex 4 template - CompA'!F1873,'[2]Annex 4 template - CompA'!F1878,'[2]Annex 4 template - CompA'!F1884,'[2]Annex 4 template - CompA'!F1888,'[2]Annex 4 template - CompA'!F1894)</f>
        <v>0</v>
      </c>
      <c r="G12" s="61">
        <f>SUM('[2]Annex 4 template - CompA'!G1556,'[2]Annex 4 template - CompA'!G1565,'[2]Annex 4 template - CompA'!G1573,'[2]Annex 4 template - CompA'!G1579,'[2]Annex 4 template - CompA'!G1586,'[2]Annex 4 template - CompA'!G1592,'[2]Annex 4 template - CompA'!G1598,'[2]Annex 4 template - CompA'!G1604,'[2]Annex 4 template - CompA'!G1610,'[2]Annex 4 template - CompA'!G1616,'[2]Annex 4 template - CompA'!G1622,'[2]Annex 4 template - CompA'!G1628,'[2]Annex 4 template - CompA'!G1634,'[2]Annex 4 template - CompA'!G1640,'[2]Annex 4 template - CompA'!G1646,'[2]Annex 4 template - CompA'!G1652,'[2]Annex 4 template - CompA'!G1658,'[2]Annex 4 template - CompA'!G1664,'[2]Annex 4 template - CompA'!G1671,'[2]Annex 4 template - CompA'!G1676,'[2]Annex 4 template - CompA'!G1681,'[2]Annex 4 template - CompA'!G1686,'[2]Annex 4 template - CompA'!G1691,'[2]Annex 4 template - CompA'!G1696,'[2]Annex 4 template - CompA'!G1701,'[2]Annex 4 template - CompA'!G1706,'[2]Annex 4 template - CompA'!G1711,'[2]Annex 4 template - CompA'!G1716,'[2]Annex 4 template - CompA'!G1721,'[2]Annex 4 template - CompA'!G1726,'[2]Annex 4 template - CompA'!G1731,'[2]Annex 4 template - CompA'!G1736,'[2]Annex 4 template - CompA'!G1741,'[2]Annex 4 template - CompA'!G1750,'[2]Annex 4 template - CompA'!G1767,'[2]Annex 4 template - CompA'!G1785,'[2]Annex 4 template - CompA'!G1795,'[2]Annex 4 template - CompA'!G1806,'[2]Annex 4 template - CompA'!G1813,'[2]Annex 4 template - CompA'!G1821,'[2]Annex 4 template - CompA'!G1838,'[2]Annex 4 template - CompA'!G1844,'[2]Annex 4 template - CompA'!G1849,'[2]Annex 4 template - CompA'!G1856,'[2]Annex 4 template - CompA'!G1862,'[2]Annex 4 template - CompA'!G1867,'[2]Annex 4 template - CompA'!G1873,'[2]Annex 4 template - CompA'!G1878,'[2]Annex 4 template - CompA'!G1884,'[2]Annex 4 template - CompA'!G1888,'[2]Annex 4 template - CompA'!G1894)</f>
        <v>0</v>
      </c>
      <c r="H12" s="61">
        <f>SUM('[2]Annex 4 template - CompA'!H1556,'[2]Annex 4 template - CompA'!H1565,'[2]Annex 4 template - CompA'!H1573,'[2]Annex 4 template - CompA'!H1579,'[2]Annex 4 template - CompA'!H1586,'[2]Annex 4 template - CompA'!H1592,'[2]Annex 4 template - CompA'!H1598,'[2]Annex 4 template - CompA'!H1604,'[2]Annex 4 template - CompA'!H1610,'[2]Annex 4 template - CompA'!H1616,'[2]Annex 4 template - CompA'!H1622,'[2]Annex 4 template - CompA'!H1628,'[2]Annex 4 template - CompA'!H1634,'[2]Annex 4 template - CompA'!H1640,'[2]Annex 4 template - CompA'!H1646,'[2]Annex 4 template - CompA'!H1652,'[2]Annex 4 template - CompA'!H1658,'[2]Annex 4 template - CompA'!H1664,'[2]Annex 4 template - CompA'!H1671,'[2]Annex 4 template - CompA'!H1676,'[2]Annex 4 template - CompA'!H1681,'[2]Annex 4 template - CompA'!H1686,'[2]Annex 4 template - CompA'!H1691,'[2]Annex 4 template - CompA'!H1696,'[2]Annex 4 template - CompA'!H1701,'[2]Annex 4 template - CompA'!H1706,'[2]Annex 4 template - CompA'!H1711,'[2]Annex 4 template - CompA'!H1716,'[2]Annex 4 template - CompA'!H1721,'[2]Annex 4 template - CompA'!H1726,'[2]Annex 4 template - CompA'!H1731,'[2]Annex 4 template - CompA'!H1736,'[2]Annex 4 template - CompA'!H1741,'[2]Annex 4 template - CompA'!H1750,'[2]Annex 4 template - CompA'!H1767,'[2]Annex 4 template - CompA'!H1785,'[2]Annex 4 template - CompA'!H1795,'[2]Annex 4 template - CompA'!H1806,'[2]Annex 4 template - CompA'!H1813,'[2]Annex 4 template - CompA'!H1821,'[2]Annex 4 template - CompA'!H1838,'[2]Annex 4 template - CompA'!H1844,'[2]Annex 4 template - CompA'!H1849,'[2]Annex 4 template - CompA'!H1856,'[2]Annex 4 template - CompA'!H1862,'[2]Annex 4 template - CompA'!H1867,'[2]Annex 4 template - CompA'!H1873,'[2]Annex 4 template - CompA'!H1878,'[2]Annex 4 template - CompA'!H1884,'[2]Annex 4 template - CompA'!H1888,'[2]Annex 4 template - CompA'!H1894)</f>
        <v>92250.766034110609</v>
      </c>
      <c r="I12" s="61">
        <f>SUM('[2]Annex 4 template - CompA'!I1556,'[2]Annex 4 template - CompA'!I1565,'[2]Annex 4 template - CompA'!I1573,'[2]Annex 4 template - CompA'!I1579,'[2]Annex 4 template - CompA'!I1586,'[2]Annex 4 template - CompA'!I1592,'[2]Annex 4 template - CompA'!I1598,'[2]Annex 4 template - CompA'!I1604,'[2]Annex 4 template - CompA'!I1610,'[2]Annex 4 template - CompA'!I1616,'[2]Annex 4 template - CompA'!I1622,'[2]Annex 4 template - CompA'!I1628,'[2]Annex 4 template - CompA'!I1634,'[2]Annex 4 template - CompA'!I1640,'[2]Annex 4 template - CompA'!I1646,'[2]Annex 4 template - CompA'!I1652,'[2]Annex 4 template - CompA'!I1658,'[2]Annex 4 template - CompA'!I1664,'[2]Annex 4 template - CompA'!I1671,'[2]Annex 4 template - CompA'!I1676,'[2]Annex 4 template - CompA'!I1681,'[2]Annex 4 template - CompA'!I1686,'[2]Annex 4 template - CompA'!I1691,'[2]Annex 4 template - CompA'!I1696,'[2]Annex 4 template - CompA'!I1701,'[2]Annex 4 template - CompA'!I1706,'[2]Annex 4 template - CompA'!I1711,'[2]Annex 4 template - CompA'!I1716,'[2]Annex 4 template - CompA'!I1721,'[2]Annex 4 template - CompA'!I1726,'[2]Annex 4 template - CompA'!I1731,'[2]Annex 4 template - CompA'!I1736,'[2]Annex 4 template - CompA'!I1741,'[2]Annex 4 template - CompA'!I1750,'[2]Annex 4 template - CompA'!I1767,'[2]Annex 4 template - CompA'!I1785,'[2]Annex 4 template - CompA'!I1795,'[2]Annex 4 template - CompA'!I1806,'[2]Annex 4 template - CompA'!I1813,'[2]Annex 4 template - CompA'!I1821,'[2]Annex 4 template - CompA'!I1838,'[2]Annex 4 template - CompA'!I1844,'[2]Annex 4 template - CompA'!I1849,'[2]Annex 4 template - CompA'!I1856,'[2]Annex 4 template - CompA'!I1862,'[2]Annex 4 template - CompA'!I1867,'[2]Annex 4 template - CompA'!I1873,'[2]Annex 4 template - CompA'!I1878,'[2]Annex 4 template - CompA'!I1884,'[2]Annex 4 template - CompA'!I1888,'[2]Annex 4 template - CompA'!I1894)</f>
        <v>269574.23048182687</v>
      </c>
      <c r="J12" s="61">
        <f>SUM('[2]Annex 4 template - CompA'!J1556,'[2]Annex 4 template - CompA'!J1565,'[2]Annex 4 template - CompA'!J1573,'[2]Annex 4 template - CompA'!J1579,'[2]Annex 4 template - CompA'!J1586,'[2]Annex 4 template - CompA'!J1592,'[2]Annex 4 template - CompA'!J1598,'[2]Annex 4 template - CompA'!J1604,'[2]Annex 4 template - CompA'!J1610,'[2]Annex 4 template - CompA'!J1616,'[2]Annex 4 template - CompA'!J1622,'[2]Annex 4 template - CompA'!J1628,'[2]Annex 4 template - CompA'!J1634,'[2]Annex 4 template - CompA'!J1640,'[2]Annex 4 template - CompA'!J1646,'[2]Annex 4 template - CompA'!J1652,'[2]Annex 4 template - CompA'!J1658,'[2]Annex 4 template - CompA'!J1664,'[2]Annex 4 template - CompA'!J1671,'[2]Annex 4 template - CompA'!J1676,'[2]Annex 4 template - CompA'!J1681,'[2]Annex 4 template - CompA'!J1686,'[2]Annex 4 template - CompA'!J1691,'[2]Annex 4 template - CompA'!J1696,'[2]Annex 4 template - CompA'!J1701,'[2]Annex 4 template - CompA'!J1706,'[2]Annex 4 template - CompA'!J1711,'[2]Annex 4 template - CompA'!J1716,'[2]Annex 4 template - CompA'!J1721,'[2]Annex 4 template - CompA'!J1726,'[2]Annex 4 template - CompA'!J1731,'[2]Annex 4 template - CompA'!J1736,'[2]Annex 4 template - CompA'!J1741,'[2]Annex 4 template - CompA'!J1750,'[2]Annex 4 template - CompA'!J1767,'[2]Annex 4 template - CompA'!J1785,'[2]Annex 4 template - CompA'!J1795,'[2]Annex 4 template - CompA'!J1806,'[2]Annex 4 template - CompA'!J1813,'[2]Annex 4 template - CompA'!J1821,'[2]Annex 4 template - CompA'!J1838,'[2]Annex 4 template - CompA'!J1844,'[2]Annex 4 template - CompA'!J1849,'[2]Annex 4 template - CompA'!J1856,'[2]Annex 4 template - CompA'!J1862,'[2]Annex 4 template - CompA'!J1867,'[2]Annex 4 template - CompA'!J1873,'[2]Annex 4 template - CompA'!J1878,'[2]Annex 4 template - CompA'!J1884,'[2]Annex 4 template - CompA'!J1888,'[2]Annex 4 template - CompA'!J1894)</f>
        <v>386250.14934424433</v>
      </c>
      <c r="K12" s="61">
        <f>SUM('[2]Annex 4 template - CompA'!K1556,'[2]Annex 4 template - CompA'!K1565,'[2]Annex 4 template - CompA'!K1573,'[2]Annex 4 template - CompA'!K1579,'[2]Annex 4 template - CompA'!K1586,'[2]Annex 4 template - CompA'!K1592,'[2]Annex 4 template - CompA'!K1598,'[2]Annex 4 template - CompA'!K1604,'[2]Annex 4 template - CompA'!K1610,'[2]Annex 4 template - CompA'!K1616,'[2]Annex 4 template - CompA'!K1622,'[2]Annex 4 template - CompA'!K1628,'[2]Annex 4 template - CompA'!K1634,'[2]Annex 4 template - CompA'!K1640,'[2]Annex 4 template - CompA'!K1646,'[2]Annex 4 template - CompA'!K1652,'[2]Annex 4 template - CompA'!K1658,'[2]Annex 4 template - CompA'!K1664,'[2]Annex 4 template - CompA'!K1671,'[2]Annex 4 template - CompA'!K1676,'[2]Annex 4 template - CompA'!K1681,'[2]Annex 4 template - CompA'!K1686,'[2]Annex 4 template - CompA'!K1691,'[2]Annex 4 template - CompA'!K1696,'[2]Annex 4 template - CompA'!K1701,'[2]Annex 4 template - CompA'!K1706,'[2]Annex 4 template - CompA'!K1711,'[2]Annex 4 template - CompA'!K1716,'[2]Annex 4 template - CompA'!K1721,'[2]Annex 4 template - CompA'!K1726,'[2]Annex 4 template - CompA'!K1731,'[2]Annex 4 template - CompA'!K1736,'[2]Annex 4 template - CompA'!K1741,'[2]Annex 4 template - CompA'!K1750,'[2]Annex 4 template - CompA'!K1767,'[2]Annex 4 template - CompA'!K1785,'[2]Annex 4 template - CompA'!K1795,'[2]Annex 4 template - CompA'!K1806,'[2]Annex 4 template - CompA'!K1813,'[2]Annex 4 template - CompA'!K1821,'[2]Annex 4 template - CompA'!K1838,'[2]Annex 4 template - CompA'!K1844,'[2]Annex 4 template - CompA'!K1849,'[2]Annex 4 template - CompA'!K1856,'[2]Annex 4 template - CompA'!K1862,'[2]Annex 4 template - CompA'!K1867,'[2]Annex 4 template - CompA'!K1873,'[2]Annex 4 template - CompA'!K1878,'[2]Annex 4 template - CompA'!K1884,'[2]Annex 4 template - CompA'!K1888,'[2]Annex 4 template - CompA'!K1894)</f>
        <v>582107.10553042591</v>
      </c>
      <c r="L12" s="61">
        <f>SUM('[2]Annex 4 template - CompA'!L1556,'[2]Annex 4 template - CompA'!L1565,'[2]Annex 4 template - CompA'!L1573,'[2]Annex 4 template - CompA'!L1579,'[2]Annex 4 template - CompA'!L1586,'[2]Annex 4 template - CompA'!L1592,'[2]Annex 4 template - CompA'!L1598,'[2]Annex 4 template - CompA'!L1604,'[2]Annex 4 template - CompA'!L1610,'[2]Annex 4 template - CompA'!L1616,'[2]Annex 4 template - CompA'!L1622,'[2]Annex 4 template - CompA'!L1628,'[2]Annex 4 template - CompA'!L1634,'[2]Annex 4 template - CompA'!L1640,'[2]Annex 4 template - CompA'!L1646,'[2]Annex 4 template - CompA'!L1652,'[2]Annex 4 template - CompA'!L1658,'[2]Annex 4 template - CompA'!L1664,'[2]Annex 4 template - CompA'!L1671,'[2]Annex 4 template - CompA'!L1676,'[2]Annex 4 template - CompA'!L1681,'[2]Annex 4 template - CompA'!L1686,'[2]Annex 4 template - CompA'!L1691,'[2]Annex 4 template - CompA'!L1696,'[2]Annex 4 template - CompA'!L1701,'[2]Annex 4 template - CompA'!L1706,'[2]Annex 4 template - CompA'!L1711,'[2]Annex 4 template - CompA'!L1716,'[2]Annex 4 template - CompA'!L1721,'[2]Annex 4 template - CompA'!L1726,'[2]Annex 4 template - CompA'!L1731,'[2]Annex 4 template - CompA'!L1736,'[2]Annex 4 template - CompA'!L1741,'[2]Annex 4 template - CompA'!L1750,'[2]Annex 4 template - CompA'!L1767,'[2]Annex 4 template - CompA'!L1785,'[2]Annex 4 template - CompA'!L1795,'[2]Annex 4 template - CompA'!L1806,'[2]Annex 4 template - CompA'!L1813,'[2]Annex 4 template - CompA'!L1821,'[2]Annex 4 template - CompA'!L1838,'[2]Annex 4 template - CompA'!L1844,'[2]Annex 4 template - CompA'!L1849,'[2]Annex 4 template - CompA'!L1856,'[2]Annex 4 template - CompA'!L1862,'[2]Annex 4 template - CompA'!L1867,'[2]Annex 4 template - CompA'!L1873,'[2]Annex 4 template - CompA'!L1878,'[2]Annex 4 template - CompA'!L1884,'[2]Annex 4 template - CompA'!L1888,'[2]Annex 4 template - CompA'!L1894)</f>
        <v>579936.57503561466</v>
      </c>
      <c r="M12" s="61">
        <f>SUM('[2]Annex 4 template - CompA'!M1556,'[2]Annex 4 template - CompA'!M1565,'[2]Annex 4 template - CompA'!M1573,'[2]Annex 4 template - CompA'!M1579,'[2]Annex 4 template - CompA'!M1586,'[2]Annex 4 template - CompA'!M1592,'[2]Annex 4 template - CompA'!M1598,'[2]Annex 4 template - CompA'!M1604,'[2]Annex 4 template - CompA'!M1610,'[2]Annex 4 template - CompA'!M1616,'[2]Annex 4 template - CompA'!M1622,'[2]Annex 4 template - CompA'!M1628,'[2]Annex 4 template - CompA'!M1634,'[2]Annex 4 template - CompA'!M1640,'[2]Annex 4 template - CompA'!M1646,'[2]Annex 4 template - CompA'!M1652,'[2]Annex 4 template - CompA'!M1658,'[2]Annex 4 template - CompA'!M1664,'[2]Annex 4 template - CompA'!M1671,'[2]Annex 4 template - CompA'!M1676,'[2]Annex 4 template - CompA'!M1681,'[2]Annex 4 template - CompA'!M1686,'[2]Annex 4 template - CompA'!M1691,'[2]Annex 4 template - CompA'!M1696,'[2]Annex 4 template - CompA'!M1701,'[2]Annex 4 template - CompA'!M1706,'[2]Annex 4 template - CompA'!M1711,'[2]Annex 4 template - CompA'!M1716,'[2]Annex 4 template - CompA'!M1721,'[2]Annex 4 template - CompA'!M1726,'[2]Annex 4 template - CompA'!M1731,'[2]Annex 4 template - CompA'!M1736,'[2]Annex 4 template - CompA'!M1741,'[2]Annex 4 template - CompA'!M1750,'[2]Annex 4 template - CompA'!M1767,'[2]Annex 4 template - CompA'!M1785,'[2]Annex 4 template - CompA'!M1795,'[2]Annex 4 template - CompA'!M1806,'[2]Annex 4 template - CompA'!M1813,'[2]Annex 4 template - CompA'!M1821,'[2]Annex 4 template - CompA'!M1838,'[2]Annex 4 template - CompA'!M1844,'[2]Annex 4 template - CompA'!M1849,'[2]Annex 4 template - CompA'!M1856,'[2]Annex 4 template - CompA'!M1862,'[2]Annex 4 template - CompA'!M1867,'[2]Annex 4 template - CompA'!M1873,'[2]Annex 4 template - CompA'!M1878,'[2]Annex 4 template - CompA'!M1884,'[2]Annex 4 template - CompA'!M1888,'[2]Annex 4 template - CompA'!M1894)</f>
        <v>443590.9580915735</v>
      </c>
      <c r="N12" s="61">
        <f>SUM('[2]Annex 4 template - CompA'!N1556,'[2]Annex 4 template - CompA'!N1565,'[2]Annex 4 template - CompA'!N1573,'[2]Annex 4 template - CompA'!N1579,'[2]Annex 4 template - CompA'!N1586,'[2]Annex 4 template - CompA'!N1592,'[2]Annex 4 template - CompA'!N1598,'[2]Annex 4 template - CompA'!N1604,'[2]Annex 4 template - CompA'!N1610,'[2]Annex 4 template - CompA'!N1616,'[2]Annex 4 template - CompA'!N1622,'[2]Annex 4 template - CompA'!N1628,'[2]Annex 4 template - CompA'!N1634,'[2]Annex 4 template - CompA'!N1640,'[2]Annex 4 template - CompA'!N1646,'[2]Annex 4 template - CompA'!N1652,'[2]Annex 4 template - CompA'!N1658,'[2]Annex 4 template - CompA'!N1664,'[2]Annex 4 template - CompA'!N1671,'[2]Annex 4 template - CompA'!N1676,'[2]Annex 4 template - CompA'!N1681,'[2]Annex 4 template - CompA'!N1686,'[2]Annex 4 template - CompA'!N1691,'[2]Annex 4 template - CompA'!N1696,'[2]Annex 4 template - CompA'!N1701,'[2]Annex 4 template - CompA'!N1706,'[2]Annex 4 template - CompA'!N1711,'[2]Annex 4 template - CompA'!N1716,'[2]Annex 4 template - CompA'!N1721,'[2]Annex 4 template - CompA'!N1726,'[2]Annex 4 template - CompA'!N1731,'[2]Annex 4 template - CompA'!N1736,'[2]Annex 4 template - CompA'!N1741,'[2]Annex 4 template - CompA'!N1750,'[2]Annex 4 template - CompA'!N1767,'[2]Annex 4 template - CompA'!N1785,'[2]Annex 4 template - CompA'!N1795,'[2]Annex 4 template - CompA'!N1806,'[2]Annex 4 template - CompA'!N1813,'[2]Annex 4 template - CompA'!N1821,'[2]Annex 4 template - CompA'!N1838,'[2]Annex 4 template - CompA'!N1844,'[2]Annex 4 template - CompA'!N1849,'[2]Annex 4 template - CompA'!N1856,'[2]Annex 4 template - CompA'!N1862,'[2]Annex 4 template - CompA'!N1867,'[2]Annex 4 template - CompA'!N1873,'[2]Annex 4 template - CompA'!N1878,'[2]Annex 4 template - CompA'!N1884,'[2]Annex 4 template - CompA'!N1888,'[2]Annex 4 template - CompA'!N1894)</f>
        <v>286104.68807514256</v>
      </c>
      <c r="O12" s="61">
        <f>SUM('[2]Annex 4 template - CompA'!O1556,'[2]Annex 4 template - CompA'!O1565,'[2]Annex 4 template - CompA'!O1573,'[2]Annex 4 template - CompA'!O1579,'[2]Annex 4 template - CompA'!O1586,'[2]Annex 4 template - CompA'!O1592,'[2]Annex 4 template - CompA'!O1598,'[2]Annex 4 template - CompA'!O1604,'[2]Annex 4 template - CompA'!O1610,'[2]Annex 4 template - CompA'!O1616,'[2]Annex 4 template - CompA'!O1622,'[2]Annex 4 template - CompA'!O1628,'[2]Annex 4 template - CompA'!O1634,'[2]Annex 4 template - CompA'!O1640,'[2]Annex 4 template - CompA'!O1646,'[2]Annex 4 template - CompA'!O1652,'[2]Annex 4 template - CompA'!O1658,'[2]Annex 4 template - CompA'!O1664,'[2]Annex 4 template - CompA'!O1671,'[2]Annex 4 template - CompA'!O1676,'[2]Annex 4 template - CompA'!O1681,'[2]Annex 4 template - CompA'!O1686,'[2]Annex 4 template - CompA'!O1691,'[2]Annex 4 template - CompA'!O1696,'[2]Annex 4 template - CompA'!O1701,'[2]Annex 4 template - CompA'!O1706,'[2]Annex 4 template - CompA'!O1711,'[2]Annex 4 template - CompA'!O1716,'[2]Annex 4 template - CompA'!O1721,'[2]Annex 4 template - CompA'!O1726,'[2]Annex 4 template - CompA'!O1731,'[2]Annex 4 template - CompA'!O1736,'[2]Annex 4 template - CompA'!O1741,'[2]Annex 4 template - CompA'!O1750,'[2]Annex 4 template - CompA'!O1767,'[2]Annex 4 template - CompA'!O1785,'[2]Annex 4 template - CompA'!O1795,'[2]Annex 4 template - CompA'!O1806,'[2]Annex 4 template - CompA'!O1813,'[2]Annex 4 template - CompA'!O1821,'[2]Annex 4 template - CompA'!O1838,'[2]Annex 4 template - CompA'!O1844,'[2]Annex 4 template - CompA'!O1849,'[2]Annex 4 template - CompA'!O1856,'[2]Annex 4 template - CompA'!O1862,'[2]Annex 4 template - CompA'!O1867,'[2]Annex 4 template - CompA'!O1873,'[2]Annex 4 template - CompA'!O1878,'[2]Annex 4 template - CompA'!O1884,'[2]Annex 4 template - CompA'!O1888,'[2]Annex 4 template - CompA'!O1894)</f>
        <v>27646.495326407599</v>
      </c>
      <c r="P12" s="61">
        <f t="shared" si="0"/>
        <v>2667460.9679193459</v>
      </c>
      <c r="Q12" s="63">
        <f t="shared" si="1"/>
        <v>0</v>
      </c>
      <c r="R12" s="63">
        <f t="shared" si="2"/>
        <v>0</v>
      </c>
      <c r="S12" s="63">
        <f t="shared" si="3"/>
        <v>0</v>
      </c>
    </row>
    <row r="13" spans="2:19" ht="17.5" customHeight="1" x14ac:dyDescent="0.2">
      <c r="B13" s="60" t="str">
        <f>'[2]Annex 4 template - CompA'!C1903</f>
        <v>1.1f. Procure materials to maintain the national FAD programme.</v>
      </c>
      <c r="C13" s="61">
        <f>SUM('[2]Annex 4 template - CompA'!D1904:D2195)</f>
        <v>6977645.1599674225</v>
      </c>
      <c r="D13" s="62">
        <f>SUM('[2]Annex 4 template - CompA'!D1904,'[2]Annex 4 template - CompA'!D1910,'[2]Annex 4 template - CompA'!D1916,'[2]Annex 4 template - CompA'!D1922,'[2]Annex 4 template - CompA'!D1928,'[2]Annex 4 template - CompA'!D1934,'[2]Annex 4 template - CompA'!D1940,'[2]Annex 4 template - CompA'!D1946,'[2]Annex 4 template - CompA'!D1952,'[2]Annex 4 template - CompA'!D1958,'[2]Annex 4 template - CompA'!D1964,'[2]Annex 4 template - CompA'!D1970,'[2]Annex 4 template - CompA'!D1977,'[2]Annex 4 template - CompA'!D1983,'[2]Annex 4 template - CompA'!D1989,'[2]Annex 4 template - CompA'!D1995,'[2]Annex 4 template - CompA'!D2001,'[2]Annex 4 template - CompA'!D2008,'[2]Annex 4 template - CompA'!D2013,'[2]Annex 4 template - CompA'!D2018,'[2]Annex 4 template - CompA'!D2023,'[2]Annex 4 template - CompA'!D2028,'[2]Annex 4 template - CompA'!D2033,'[2]Annex 4 template - CompA'!D2038,'[2]Annex 4 template - CompA'!D2043,'[2]Annex 4 template - CompA'!D2048,'[2]Annex 4 template - CompA'!D2053,'[2]Annex 4 template - CompA'!D2058,'[2]Annex 4 template - CompA'!D2063,'[2]Annex 4 template - CompA'!D2068,'[2]Annex 4 template - CompA'!D2073,'[2]Annex 4 template - CompA'!D2079,'[2]Annex 4 template - CompA'!D2099,'[2]Annex 4 template - CompA'!D2118,'[2]Annex 4 template - CompA'!D2137,'[2]Annex 4 template - CompA'!D2149,'[2]Annex 4 template - CompA'!D2166,'[2]Annex 4 template - CompA'!D2190)</f>
        <v>6977645.1599674225</v>
      </c>
      <c r="E13" s="61">
        <f>SUM('[2]Annex 4 template - CompA'!E1904,'[2]Annex 4 template - CompA'!E1910,'[2]Annex 4 template - CompA'!E1916,'[2]Annex 4 template - CompA'!E1922,'[2]Annex 4 template - CompA'!E1928,'[2]Annex 4 template - CompA'!E1934,'[2]Annex 4 template - CompA'!E1940,'[2]Annex 4 template - CompA'!E1946,'[2]Annex 4 template - CompA'!E1952,'[2]Annex 4 template - CompA'!E1958,'[2]Annex 4 template - CompA'!E1964,'[2]Annex 4 template - CompA'!E1970,'[2]Annex 4 template - CompA'!E1977,'[2]Annex 4 template - CompA'!E1983,'[2]Annex 4 template - CompA'!E1989,'[2]Annex 4 template - CompA'!E1995,'[2]Annex 4 template - CompA'!E2001,'[2]Annex 4 template - CompA'!E2008,'[2]Annex 4 template - CompA'!E2013,'[2]Annex 4 template - CompA'!E2018,'[2]Annex 4 template - CompA'!E2023,'[2]Annex 4 template - CompA'!E2028,'[2]Annex 4 template - CompA'!E2033,'[2]Annex 4 template - CompA'!E2038,'[2]Annex 4 template - CompA'!E2043,'[2]Annex 4 template - CompA'!E2048,'[2]Annex 4 template - CompA'!E2053,'[2]Annex 4 template - CompA'!E2058,'[2]Annex 4 template - CompA'!E2063,'[2]Annex 4 template - CompA'!E2068,'[2]Annex 4 template - CompA'!E2073,'[2]Annex 4 template - CompA'!E2079,'[2]Annex 4 template - CompA'!E2099,'[2]Annex 4 template - CompA'!E2118,'[2]Annex 4 template - CompA'!E2137,'[2]Annex 4 template - CompA'!E2149,'[2]Annex 4 template - CompA'!E2166,'[2]Annex 4 template - CompA'!E2190)</f>
        <v>0</v>
      </c>
      <c r="F13" s="61">
        <f>SUM('[2]Annex 4 template - CompA'!F1904,'[2]Annex 4 template - CompA'!F1910,'[2]Annex 4 template - CompA'!F1916,'[2]Annex 4 template - CompA'!F1922,'[2]Annex 4 template - CompA'!F1928,'[2]Annex 4 template - CompA'!F1934,'[2]Annex 4 template - CompA'!F1940,'[2]Annex 4 template - CompA'!F1946,'[2]Annex 4 template - CompA'!F1952,'[2]Annex 4 template - CompA'!F1958,'[2]Annex 4 template - CompA'!F1964,'[2]Annex 4 template - CompA'!F1970,'[2]Annex 4 template - CompA'!F1977,'[2]Annex 4 template - CompA'!F1983,'[2]Annex 4 template - CompA'!F1989,'[2]Annex 4 template - CompA'!F1995,'[2]Annex 4 template - CompA'!F2001,'[2]Annex 4 template - CompA'!F2008,'[2]Annex 4 template - CompA'!F2013,'[2]Annex 4 template - CompA'!F2018,'[2]Annex 4 template - CompA'!F2023,'[2]Annex 4 template - CompA'!F2028,'[2]Annex 4 template - CompA'!F2033,'[2]Annex 4 template - CompA'!F2038,'[2]Annex 4 template - CompA'!F2043,'[2]Annex 4 template - CompA'!F2048,'[2]Annex 4 template - CompA'!F2053,'[2]Annex 4 template - CompA'!F2058,'[2]Annex 4 template - CompA'!F2063,'[2]Annex 4 template - CompA'!F2068,'[2]Annex 4 template - CompA'!F2073,'[2]Annex 4 template - CompA'!F2079,'[2]Annex 4 template - CompA'!F2099,'[2]Annex 4 template - CompA'!F2118,'[2]Annex 4 template - CompA'!F2137,'[2]Annex 4 template - CompA'!F2149,'[2]Annex 4 template - CompA'!F2166,'[2]Annex 4 template - CompA'!F2190)</f>
        <v>0</v>
      </c>
      <c r="G13" s="61">
        <f>SUM('[2]Annex 4 template - CompA'!G1904,'[2]Annex 4 template - CompA'!G1910,'[2]Annex 4 template - CompA'!G1916,'[2]Annex 4 template - CompA'!G1922,'[2]Annex 4 template - CompA'!G1928,'[2]Annex 4 template - CompA'!G1934,'[2]Annex 4 template - CompA'!G1940,'[2]Annex 4 template - CompA'!G1946,'[2]Annex 4 template - CompA'!G1952,'[2]Annex 4 template - CompA'!G1958,'[2]Annex 4 template - CompA'!G1964,'[2]Annex 4 template - CompA'!G1970,'[2]Annex 4 template - CompA'!G1977,'[2]Annex 4 template - CompA'!G1983,'[2]Annex 4 template - CompA'!G1989,'[2]Annex 4 template - CompA'!G1995,'[2]Annex 4 template - CompA'!G2001,'[2]Annex 4 template - CompA'!G2008,'[2]Annex 4 template - CompA'!G2013,'[2]Annex 4 template - CompA'!G2018,'[2]Annex 4 template - CompA'!G2023,'[2]Annex 4 template - CompA'!G2028,'[2]Annex 4 template - CompA'!G2033,'[2]Annex 4 template - CompA'!G2038,'[2]Annex 4 template - CompA'!G2043,'[2]Annex 4 template - CompA'!G2048,'[2]Annex 4 template - CompA'!G2053,'[2]Annex 4 template - CompA'!G2058,'[2]Annex 4 template - CompA'!G2063,'[2]Annex 4 template - CompA'!G2068,'[2]Annex 4 template - CompA'!G2073,'[2]Annex 4 template - CompA'!G2079,'[2]Annex 4 template - CompA'!G2099,'[2]Annex 4 template - CompA'!G2118,'[2]Annex 4 template - CompA'!G2137,'[2]Annex 4 template - CompA'!G2149,'[2]Annex 4 template - CompA'!G2166,'[2]Annex 4 template - CompA'!G2190)</f>
        <v>0</v>
      </c>
      <c r="H13" s="61">
        <f>SUM('[2]Annex 4 template - CompA'!H1904,'[2]Annex 4 template - CompA'!H1910,'[2]Annex 4 template - CompA'!H1916,'[2]Annex 4 template - CompA'!H1922,'[2]Annex 4 template - CompA'!H1928,'[2]Annex 4 template - CompA'!H1934,'[2]Annex 4 template - CompA'!H1940,'[2]Annex 4 template - CompA'!H1946,'[2]Annex 4 template - CompA'!H1952,'[2]Annex 4 template - CompA'!H1958,'[2]Annex 4 template - CompA'!H1964,'[2]Annex 4 template - CompA'!H1970,'[2]Annex 4 template - CompA'!H1977,'[2]Annex 4 template - CompA'!H1983,'[2]Annex 4 template - CompA'!H1989,'[2]Annex 4 template - CompA'!H1995,'[2]Annex 4 template - CompA'!H2001,'[2]Annex 4 template - CompA'!H2008,'[2]Annex 4 template - CompA'!H2013,'[2]Annex 4 template - CompA'!H2018,'[2]Annex 4 template - CompA'!H2023,'[2]Annex 4 template - CompA'!H2028,'[2]Annex 4 template - CompA'!H2033,'[2]Annex 4 template - CompA'!H2038,'[2]Annex 4 template - CompA'!H2043,'[2]Annex 4 template - CompA'!H2048,'[2]Annex 4 template - CompA'!H2053,'[2]Annex 4 template - CompA'!H2058,'[2]Annex 4 template - CompA'!H2063,'[2]Annex 4 template - CompA'!H2068,'[2]Annex 4 template - CompA'!H2073,'[2]Annex 4 template - CompA'!H2079,'[2]Annex 4 template - CompA'!H2099,'[2]Annex 4 template - CompA'!H2118,'[2]Annex 4 template - CompA'!H2137,'[2]Annex 4 template - CompA'!H2149,'[2]Annex 4 template - CompA'!H2166,'[2]Annex 4 template - CompA'!H2190)</f>
        <v>62457.83358164574</v>
      </c>
      <c r="I13" s="61">
        <f>SUM('[2]Annex 4 template - CompA'!I1904,'[2]Annex 4 template - CompA'!I1910,'[2]Annex 4 template - CompA'!I1916,'[2]Annex 4 template - CompA'!I1922,'[2]Annex 4 template - CompA'!I1928,'[2]Annex 4 template - CompA'!I1934,'[2]Annex 4 template - CompA'!I1940,'[2]Annex 4 template - CompA'!I1946,'[2]Annex 4 template - CompA'!I1952,'[2]Annex 4 template - CompA'!I1958,'[2]Annex 4 template - CompA'!I1964,'[2]Annex 4 template - CompA'!I1970,'[2]Annex 4 template - CompA'!I1977,'[2]Annex 4 template - CompA'!I1983,'[2]Annex 4 template - CompA'!I1989,'[2]Annex 4 template - CompA'!I1995,'[2]Annex 4 template - CompA'!I2001,'[2]Annex 4 template - CompA'!I2008,'[2]Annex 4 template - CompA'!I2013,'[2]Annex 4 template - CompA'!I2018,'[2]Annex 4 template - CompA'!I2023,'[2]Annex 4 template - CompA'!I2028,'[2]Annex 4 template - CompA'!I2033,'[2]Annex 4 template - CompA'!I2038,'[2]Annex 4 template - CompA'!I2043,'[2]Annex 4 template - CompA'!I2048,'[2]Annex 4 template - CompA'!I2053,'[2]Annex 4 template - CompA'!I2058,'[2]Annex 4 template - CompA'!I2063,'[2]Annex 4 template - CompA'!I2068,'[2]Annex 4 template - CompA'!I2073,'[2]Annex 4 template - CompA'!I2079,'[2]Annex 4 template - CompA'!I2099,'[2]Annex 4 template - CompA'!I2118,'[2]Annex 4 template - CompA'!I2137,'[2]Annex 4 template - CompA'!I2149,'[2]Annex 4 template - CompA'!I2166,'[2]Annex 4 template - CompA'!I2190)</f>
        <v>3518753.9617468277</v>
      </c>
      <c r="J13" s="61">
        <f>SUM('[2]Annex 4 template - CompA'!J1904,'[2]Annex 4 template - CompA'!J1910,'[2]Annex 4 template - CompA'!J1916,'[2]Annex 4 template - CompA'!J1922,'[2]Annex 4 template - CompA'!J1928,'[2]Annex 4 template - CompA'!J1934,'[2]Annex 4 template - CompA'!J1940,'[2]Annex 4 template - CompA'!J1946,'[2]Annex 4 template - CompA'!J1952,'[2]Annex 4 template - CompA'!J1958,'[2]Annex 4 template - CompA'!J1964,'[2]Annex 4 template - CompA'!J1970,'[2]Annex 4 template - CompA'!J1977,'[2]Annex 4 template - CompA'!J1983,'[2]Annex 4 template - CompA'!J1989,'[2]Annex 4 template - CompA'!J1995,'[2]Annex 4 template - CompA'!J2001,'[2]Annex 4 template - CompA'!J2008,'[2]Annex 4 template - CompA'!J2013,'[2]Annex 4 template - CompA'!J2018,'[2]Annex 4 template - CompA'!J2023,'[2]Annex 4 template - CompA'!J2028,'[2]Annex 4 template - CompA'!J2033,'[2]Annex 4 template - CompA'!J2038,'[2]Annex 4 template - CompA'!J2043,'[2]Annex 4 template - CompA'!J2048,'[2]Annex 4 template - CompA'!J2053,'[2]Annex 4 template - CompA'!J2058,'[2]Annex 4 template - CompA'!J2063,'[2]Annex 4 template - CompA'!J2068,'[2]Annex 4 template - CompA'!J2073,'[2]Annex 4 template - CompA'!J2079,'[2]Annex 4 template - CompA'!J2099,'[2]Annex 4 template - CompA'!J2118,'[2]Annex 4 template - CompA'!J2137,'[2]Annex 4 template - CompA'!J2149,'[2]Annex 4 template - CompA'!J2166,'[2]Annex 4 template - CompA'!J2190)</f>
        <v>535678.57982348744</v>
      </c>
      <c r="K13" s="61">
        <f>SUM('[2]Annex 4 template - CompA'!K1904,'[2]Annex 4 template - CompA'!K1910,'[2]Annex 4 template - CompA'!K1916,'[2]Annex 4 template - CompA'!K1922,'[2]Annex 4 template - CompA'!K1928,'[2]Annex 4 template - CompA'!K1934,'[2]Annex 4 template - CompA'!K1940,'[2]Annex 4 template - CompA'!K1946,'[2]Annex 4 template - CompA'!K1952,'[2]Annex 4 template - CompA'!K1958,'[2]Annex 4 template - CompA'!K1964,'[2]Annex 4 template - CompA'!K1970,'[2]Annex 4 template - CompA'!K1977,'[2]Annex 4 template - CompA'!K1983,'[2]Annex 4 template - CompA'!K1989,'[2]Annex 4 template - CompA'!K1995,'[2]Annex 4 template - CompA'!K2001,'[2]Annex 4 template - CompA'!K2008,'[2]Annex 4 template - CompA'!K2013,'[2]Annex 4 template - CompA'!K2018,'[2]Annex 4 template - CompA'!K2023,'[2]Annex 4 template - CompA'!K2028,'[2]Annex 4 template - CompA'!K2033,'[2]Annex 4 template - CompA'!K2038,'[2]Annex 4 template - CompA'!K2043,'[2]Annex 4 template - CompA'!K2048,'[2]Annex 4 template - CompA'!K2053,'[2]Annex 4 template - CompA'!K2058,'[2]Annex 4 template - CompA'!K2063,'[2]Annex 4 template - CompA'!K2068,'[2]Annex 4 template - CompA'!K2073,'[2]Annex 4 template - CompA'!K2079,'[2]Annex 4 template - CompA'!K2099,'[2]Annex 4 template - CompA'!K2118,'[2]Annex 4 template - CompA'!K2137,'[2]Annex 4 template - CompA'!K2149,'[2]Annex 4 template - CompA'!K2166,'[2]Annex 4 template - CompA'!K2190)</f>
        <v>1660282.7643783796</v>
      </c>
      <c r="L13" s="61">
        <f>SUM('[2]Annex 4 template - CompA'!L1904,'[2]Annex 4 template - CompA'!L1910,'[2]Annex 4 template - CompA'!L1916,'[2]Annex 4 template - CompA'!L1922,'[2]Annex 4 template - CompA'!L1928,'[2]Annex 4 template - CompA'!L1934,'[2]Annex 4 template - CompA'!L1940,'[2]Annex 4 template - CompA'!L1946,'[2]Annex 4 template - CompA'!L1952,'[2]Annex 4 template - CompA'!L1958,'[2]Annex 4 template - CompA'!L1964,'[2]Annex 4 template - CompA'!L1970,'[2]Annex 4 template - CompA'!L1977,'[2]Annex 4 template - CompA'!L1983,'[2]Annex 4 template - CompA'!L1989,'[2]Annex 4 template - CompA'!L1995,'[2]Annex 4 template - CompA'!L2001,'[2]Annex 4 template - CompA'!L2008,'[2]Annex 4 template - CompA'!L2013,'[2]Annex 4 template - CompA'!L2018,'[2]Annex 4 template - CompA'!L2023,'[2]Annex 4 template - CompA'!L2028,'[2]Annex 4 template - CompA'!L2033,'[2]Annex 4 template - CompA'!L2038,'[2]Annex 4 template - CompA'!L2043,'[2]Annex 4 template - CompA'!L2048,'[2]Annex 4 template - CompA'!L2053,'[2]Annex 4 template - CompA'!L2058,'[2]Annex 4 template - CompA'!L2063,'[2]Annex 4 template - CompA'!L2068,'[2]Annex 4 template - CompA'!L2073,'[2]Annex 4 template - CompA'!L2079,'[2]Annex 4 template - CompA'!L2099,'[2]Annex 4 template - CompA'!L2118,'[2]Annex 4 template - CompA'!L2137,'[2]Annex 4 template - CompA'!L2149,'[2]Annex 4 template - CompA'!L2166,'[2]Annex 4 template - CompA'!L2190)</f>
        <v>550923.43744851719</v>
      </c>
      <c r="M13" s="61">
        <f>SUM('[2]Annex 4 template - CompA'!M1904,'[2]Annex 4 template - CompA'!M1910,'[2]Annex 4 template - CompA'!M1916,'[2]Annex 4 template - CompA'!M1922,'[2]Annex 4 template - CompA'!M1928,'[2]Annex 4 template - CompA'!M1934,'[2]Annex 4 template - CompA'!M1940,'[2]Annex 4 template - CompA'!M1946,'[2]Annex 4 template - CompA'!M1952,'[2]Annex 4 template - CompA'!M1958,'[2]Annex 4 template - CompA'!M1964,'[2]Annex 4 template - CompA'!M1970,'[2]Annex 4 template - CompA'!M1977,'[2]Annex 4 template - CompA'!M1983,'[2]Annex 4 template - CompA'!M1989,'[2]Annex 4 template - CompA'!M1995,'[2]Annex 4 template - CompA'!M2001,'[2]Annex 4 template - CompA'!M2008,'[2]Annex 4 template - CompA'!M2013,'[2]Annex 4 template - CompA'!M2018,'[2]Annex 4 template - CompA'!M2023,'[2]Annex 4 template - CompA'!M2028,'[2]Annex 4 template - CompA'!M2033,'[2]Annex 4 template - CompA'!M2038,'[2]Annex 4 template - CompA'!M2043,'[2]Annex 4 template - CompA'!M2048,'[2]Annex 4 template - CompA'!M2053,'[2]Annex 4 template - CompA'!M2058,'[2]Annex 4 template - CompA'!M2063,'[2]Annex 4 template - CompA'!M2068,'[2]Annex 4 template - CompA'!M2073,'[2]Annex 4 template - CompA'!M2079,'[2]Annex 4 template - CompA'!M2099,'[2]Annex 4 template - CompA'!M2118,'[2]Annex 4 template - CompA'!M2137,'[2]Annex 4 template - CompA'!M2149,'[2]Annex 4 template - CompA'!M2166,'[2]Annex 4 template - CompA'!M2190)</f>
        <v>355044.11692972668</v>
      </c>
      <c r="N13" s="61">
        <f>SUM('[2]Annex 4 template - CompA'!N1904,'[2]Annex 4 template - CompA'!N1910,'[2]Annex 4 template - CompA'!N1916,'[2]Annex 4 template - CompA'!N1922,'[2]Annex 4 template - CompA'!N1928,'[2]Annex 4 template - CompA'!N1934,'[2]Annex 4 template - CompA'!N1940,'[2]Annex 4 template - CompA'!N1946,'[2]Annex 4 template - CompA'!N1952,'[2]Annex 4 template - CompA'!N1958,'[2]Annex 4 template - CompA'!N1964,'[2]Annex 4 template - CompA'!N1970,'[2]Annex 4 template - CompA'!N1977,'[2]Annex 4 template - CompA'!N1983,'[2]Annex 4 template - CompA'!N1989,'[2]Annex 4 template - CompA'!N1995,'[2]Annex 4 template - CompA'!N2001,'[2]Annex 4 template - CompA'!N2008,'[2]Annex 4 template - CompA'!N2013,'[2]Annex 4 template - CompA'!N2018,'[2]Annex 4 template - CompA'!N2023,'[2]Annex 4 template - CompA'!N2028,'[2]Annex 4 template - CompA'!N2033,'[2]Annex 4 template - CompA'!N2038,'[2]Annex 4 template - CompA'!N2043,'[2]Annex 4 template - CompA'!N2048,'[2]Annex 4 template - CompA'!N2053,'[2]Annex 4 template - CompA'!N2058,'[2]Annex 4 template - CompA'!N2063,'[2]Annex 4 template - CompA'!N2068,'[2]Annex 4 template - CompA'!N2073,'[2]Annex 4 template - CompA'!N2079,'[2]Annex 4 template - CompA'!N2099,'[2]Annex 4 template - CompA'!N2118,'[2]Annex 4 template - CompA'!N2137,'[2]Annex 4 template - CompA'!N2149,'[2]Annex 4 template - CompA'!N2166,'[2]Annex 4 template - CompA'!N2190)</f>
        <v>258787.26360463788</v>
      </c>
      <c r="O13" s="61">
        <f>SUM('[2]Annex 4 template - CompA'!O1904,'[2]Annex 4 template - CompA'!O1910,'[2]Annex 4 template - CompA'!O1916,'[2]Annex 4 template - CompA'!O1922,'[2]Annex 4 template - CompA'!O1928,'[2]Annex 4 template - CompA'!O1934,'[2]Annex 4 template - CompA'!O1940,'[2]Annex 4 template - CompA'!O1946,'[2]Annex 4 template - CompA'!O1952,'[2]Annex 4 template - CompA'!O1958,'[2]Annex 4 template - CompA'!O1964,'[2]Annex 4 template - CompA'!O1970,'[2]Annex 4 template - CompA'!O1977,'[2]Annex 4 template - CompA'!O1983,'[2]Annex 4 template - CompA'!O1989,'[2]Annex 4 template - CompA'!O1995,'[2]Annex 4 template - CompA'!O2001,'[2]Annex 4 template - CompA'!O2008,'[2]Annex 4 template - CompA'!O2013,'[2]Annex 4 template - CompA'!O2018,'[2]Annex 4 template - CompA'!O2023,'[2]Annex 4 template - CompA'!O2028,'[2]Annex 4 template - CompA'!O2033,'[2]Annex 4 template - CompA'!O2038,'[2]Annex 4 template - CompA'!O2043,'[2]Annex 4 template - CompA'!O2048,'[2]Annex 4 template - CompA'!O2053,'[2]Annex 4 template - CompA'!O2058,'[2]Annex 4 template - CompA'!O2063,'[2]Annex 4 template - CompA'!O2068,'[2]Annex 4 template - CompA'!O2073,'[2]Annex 4 template - CompA'!O2079,'[2]Annex 4 template - CompA'!O2099,'[2]Annex 4 template - CompA'!O2118,'[2]Annex 4 template - CompA'!O2137,'[2]Annex 4 template - CompA'!O2149,'[2]Annex 4 template - CompA'!O2166,'[2]Annex 4 template - CompA'!O2190)</f>
        <v>35717.202454198661</v>
      </c>
      <c r="P13" s="61">
        <f t="shared" si="0"/>
        <v>6977645.1599674216</v>
      </c>
      <c r="Q13" s="63">
        <f t="shared" si="1"/>
        <v>0</v>
      </c>
      <c r="R13" s="63">
        <f t="shared" si="2"/>
        <v>0</v>
      </c>
      <c r="S13" s="63">
        <f t="shared" si="3"/>
        <v>0</v>
      </c>
    </row>
    <row r="14" spans="2:19" ht="13.25" customHeight="1" x14ac:dyDescent="0.2">
      <c r="B14" s="60" t="str">
        <f>'[2]Annex 4 template - CompA'!C2199</f>
        <v>1.1g. Strengthen the skills of small-scale fishers to catch tuna and other large pelagic fish around FADs.</v>
      </c>
      <c r="C14" s="61">
        <f>SUM('[2]Annex 4 template - CompA'!D2200:D2593)</f>
        <v>3464478.332062162</v>
      </c>
      <c r="D14" s="62">
        <f>SUM('[2]Annex 4 template - CompA'!D2200,'[2]Annex 4 template - CompA'!D2206,'[2]Annex 4 template - CompA'!D2212,'[2]Annex 4 template - CompA'!D2218,'[2]Annex 4 template - CompA'!D2224,'[2]Annex 4 template - CompA'!D2230,'[2]Annex 4 template - CompA'!D2236,'[2]Annex 4 template - CompA'!D2242,'[2]Annex 4 template - CompA'!D2248,'[2]Annex 4 template - CompA'!D2254,'[2]Annex 4 template - CompA'!D2260,'[2]Annex 4 template - CompA'!D2266,'[2]Annex 4 template - CompA'!D2272,'[2]Annex 4 template - CompA'!D2278,'[2]Annex 4 template - CompA'!D2284,'[2]Annex 4 template - CompA'!D2290,'[2]Annex 4 template - CompA'!D2297,'[2]Annex 4 template - CompA'!D2302,'[2]Annex 4 template - CompA'!D2307,'[2]Annex 4 template - CompA'!D2312,'[2]Annex 4 template - CompA'!D2317,'[2]Annex 4 template - CompA'!D2322,'[2]Annex 4 template - CompA'!D2327,'[2]Annex 4 template - CompA'!D2332,'[2]Annex 4 template - CompA'!D2337,'[2]Annex 4 template - CompA'!D2342,'[2]Annex 4 template - CompA'!D2347,'[2]Annex 4 template - CompA'!D2352,'[2]Annex 4 template - CompA'!D2357,'[2]Annex 4 template - CompA'!D2362,'[2]Annex 4 template - CompA'!D2368,'[2]Annex 4 template - CompA'!D2373,'[2]Annex 4 template - CompA'!D2395,'[2]Annex 4 template - CompA'!D2416,'[2]Annex 4 template - CompA'!D2434,'[2]Annex 4 template - CompA'!D2452,'[2]Annex 4 template - CompA'!D2469,'[2]Annex 4 template - CompA'!D2475,'[2]Annex 4 template - CompA'!D2480,'[2]Annex 4 template - CompA'!D2487,'[2]Annex 4 template - CompA'!D2493,'[2]Annex 4 template - CompA'!D2498,'[2]Annex 4 template - CompA'!D2504,'[2]Annex 4 template - CompA'!D2509,'[2]Annex 4 template - CompA'!D2515,'[2]Annex 4 template - CompA'!D2519,'[2]Annex 4 template - CompA'!D2525,'[2]Annex 4 template - CompA'!D2529,'[2]Annex 4 template - CompA'!D2535,'[2]Annex 4 template - CompA'!D2553,'[2]Annex 4 template - CompA'!D2557,'[2]Annex 4 template - CompA'!D2575,'[2]Annex 4 template - CompA'!D2581,'[2]Annex 4 template - CompA'!D2587,)</f>
        <v>3464478.332062162</v>
      </c>
      <c r="E14" s="61">
        <f>SUM('[2]Annex 4 template - CompA'!E2200,'[2]Annex 4 template - CompA'!E2206,'[2]Annex 4 template - CompA'!E2212,'[2]Annex 4 template - CompA'!E2218,'[2]Annex 4 template - CompA'!E2224,'[2]Annex 4 template - CompA'!E2230,'[2]Annex 4 template - CompA'!E2236,'[2]Annex 4 template - CompA'!E2242,'[2]Annex 4 template - CompA'!E2248,'[2]Annex 4 template - CompA'!E2254,'[2]Annex 4 template - CompA'!E2260,'[2]Annex 4 template - CompA'!E2266,'[2]Annex 4 template - CompA'!E2272,'[2]Annex 4 template - CompA'!E2278,'[2]Annex 4 template - CompA'!E2284,'[2]Annex 4 template - CompA'!E2290,'[2]Annex 4 template - CompA'!E2297,'[2]Annex 4 template - CompA'!E2302,'[2]Annex 4 template - CompA'!E2307,'[2]Annex 4 template - CompA'!E2312,'[2]Annex 4 template - CompA'!E2317,'[2]Annex 4 template - CompA'!E2322,'[2]Annex 4 template - CompA'!E2327,'[2]Annex 4 template - CompA'!E2332,'[2]Annex 4 template - CompA'!E2337,'[2]Annex 4 template - CompA'!E2342,'[2]Annex 4 template - CompA'!E2347,'[2]Annex 4 template - CompA'!E2352,'[2]Annex 4 template - CompA'!E2357,'[2]Annex 4 template - CompA'!E2362,'[2]Annex 4 template - CompA'!E2368,'[2]Annex 4 template - CompA'!E2373,'[2]Annex 4 template - CompA'!E2395,'[2]Annex 4 template - CompA'!E2416,'[2]Annex 4 template - CompA'!E2434,'[2]Annex 4 template - CompA'!E2452,'[2]Annex 4 template - CompA'!E2469,'[2]Annex 4 template - CompA'!E2475,'[2]Annex 4 template - CompA'!E2480,'[2]Annex 4 template - CompA'!E2487,'[2]Annex 4 template - CompA'!E2493,'[2]Annex 4 template - CompA'!E2498,'[2]Annex 4 template - CompA'!E2504,'[2]Annex 4 template - CompA'!E2509,'[2]Annex 4 template - CompA'!E2515,'[2]Annex 4 template - CompA'!E2519,'[2]Annex 4 template - CompA'!E2525,'[2]Annex 4 template - CompA'!E2529,'[2]Annex 4 template - CompA'!E2535,'[2]Annex 4 template - CompA'!E2553,'[2]Annex 4 template - CompA'!E2557,'[2]Annex 4 template - CompA'!E2575,'[2]Annex 4 template - CompA'!E2581,'[2]Annex 4 template - CompA'!E2587,)</f>
        <v>0</v>
      </c>
      <c r="F14" s="61">
        <f>SUM('[2]Annex 4 template - CompA'!F2200,'[2]Annex 4 template - CompA'!F2206,'[2]Annex 4 template - CompA'!F2212,'[2]Annex 4 template - CompA'!F2218,'[2]Annex 4 template - CompA'!F2224,'[2]Annex 4 template - CompA'!F2230,'[2]Annex 4 template - CompA'!F2236,'[2]Annex 4 template - CompA'!F2242,'[2]Annex 4 template - CompA'!F2248,'[2]Annex 4 template - CompA'!F2254,'[2]Annex 4 template - CompA'!F2260,'[2]Annex 4 template - CompA'!F2266,'[2]Annex 4 template - CompA'!F2272,'[2]Annex 4 template - CompA'!F2278,'[2]Annex 4 template - CompA'!F2284,'[2]Annex 4 template - CompA'!F2290,'[2]Annex 4 template - CompA'!F2297,'[2]Annex 4 template - CompA'!F2302,'[2]Annex 4 template - CompA'!F2307,'[2]Annex 4 template - CompA'!F2312,'[2]Annex 4 template - CompA'!F2317,'[2]Annex 4 template - CompA'!F2322,'[2]Annex 4 template - CompA'!F2327,'[2]Annex 4 template - CompA'!F2332,'[2]Annex 4 template - CompA'!F2337,'[2]Annex 4 template - CompA'!F2342,'[2]Annex 4 template - CompA'!F2347,'[2]Annex 4 template - CompA'!F2352,'[2]Annex 4 template - CompA'!F2357,'[2]Annex 4 template - CompA'!F2362,'[2]Annex 4 template - CompA'!F2368,'[2]Annex 4 template - CompA'!F2373,'[2]Annex 4 template - CompA'!F2395,'[2]Annex 4 template - CompA'!F2416,'[2]Annex 4 template - CompA'!F2434,'[2]Annex 4 template - CompA'!F2452,'[2]Annex 4 template - CompA'!F2469,'[2]Annex 4 template - CompA'!F2475,'[2]Annex 4 template - CompA'!F2480,'[2]Annex 4 template - CompA'!F2487,'[2]Annex 4 template - CompA'!F2493,'[2]Annex 4 template - CompA'!F2498,'[2]Annex 4 template - CompA'!F2504,'[2]Annex 4 template - CompA'!F2509,'[2]Annex 4 template - CompA'!F2515,'[2]Annex 4 template - CompA'!F2519,'[2]Annex 4 template - CompA'!F2525,'[2]Annex 4 template - CompA'!F2529,'[2]Annex 4 template - CompA'!F2535,'[2]Annex 4 template - CompA'!F2553,'[2]Annex 4 template - CompA'!F2557,'[2]Annex 4 template - CompA'!F2575,'[2]Annex 4 template - CompA'!F2581,'[2]Annex 4 template - CompA'!F2587,)</f>
        <v>0</v>
      </c>
      <c r="G14" s="61">
        <f>SUM('[2]Annex 4 template - CompA'!G2200,'[2]Annex 4 template - CompA'!G2206,'[2]Annex 4 template - CompA'!G2212,'[2]Annex 4 template - CompA'!G2218,'[2]Annex 4 template - CompA'!G2224,'[2]Annex 4 template - CompA'!G2230,'[2]Annex 4 template - CompA'!G2236,'[2]Annex 4 template - CompA'!G2242,'[2]Annex 4 template - CompA'!G2248,'[2]Annex 4 template - CompA'!G2254,'[2]Annex 4 template - CompA'!G2260,'[2]Annex 4 template - CompA'!G2266,'[2]Annex 4 template - CompA'!G2272,'[2]Annex 4 template - CompA'!G2278,'[2]Annex 4 template - CompA'!G2284,'[2]Annex 4 template - CompA'!G2290,'[2]Annex 4 template - CompA'!G2297,'[2]Annex 4 template - CompA'!G2302,'[2]Annex 4 template - CompA'!G2307,'[2]Annex 4 template - CompA'!G2312,'[2]Annex 4 template - CompA'!G2317,'[2]Annex 4 template - CompA'!G2322,'[2]Annex 4 template - CompA'!G2327,'[2]Annex 4 template - CompA'!G2332,'[2]Annex 4 template - CompA'!G2337,'[2]Annex 4 template - CompA'!G2342,'[2]Annex 4 template - CompA'!G2347,'[2]Annex 4 template - CompA'!G2352,'[2]Annex 4 template - CompA'!G2357,'[2]Annex 4 template - CompA'!G2362,'[2]Annex 4 template - CompA'!G2368,'[2]Annex 4 template - CompA'!G2373,'[2]Annex 4 template - CompA'!G2395,'[2]Annex 4 template - CompA'!G2416,'[2]Annex 4 template - CompA'!G2434,'[2]Annex 4 template - CompA'!G2452,'[2]Annex 4 template - CompA'!G2469,'[2]Annex 4 template - CompA'!G2475,'[2]Annex 4 template - CompA'!G2480,'[2]Annex 4 template - CompA'!G2487,'[2]Annex 4 template - CompA'!G2493,'[2]Annex 4 template - CompA'!G2498,'[2]Annex 4 template - CompA'!G2504,'[2]Annex 4 template - CompA'!G2509,'[2]Annex 4 template - CompA'!G2515,'[2]Annex 4 template - CompA'!G2519,'[2]Annex 4 template - CompA'!G2525,'[2]Annex 4 template - CompA'!G2529,'[2]Annex 4 template - CompA'!G2535,'[2]Annex 4 template - CompA'!G2553,'[2]Annex 4 template - CompA'!G2557,'[2]Annex 4 template - CompA'!G2575,'[2]Annex 4 template - CompA'!G2581,'[2]Annex 4 template - CompA'!G2587,)</f>
        <v>0</v>
      </c>
      <c r="H14" s="61">
        <f>SUM('[2]Annex 4 template - CompA'!H2200,'[2]Annex 4 template - CompA'!H2206,'[2]Annex 4 template - CompA'!H2212,'[2]Annex 4 template - CompA'!H2218,'[2]Annex 4 template - CompA'!H2224,'[2]Annex 4 template - CompA'!H2230,'[2]Annex 4 template - CompA'!H2236,'[2]Annex 4 template - CompA'!H2242,'[2]Annex 4 template - CompA'!H2248,'[2]Annex 4 template - CompA'!H2254,'[2]Annex 4 template - CompA'!H2260,'[2]Annex 4 template - CompA'!H2266,'[2]Annex 4 template - CompA'!H2272,'[2]Annex 4 template - CompA'!H2278,'[2]Annex 4 template - CompA'!H2284,'[2]Annex 4 template - CompA'!H2290,'[2]Annex 4 template - CompA'!H2297,'[2]Annex 4 template - CompA'!H2302,'[2]Annex 4 template - CompA'!H2307,'[2]Annex 4 template - CompA'!H2312,'[2]Annex 4 template - CompA'!H2317,'[2]Annex 4 template - CompA'!H2322,'[2]Annex 4 template - CompA'!H2327,'[2]Annex 4 template - CompA'!H2332,'[2]Annex 4 template - CompA'!H2337,'[2]Annex 4 template - CompA'!H2342,'[2]Annex 4 template - CompA'!H2347,'[2]Annex 4 template - CompA'!H2352,'[2]Annex 4 template - CompA'!H2357,'[2]Annex 4 template - CompA'!H2362,'[2]Annex 4 template - CompA'!H2368,'[2]Annex 4 template - CompA'!H2373,'[2]Annex 4 template - CompA'!H2395,'[2]Annex 4 template - CompA'!H2416,'[2]Annex 4 template - CompA'!H2434,'[2]Annex 4 template - CompA'!H2452,'[2]Annex 4 template - CompA'!H2469,'[2]Annex 4 template - CompA'!H2475,'[2]Annex 4 template - CompA'!H2480,'[2]Annex 4 template - CompA'!H2487,'[2]Annex 4 template - CompA'!H2493,'[2]Annex 4 template - CompA'!H2498,'[2]Annex 4 template - CompA'!H2504,'[2]Annex 4 template - CompA'!H2509,'[2]Annex 4 template - CompA'!H2515,'[2]Annex 4 template - CompA'!H2519,'[2]Annex 4 template - CompA'!H2525,'[2]Annex 4 template - CompA'!H2529,'[2]Annex 4 template - CompA'!H2535,'[2]Annex 4 template - CompA'!H2553,'[2]Annex 4 template - CompA'!H2557,'[2]Annex 4 template - CompA'!H2575,'[2]Annex 4 template - CompA'!H2581,'[2]Annex 4 template - CompA'!H2587,)</f>
        <v>78461.872342848219</v>
      </c>
      <c r="I14" s="61">
        <f>SUM('[2]Annex 4 template - CompA'!I2200,'[2]Annex 4 template - CompA'!I2206,'[2]Annex 4 template - CompA'!I2212,'[2]Annex 4 template - CompA'!I2218,'[2]Annex 4 template - CompA'!I2224,'[2]Annex 4 template - CompA'!I2230,'[2]Annex 4 template - CompA'!I2236,'[2]Annex 4 template - CompA'!I2242,'[2]Annex 4 template - CompA'!I2248,'[2]Annex 4 template - CompA'!I2254,'[2]Annex 4 template - CompA'!I2260,'[2]Annex 4 template - CompA'!I2266,'[2]Annex 4 template - CompA'!I2272,'[2]Annex 4 template - CompA'!I2278,'[2]Annex 4 template - CompA'!I2284,'[2]Annex 4 template - CompA'!I2290,'[2]Annex 4 template - CompA'!I2297,'[2]Annex 4 template - CompA'!I2302,'[2]Annex 4 template - CompA'!I2307,'[2]Annex 4 template - CompA'!I2312,'[2]Annex 4 template - CompA'!I2317,'[2]Annex 4 template - CompA'!I2322,'[2]Annex 4 template - CompA'!I2327,'[2]Annex 4 template - CompA'!I2332,'[2]Annex 4 template - CompA'!I2337,'[2]Annex 4 template - CompA'!I2342,'[2]Annex 4 template - CompA'!I2347,'[2]Annex 4 template - CompA'!I2352,'[2]Annex 4 template - CompA'!I2357,'[2]Annex 4 template - CompA'!I2362,'[2]Annex 4 template - CompA'!I2368,'[2]Annex 4 template - CompA'!I2373,'[2]Annex 4 template - CompA'!I2395,'[2]Annex 4 template - CompA'!I2416,'[2]Annex 4 template - CompA'!I2434,'[2]Annex 4 template - CompA'!I2452,'[2]Annex 4 template - CompA'!I2469,'[2]Annex 4 template - CompA'!I2475,'[2]Annex 4 template - CompA'!I2480,'[2]Annex 4 template - CompA'!I2487,'[2]Annex 4 template - CompA'!I2493,'[2]Annex 4 template - CompA'!I2498,'[2]Annex 4 template - CompA'!I2504,'[2]Annex 4 template - CompA'!I2509,'[2]Annex 4 template - CompA'!I2515,'[2]Annex 4 template - CompA'!I2519,'[2]Annex 4 template - CompA'!I2525,'[2]Annex 4 template - CompA'!I2529,'[2]Annex 4 template - CompA'!I2535,'[2]Annex 4 template - CompA'!I2553,'[2]Annex 4 template - CompA'!I2557,'[2]Annex 4 template - CompA'!I2575,'[2]Annex 4 template - CompA'!I2581,'[2]Annex 4 template - CompA'!I2587,)</f>
        <v>413731.80877148302</v>
      </c>
      <c r="J14" s="61">
        <f>SUM('[2]Annex 4 template - CompA'!J2200,'[2]Annex 4 template - CompA'!J2206,'[2]Annex 4 template - CompA'!J2212,'[2]Annex 4 template - CompA'!J2218,'[2]Annex 4 template - CompA'!J2224,'[2]Annex 4 template - CompA'!J2230,'[2]Annex 4 template - CompA'!J2236,'[2]Annex 4 template - CompA'!J2242,'[2]Annex 4 template - CompA'!J2248,'[2]Annex 4 template - CompA'!J2254,'[2]Annex 4 template - CompA'!J2260,'[2]Annex 4 template - CompA'!J2266,'[2]Annex 4 template - CompA'!J2272,'[2]Annex 4 template - CompA'!J2278,'[2]Annex 4 template - CompA'!J2284,'[2]Annex 4 template - CompA'!J2290,'[2]Annex 4 template - CompA'!J2297,'[2]Annex 4 template - CompA'!J2302,'[2]Annex 4 template - CompA'!J2307,'[2]Annex 4 template - CompA'!J2312,'[2]Annex 4 template - CompA'!J2317,'[2]Annex 4 template - CompA'!J2322,'[2]Annex 4 template - CompA'!J2327,'[2]Annex 4 template - CompA'!J2332,'[2]Annex 4 template - CompA'!J2337,'[2]Annex 4 template - CompA'!J2342,'[2]Annex 4 template - CompA'!J2347,'[2]Annex 4 template - CompA'!J2352,'[2]Annex 4 template - CompA'!J2357,'[2]Annex 4 template - CompA'!J2362,'[2]Annex 4 template - CompA'!J2368,'[2]Annex 4 template - CompA'!J2373,'[2]Annex 4 template - CompA'!J2395,'[2]Annex 4 template - CompA'!J2416,'[2]Annex 4 template - CompA'!J2434,'[2]Annex 4 template - CompA'!J2452,'[2]Annex 4 template - CompA'!J2469,'[2]Annex 4 template - CompA'!J2475,'[2]Annex 4 template - CompA'!J2480,'[2]Annex 4 template - CompA'!J2487,'[2]Annex 4 template - CompA'!J2493,'[2]Annex 4 template - CompA'!J2498,'[2]Annex 4 template - CompA'!J2504,'[2]Annex 4 template - CompA'!J2509,'[2]Annex 4 template - CompA'!J2515,'[2]Annex 4 template - CompA'!J2519,'[2]Annex 4 template - CompA'!J2525,'[2]Annex 4 template - CompA'!J2529,'[2]Annex 4 template - CompA'!J2535,'[2]Annex 4 template - CompA'!J2553,'[2]Annex 4 template - CompA'!J2557,'[2]Annex 4 template - CompA'!J2575,'[2]Annex 4 template - CompA'!J2581,'[2]Annex 4 template - CompA'!J2587,)</f>
        <v>762364.05651081167</v>
      </c>
      <c r="K14" s="61">
        <f>SUM('[2]Annex 4 template - CompA'!K2200,'[2]Annex 4 template - CompA'!K2206,'[2]Annex 4 template - CompA'!K2212,'[2]Annex 4 template - CompA'!K2218,'[2]Annex 4 template - CompA'!K2224,'[2]Annex 4 template - CompA'!K2230,'[2]Annex 4 template - CompA'!K2236,'[2]Annex 4 template - CompA'!K2242,'[2]Annex 4 template - CompA'!K2248,'[2]Annex 4 template - CompA'!K2254,'[2]Annex 4 template - CompA'!K2260,'[2]Annex 4 template - CompA'!K2266,'[2]Annex 4 template - CompA'!K2272,'[2]Annex 4 template - CompA'!K2278,'[2]Annex 4 template - CompA'!K2284,'[2]Annex 4 template - CompA'!K2290,'[2]Annex 4 template - CompA'!K2297,'[2]Annex 4 template - CompA'!K2302,'[2]Annex 4 template - CompA'!K2307,'[2]Annex 4 template - CompA'!K2312,'[2]Annex 4 template - CompA'!K2317,'[2]Annex 4 template - CompA'!K2322,'[2]Annex 4 template - CompA'!K2327,'[2]Annex 4 template - CompA'!K2332,'[2]Annex 4 template - CompA'!K2337,'[2]Annex 4 template - CompA'!K2342,'[2]Annex 4 template - CompA'!K2347,'[2]Annex 4 template - CompA'!K2352,'[2]Annex 4 template - CompA'!K2357,'[2]Annex 4 template - CompA'!K2362,'[2]Annex 4 template - CompA'!K2368,'[2]Annex 4 template - CompA'!K2373,'[2]Annex 4 template - CompA'!K2395,'[2]Annex 4 template - CompA'!K2416,'[2]Annex 4 template - CompA'!K2434,'[2]Annex 4 template - CompA'!K2452,'[2]Annex 4 template - CompA'!K2469,'[2]Annex 4 template - CompA'!K2475,'[2]Annex 4 template - CompA'!K2480,'[2]Annex 4 template - CompA'!K2487,'[2]Annex 4 template - CompA'!K2493,'[2]Annex 4 template - CompA'!K2498,'[2]Annex 4 template - CompA'!K2504,'[2]Annex 4 template - CompA'!K2509,'[2]Annex 4 template - CompA'!K2515,'[2]Annex 4 template - CompA'!K2519,'[2]Annex 4 template - CompA'!K2525,'[2]Annex 4 template - CompA'!K2529,'[2]Annex 4 template - CompA'!K2535,'[2]Annex 4 template - CompA'!K2553,'[2]Annex 4 template - CompA'!K2557,'[2]Annex 4 template - CompA'!K2575,'[2]Annex 4 template - CompA'!K2581,'[2]Annex 4 template - CompA'!K2587,)</f>
        <v>887409.2559497403</v>
      </c>
      <c r="L14" s="61">
        <f>SUM('[2]Annex 4 template - CompA'!L2200,'[2]Annex 4 template - CompA'!L2206,'[2]Annex 4 template - CompA'!L2212,'[2]Annex 4 template - CompA'!L2218,'[2]Annex 4 template - CompA'!L2224,'[2]Annex 4 template - CompA'!L2230,'[2]Annex 4 template - CompA'!L2236,'[2]Annex 4 template - CompA'!L2242,'[2]Annex 4 template - CompA'!L2248,'[2]Annex 4 template - CompA'!L2254,'[2]Annex 4 template - CompA'!L2260,'[2]Annex 4 template - CompA'!L2266,'[2]Annex 4 template - CompA'!L2272,'[2]Annex 4 template - CompA'!L2278,'[2]Annex 4 template - CompA'!L2284,'[2]Annex 4 template - CompA'!L2290,'[2]Annex 4 template - CompA'!L2297,'[2]Annex 4 template - CompA'!L2302,'[2]Annex 4 template - CompA'!L2307,'[2]Annex 4 template - CompA'!L2312,'[2]Annex 4 template - CompA'!L2317,'[2]Annex 4 template - CompA'!L2322,'[2]Annex 4 template - CompA'!L2327,'[2]Annex 4 template - CompA'!L2332,'[2]Annex 4 template - CompA'!L2337,'[2]Annex 4 template - CompA'!L2342,'[2]Annex 4 template - CompA'!L2347,'[2]Annex 4 template - CompA'!L2352,'[2]Annex 4 template - CompA'!L2357,'[2]Annex 4 template - CompA'!L2362,'[2]Annex 4 template - CompA'!L2368,'[2]Annex 4 template - CompA'!L2373,'[2]Annex 4 template - CompA'!L2395,'[2]Annex 4 template - CompA'!L2416,'[2]Annex 4 template - CompA'!L2434,'[2]Annex 4 template - CompA'!L2452,'[2]Annex 4 template - CompA'!L2469,'[2]Annex 4 template - CompA'!L2475,'[2]Annex 4 template - CompA'!L2480,'[2]Annex 4 template - CompA'!L2487,'[2]Annex 4 template - CompA'!L2493,'[2]Annex 4 template - CompA'!L2498,'[2]Annex 4 template - CompA'!L2504,'[2]Annex 4 template - CompA'!L2509,'[2]Annex 4 template - CompA'!L2515,'[2]Annex 4 template - CompA'!L2519,'[2]Annex 4 template - CompA'!L2525,'[2]Annex 4 template - CompA'!L2529,'[2]Annex 4 template - CompA'!L2535,'[2]Annex 4 template - CompA'!L2553,'[2]Annex 4 template - CompA'!L2557,'[2]Annex 4 template - CompA'!L2575,'[2]Annex 4 template - CompA'!L2581,'[2]Annex 4 template - CompA'!L2587,)</f>
        <v>567999.41701129801</v>
      </c>
      <c r="M14" s="61">
        <f>SUM('[2]Annex 4 template - CompA'!M2200,'[2]Annex 4 template - CompA'!M2206,'[2]Annex 4 template - CompA'!M2212,'[2]Annex 4 template - CompA'!M2218,'[2]Annex 4 template - CompA'!M2224,'[2]Annex 4 template - CompA'!M2230,'[2]Annex 4 template - CompA'!M2236,'[2]Annex 4 template - CompA'!M2242,'[2]Annex 4 template - CompA'!M2248,'[2]Annex 4 template - CompA'!M2254,'[2]Annex 4 template - CompA'!M2260,'[2]Annex 4 template - CompA'!M2266,'[2]Annex 4 template - CompA'!M2272,'[2]Annex 4 template - CompA'!M2278,'[2]Annex 4 template - CompA'!M2284,'[2]Annex 4 template - CompA'!M2290,'[2]Annex 4 template - CompA'!M2297,'[2]Annex 4 template - CompA'!M2302,'[2]Annex 4 template - CompA'!M2307,'[2]Annex 4 template - CompA'!M2312,'[2]Annex 4 template - CompA'!M2317,'[2]Annex 4 template - CompA'!M2322,'[2]Annex 4 template - CompA'!M2327,'[2]Annex 4 template - CompA'!M2332,'[2]Annex 4 template - CompA'!M2337,'[2]Annex 4 template - CompA'!M2342,'[2]Annex 4 template - CompA'!M2347,'[2]Annex 4 template - CompA'!M2352,'[2]Annex 4 template - CompA'!M2357,'[2]Annex 4 template - CompA'!M2362,'[2]Annex 4 template - CompA'!M2368,'[2]Annex 4 template - CompA'!M2373,'[2]Annex 4 template - CompA'!M2395,'[2]Annex 4 template - CompA'!M2416,'[2]Annex 4 template - CompA'!M2434,'[2]Annex 4 template - CompA'!M2452,'[2]Annex 4 template - CompA'!M2469,'[2]Annex 4 template - CompA'!M2475,'[2]Annex 4 template - CompA'!M2480,'[2]Annex 4 template - CompA'!M2487,'[2]Annex 4 template - CompA'!M2493,'[2]Annex 4 template - CompA'!M2498,'[2]Annex 4 template - CompA'!M2504,'[2]Annex 4 template - CompA'!M2509,'[2]Annex 4 template - CompA'!M2515,'[2]Annex 4 template - CompA'!M2519,'[2]Annex 4 template - CompA'!M2525,'[2]Annex 4 template - CompA'!M2529,'[2]Annex 4 template - CompA'!M2535,'[2]Annex 4 template - CompA'!M2553,'[2]Annex 4 template - CompA'!M2557,'[2]Annex 4 template - CompA'!M2575,'[2]Annex 4 template - CompA'!M2581,'[2]Annex 4 template - CompA'!M2587,)</f>
        <v>473966.22407683381</v>
      </c>
      <c r="N14" s="61">
        <f>SUM('[2]Annex 4 template - CompA'!N2200,'[2]Annex 4 template - CompA'!N2206,'[2]Annex 4 template - CompA'!N2212,'[2]Annex 4 template - CompA'!N2218,'[2]Annex 4 template - CompA'!N2224,'[2]Annex 4 template - CompA'!N2230,'[2]Annex 4 template - CompA'!N2236,'[2]Annex 4 template - CompA'!N2242,'[2]Annex 4 template - CompA'!N2248,'[2]Annex 4 template - CompA'!N2254,'[2]Annex 4 template - CompA'!N2260,'[2]Annex 4 template - CompA'!N2266,'[2]Annex 4 template - CompA'!N2272,'[2]Annex 4 template - CompA'!N2278,'[2]Annex 4 template - CompA'!N2284,'[2]Annex 4 template - CompA'!N2290,'[2]Annex 4 template - CompA'!N2297,'[2]Annex 4 template - CompA'!N2302,'[2]Annex 4 template - CompA'!N2307,'[2]Annex 4 template - CompA'!N2312,'[2]Annex 4 template - CompA'!N2317,'[2]Annex 4 template - CompA'!N2322,'[2]Annex 4 template - CompA'!N2327,'[2]Annex 4 template - CompA'!N2332,'[2]Annex 4 template - CompA'!N2337,'[2]Annex 4 template - CompA'!N2342,'[2]Annex 4 template - CompA'!N2347,'[2]Annex 4 template - CompA'!N2352,'[2]Annex 4 template - CompA'!N2357,'[2]Annex 4 template - CompA'!N2362,'[2]Annex 4 template - CompA'!N2368,'[2]Annex 4 template - CompA'!N2373,'[2]Annex 4 template - CompA'!N2395,'[2]Annex 4 template - CompA'!N2416,'[2]Annex 4 template - CompA'!N2434,'[2]Annex 4 template - CompA'!N2452,'[2]Annex 4 template - CompA'!N2469,'[2]Annex 4 template - CompA'!N2475,'[2]Annex 4 template - CompA'!N2480,'[2]Annex 4 template - CompA'!N2487,'[2]Annex 4 template - CompA'!N2493,'[2]Annex 4 template - CompA'!N2498,'[2]Annex 4 template - CompA'!N2504,'[2]Annex 4 template - CompA'!N2509,'[2]Annex 4 template - CompA'!N2515,'[2]Annex 4 template - CompA'!N2519,'[2]Annex 4 template - CompA'!N2525,'[2]Annex 4 template - CompA'!N2529,'[2]Annex 4 template - CompA'!N2535,'[2]Annex 4 template - CompA'!N2553,'[2]Annex 4 template - CompA'!N2557,'[2]Annex 4 template - CompA'!N2575,'[2]Annex 4 template - CompA'!N2581,'[2]Annex 4 template - CompA'!N2587,)</f>
        <v>244828.49494494789</v>
      </c>
      <c r="O14" s="61">
        <f>SUM('[2]Annex 4 template - CompA'!O2200,'[2]Annex 4 template - CompA'!O2206,'[2]Annex 4 template - CompA'!O2212,'[2]Annex 4 template - CompA'!O2218,'[2]Annex 4 template - CompA'!O2224,'[2]Annex 4 template - CompA'!O2230,'[2]Annex 4 template - CompA'!O2236,'[2]Annex 4 template - CompA'!O2242,'[2]Annex 4 template - CompA'!O2248,'[2]Annex 4 template - CompA'!O2254,'[2]Annex 4 template - CompA'!O2260,'[2]Annex 4 template - CompA'!O2266,'[2]Annex 4 template - CompA'!O2272,'[2]Annex 4 template - CompA'!O2278,'[2]Annex 4 template - CompA'!O2284,'[2]Annex 4 template - CompA'!O2290,'[2]Annex 4 template - CompA'!O2297,'[2]Annex 4 template - CompA'!O2302,'[2]Annex 4 template - CompA'!O2307,'[2]Annex 4 template - CompA'!O2312,'[2]Annex 4 template - CompA'!O2317,'[2]Annex 4 template - CompA'!O2322,'[2]Annex 4 template - CompA'!O2327,'[2]Annex 4 template - CompA'!O2332,'[2]Annex 4 template - CompA'!O2337,'[2]Annex 4 template - CompA'!O2342,'[2]Annex 4 template - CompA'!O2347,'[2]Annex 4 template - CompA'!O2352,'[2]Annex 4 template - CompA'!O2357,'[2]Annex 4 template - CompA'!O2362,'[2]Annex 4 template - CompA'!O2368,'[2]Annex 4 template - CompA'!O2373,'[2]Annex 4 template - CompA'!O2395,'[2]Annex 4 template - CompA'!O2416,'[2]Annex 4 template - CompA'!O2434,'[2]Annex 4 template - CompA'!O2452,'[2]Annex 4 template - CompA'!O2469,'[2]Annex 4 template - CompA'!O2475,'[2]Annex 4 template - CompA'!O2480,'[2]Annex 4 template - CompA'!O2487,'[2]Annex 4 template - CompA'!O2493,'[2]Annex 4 template - CompA'!O2498,'[2]Annex 4 template - CompA'!O2504,'[2]Annex 4 template - CompA'!O2509,'[2]Annex 4 template - CompA'!O2515,'[2]Annex 4 template - CompA'!O2519,'[2]Annex 4 template - CompA'!O2525,'[2]Annex 4 template - CompA'!O2529,'[2]Annex 4 template - CompA'!O2535,'[2]Annex 4 template - CompA'!O2553,'[2]Annex 4 template - CompA'!O2557,'[2]Annex 4 template - CompA'!O2575,'[2]Annex 4 template - CompA'!O2581,'[2]Annex 4 template - CompA'!O2587,)</f>
        <v>35717.202454198661</v>
      </c>
      <c r="P14" s="61">
        <f t="shared" si="0"/>
        <v>3464478.3320621611</v>
      </c>
      <c r="Q14" s="63">
        <f t="shared" si="1"/>
        <v>0</v>
      </c>
      <c r="R14" s="63">
        <f t="shared" si="2"/>
        <v>0</v>
      </c>
      <c r="S14" s="63">
        <f t="shared" si="3"/>
        <v>0</v>
      </c>
    </row>
    <row r="15" spans="2:19" ht="14" customHeight="1" x14ac:dyDescent="0.2">
      <c r="B15" s="60" t="str">
        <f>'[2]Annex 4 template - CompA'!C2597</f>
        <v>1.1h. Establish and maintain FAD-related catch data collection systems and processes.</v>
      </c>
      <c r="C15" s="61">
        <f>SUM('[2]Annex 4 template - CompA'!D2598:D3076)</f>
        <v>5861814.7665296514</v>
      </c>
      <c r="D15" s="62">
        <f>SUM('[2]Annex 4 template - CompA'!D2598,'[2]Annex 4 template - CompA'!D2604,'[2]Annex 4 template - CompA'!D2610,'[2]Annex 4 template - CompA'!D2616,'[2]Annex 4 template - CompA'!D2622,'[2]Annex 4 template - CompA'!D2628,'[2]Annex 4 template - CompA'!D2634,'[2]Annex 4 template - CompA'!D2640,'[2]Annex 4 template - CompA'!D2646,'[2]Annex 4 template - CompA'!D2652,'[2]Annex 4 template - CompA'!D2658,'[2]Annex 4 template - CompA'!D2664,'[2]Annex 4 template - CompA'!D2670,'[2]Annex 4 template - CompA'!D2676,'[2]Annex 4 template - CompA'!D2682,'[2]Annex 4 template - CompA'!D2688,'[2]Annex 4 template - CompA'!D2694,'[2]Annex 4 template - CompA'!D2700,'[2]Annex 4 template - CompA'!D2706,'[2]Annex 4 template - CompA'!D2712,'[2]Annex 4 template - CompA'!D2718,'[2]Annex 4 template - CompA'!D2723,'[2]Annex 4 template - CompA'!D2728,'[2]Annex 4 template - CompA'!D2733,'[2]Annex 4 template - CompA'!D2738,'[2]Annex 4 template - CompA'!D2743,'[2]Annex 4 template - CompA'!D2748,'[2]Annex 4 template - CompA'!D2753,'[2]Annex 4 template - CompA'!D2758,'[2]Annex 4 template - CompA'!D2763,'[2]Annex 4 template - CompA'!D2768,'[2]Annex 4 template - CompA'!D2773,'[2]Annex 4 template - CompA'!D2778,'[2]Annex 4 template - CompA'!D2783,'[2]Annex 4 template - CompA'!D2788,'[2]Annex 4 template - CompA'!D2793,'[2]Annex 4 template - CompA'!D2798,'[2]Annex 4 template - CompA'!D2803,'[2]Annex 4 template - CompA'!D2808,'[2]Annex 4 template - CompA'!D2813,'[2]Annex 4 template - CompA'!D2818,'[2]Annex 4 template - CompA'!D2823,'[2]Annex 4 template - CompA'!D2828,'[2]Annex 4 template - CompA'!D2833,'[2]Annex 4 template - CompA'!D2838,'[2]Annex 4 template - CompA'!D2843,'[2]Annex 4 template - CompA'!D2848,'[2]Annex 4 template - CompA'!D2853,'[2]Annex 4 template - CompA'!D2859,'[2]Annex 4 template - CompA'!D2878,'[2]Annex 4 template - CompA'!D2898,'[2]Annex 4 template - CompA'!D2915,'[2]Annex 4 template - CompA'!D2934,'[2]Annex 4 template - CompA'!D2940,'[2]Annex 4 template - CompA'!D2945,'[2]Annex 4 template - CompA'!D2952,'[2]Annex 4 template - CompA'!D2958,'[2]Annex 4 template - CompA'!D2963,'[2]Annex 4 template - CompA'!D2969,'[2]Annex 4 template - CompA'!D2974,'[2]Annex 4 template - CompA'!D2980,'[2]Annex 4 template - CompA'!D2984,'[2]Annex 4 template - CompA'!D2990,'[2]Annex 4 template - CompA'!D2994,'[2]Annex 4 template - CompA'!D3000,'[2]Annex 4 template - CompA'!D3004,'[2]Annex 4 template - CompA'!D3022,'[2]Annex 4 template - CompA'!D3028,'[2]Annex 4 template - CompA'!D3032,'[2]Annex 4 template - CompA'!D3038,'[2]Annex 4 template - CompA'!D3042,'[2]Annex 4 template - CompA'!D3048,'[2]Annex 4 template - CompA'!D3053,'[2]Annex 4 template - CompA'!D3058,'[2]Annex 4 template - CompA'!D3064,'[2]Annex 4 template - CompA'!D3070,)</f>
        <v>5861814.7665296514</v>
      </c>
      <c r="E15" s="62">
        <f>SUM('[2]Annex 4 template - CompA'!E2598,'[2]Annex 4 template - CompA'!E2604,'[2]Annex 4 template - CompA'!E2610,'[2]Annex 4 template - CompA'!E2616,'[2]Annex 4 template - CompA'!E2622,'[2]Annex 4 template - CompA'!E2628,'[2]Annex 4 template - CompA'!E2634,'[2]Annex 4 template - CompA'!E2640,'[2]Annex 4 template - CompA'!E2646,'[2]Annex 4 template - CompA'!E2652,'[2]Annex 4 template - CompA'!E2658,'[2]Annex 4 template - CompA'!E2664,'[2]Annex 4 template - CompA'!E2670,'[2]Annex 4 template - CompA'!E2676,'[2]Annex 4 template - CompA'!E2682,'[2]Annex 4 template - CompA'!E2688,'[2]Annex 4 template - CompA'!E2694,'[2]Annex 4 template - CompA'!E2700,'[2]Annex 4 template - CompA'!E2706,'[2]Annex 4 template - CompA'!E2712,'[2]Annex 4 template - CompA'!E2718,'[2]Annex 4 template - CompA'!E2723,'[2]Annex 4 template - CompA'!E2728,'[2]Annex 4 template - CompA'!E2733,'[2]Annex 4 template - CompA'!E2738,'[2]Annex 4 template - CompA'!E2743,'[2]Annex 4 template - CompA'!E2748,'[2]Annex 4 template - CompA'!E2753,'[2]Annex 4 template - CompA'!E2758,'[2]Annex 4 template - CompA'!E2763,'[2]Annex 4 template - CompA'!E2768,'[2]Annex 4 template - CompA'!E2773,'[2]Annex 4 template - CompA'!E2778,'[2]Annex 4 template - CompA'!E2783,'[2]Annex 4 template - CompA'!E2788,'[2]Annex 4 template - CompA'!E2793,'[2]Annex 4 template - CompA'!E2798,'[2]Annex 4 template - CompA'!E2803,'[2]Annex 4 template - CompA'!E2808,'[2]Annex 4 template - CompA'!E2813,'[2]Annex 4 template - CompA'!E2818,'[2]Annex 4 template - CompA'!E2823,'[2]Annex 4 template - CompA'!E2828,'[2]Annex 4 template - CompA'!E2833,'[2]Annex 4 template - CompA'!E2838,'[2]Annex 4 template - CompA'!E2843,'[2]Annex 4 template - CompA'!E2848,'[2]Annex 4 template - CompA'!E2853,'[2]Annex 4 template - CompA'!E2859,'[2]Annex 4 template - CompA'!E2878,'[2]Annex 4 template - CompA'!E2898,'[2]Annex 4 template - CompA'!E2915,'[2]Annex 4 template - CompA'!E2934,'[2]Annex 4 template - CompA'!E2940,'[2]Annex 4 template - CompA'!E2945,'[2]Annex 4 template - CompA'!E2952,'[2]Annex 4 template - CompA'!E2958,'[2]Annex 4 template - CompA'!E2963,'[2]Annex 4 template - CompA'!E2969,'[2]Annex 4 template - CompA'!E2974,'[2]Annex 4 template - CompA'!E2980,'[2]Annex 4 template - CompA'!E2984,'[2]Annex 4 template - CompA'!E2990,'[2]Annex 4 template - CompA'!E2994,'[2]Annex 4 template - CompA'!E3000,'[2]Annex 4 template - CompA'!E3004,'[2]Annex 4 template - CompA'!E3022,'[2]Annex 4 template - CompA'!E3028,'[2]Annex 4 template - CompA'!E3032,'[2]Annex 4 template - CompA'!E3038,'[2]Annex 4 template - CompA'!E3042,'[2]Annex 4 template - CompA'!E3048,'[2]Annex 4 template - CompA'!E3053,'[2]Annex 4 template - CompA'!E3058,'[2]Annex 4 template - CompA'!E3064,'[2]Annex 4 template - CompA'!E3070,)</f>
        <v>0</v>
      </c>
      <c r="F15" s="62">
        <f>SUM('[2]Annex 4 template - CompA'!F2598,'[2]Annex 4 template - CompA'!F2604,'[2]Annex 4 template - CompA'!F2610,'[2]Annex 4 template - CompA'!F2616,'[2]Annex 4 template - CompA'!F2622,'[2]Annex 4 template - CompA'!F2628,'[2]Annex 4 template - CompA'!F2634,'[2]Annex 4 template - CompA'!F2640,'[2]Annex 4 template - CompA'!F2646,'[2]Annex 4 template - CompA'!F2652,'[2]Annex 4 template - CompA'!F2658,'[2]Annex 4 template - CompA'!F2664,'[2]Annex 4 template - CompA'!F2670,'[2]Annex 4 template - CompA'!F2676,'[2]Annex 4 template - CompA'!F2682,'[2]Annex 4 template - CompA'!F2688,'[2]Annex 4 template - CompA'!F2694,'[2]Annex 4 template - CompA'!F2700,'[2]Annex 4 template - CompA'!F2706,'[2]Annex 4 template - CompA'!F2712,'[2]Annex 4 template - CompA'!F2718,'[2]Annex 4 template - CompA'!F2723,'[2]Annex 4 template - CompA'!F2728,'[2]Annex 4 template - CompA'!F2733,'[2]Annex 4 template - CompA'!F2738,'[2]Annex 4 template - CompA'!F2743,'[2]Annex 4 template - CompA'!F2748,'[2]Annex 4 template - CompA'!F2753,'[2]Annex 4 template - CompA'!F2758,'[2]Annex 4 template - CompA'!F2763,'[2]Annex 4 template - CompA'!F2768,'[2]Annex 4 template - CompA'!F2773,'[2]Annex 4 template - CompA'!F2778,'[2]Annex 4 template - CompA'!F2783,'[2]Annex 4 template - CompA'!F2788,'[2]Annex 4 template - CompA'!F2793,'[2]Annex 4 template - CompA'!F2798,'[2]Annex 4 template - CompA'!F2803,'[2]Annex 4 template - CompA'!F2808,'[2]Annex 4 template - CompA'!F2813,'[2]Annex 4 template - CompA'!F2818,'[2]Annex 4 template - CompA'!F2823,'[2]Annex 4 template - CompA'!F2828,'[2]Annex 4 template - CompA'!F2833,'[2]Annex 4 template - CompA'!F2838,'[2]Annex 4 template - CompA'!F2843,'[2]Annex 4 template - CompA'!F2848,'[2]Annex 4 template - CompA'!F2853,'[2]Annex 4 template - CompA'!F2859,'[2]Annex 4 template - CompA'!F2878,'[2]Annex 4 template - CompA'!F2898,'[2]Annex 4 template - CompA'!F2915,'[2]Annex 4 template - CompA'!F2934,'[2]Annex 4 template - CompA'!F2940,'[2]Annex 4 template - CompA'!F2945,'[2]Annex 4 template - CompA'!F2952,'[2]Annex 4 template - CompA'!F2958,'[2]Annex 4 template - CompA'!F2963,'[2]Annex 4 template - CompA'!F2969,'[2]Annex 4 template - CompA'!F2974,'[2]Annex 4 template - CompA'!F2980,'[2]Annex 4 template - CompA'!F2984,'[2]Annex 4 template - CompA'!F2990,'[2]Annex 4 template - CompA'!F2994,'[2]Annex 4 template - CompA'!F3000,'[2]Annex 4 template - CompA'!F3004,'[2]Annex 4 template - CompA'!F3022,'[2]Annex 4 template - CompA'!F3028,'[2]Annex 4 template - CompA'!F3032,'[2]Annex 4 template - CompA'!F3038,'[2]Annex 4 template - CompA'!F3042,'[2]Annex 4 template - CompA'!F3048,'[2]Annex 4 template - CompA'!F3053,'[2]Annex 4 template - CompA'!F3058,'[2]Annex 4 template - CompA'!F3064,'[2]Annex 4 template - CompA'!F3070,)</f>
        <v>0</v>
      </c>
      <c r="G15" s="62">
        <f>SUM('[2]Annex 4 template - CompA'!G2598,'[2]Annex 4 template - CompA'!G2604,'[2]Annex 4 template - CompA'!G2610,'[2]Annex 4 template - CompA'!G2616,'[2]Annex 4 template - CompA'!G2622,'[2]Annex 4 template - CompA'!G2628,'[2]Annex 4 template - CompA'!G2634,'[2]Annex 4 template - CompA'!G2640,'[2]Annex 4 template - CompA'!G2646,'[2]Annex 4 template - CompA'!G2652,'[2]Annex 4 template - CompA'!G2658,'[2]Annex 4 template - CompA'!G2664,'[2]Annex 4 template - CompA'!G2670,'[2]Annex 4 template - CompA'!G2676,'[2]Annex 4 template - CompA'!G2682,'[2]Annex 4 template - CompA'!G2688,'[2]Annex 4 template - CompA'!G2694,'[2]Annex 4 template - CompA'!G2700,'[2]Annex 4 template - CompA'!G2706,'[2]Annex 4 template - CompA'!G2712,'[2]Annex 4 template - CompA'!G2718,'[2]Annex 4 template - CompA'!G2723,'[2]Annex 4 template - CompA'!G2728,'[2]Annex 4 template - CompA'!G2733,'[2]Annex 4 template - CompA'!G2738,'[2]Annex 4 template - CompA'!G2743,'[2]Annex 4 template - CompA'!G2748,'[2]Annex 4 template - CompA'!G2753,'[2]Annex 4 template - CompA'!G2758,'[2]Annex 4 template - CompA'!G2763,'[2]Annex 4 template - CompA'!G2768,'[2]Annex 4 template - CompA'!G2773,'[2]Annex 4 template - CompA'!G2778,'[2]Annex 4 template - CompA'!G2783,'[2]Annex 4 template - CompA'!G2788,'[2]Annex 4 template - CompA'!G2793,'[2]Annex 4 template - CompA'!G2798,'[2]Annex 4 template - CompA'!G2803,'[2]Annex 4 template - CompA'!G2808,'[2]Annex 4 template - CompA'!G2813,'[2]Annex 4 template - CompA'!G2818,'[2]Annex 4 template - CompA'!G2823,'[2]Annex 4 template - CompA'!G2828,'[2]Annex 4 template - CompA'!G2833,'[2]Annex 4 template - CompA'!G2838,'[2]Annex 4 template - CompA'!G2843,'[2]Annex 4 template - CompA'!G2848,'[2]Annex 4 template - CompA'!G2853,'[2]Annex 4 template - CompA'!G2859,'[2]Annex 4 template - CompA'!G2878,'[2]Annex 4 template - CompA'!G2898,'[2]Annex 4 template - CompA'!G2915,'[2]Annex 4 template - CompA'!G2934,'[2]Annex 4 template - CompA'!G2940,'[2]Annex 4 template - CompA'!G2945,'[2]Annex 4 template - CompA'!G2952,'[2]Annex 4 template - CompA'!G2958,'[2]Annex 4 template - CompA'!G2963,'[2]Annex 4 template - CompA'!G2969,'[2]Annex 4 template - CompA'!G2974,'[2]Annex 4 template - CompA'!G2980,'[2]Annex 4 template - CompA'!G2984,'[2]Annex 4 template - CompA'!G2990,'[2]Annex 4 template - CompA'!G2994,'[2]Annex 4 template - CompA'!G3000,'[2]Annex 4 template - CompA'!G3004,'[2]Annex 4 template - CompA'!G3022,'[2]Annex 4 template - CompA'!G3028,'[2]Annex 4 template - CompA'!G3032,'[2]Annex 4 template - CompA'!G3038,'[2]Annex 4 template - CompA'!G3042,'[2]Annex 4 template - CompA'!G3048,'[2]Annex 4 template - CompA'!G3053,'[2]Annex 4 template - CompA'!G3058,'[2]Annex 4 template - CompA'!G3064,'[2]Annex 4 template - CompA'!G3070,)</f>
        <v>0</v>
      </c>
      <c r="H15" s="62">
        <f>SUM('[2]Annex 4 template - CompA'!H2598,'[2]Annex 4 template - CompA'!H2604,'[2]Annex 4 template - CompA'!H2610,'[2]Annex 4 template - CompA'!H2616,'[2]Annex 4 template - CompA'!H2622,'[2]Annex 4 template - CompA'!H2628,'[2]Annex 4 template - CompA'!H2634,'[2]Annex 4 template - CompA'!H2640,'[2]Annex 4 template - CompA'!H2646,'[2]Annex 4 template - CompA'!H2652,'[2]Annex 4 template - CompA'!H2658,'[2]Annex 4 template - CompA'!H2664,'[2]Annex 4 template - CompA'!H2670,'[2]Annex 4 template - CompA'!H2676,'[2]Annex 4 template - CompA'!H2682,'[2]Annex 4 template - CompA'!H2688,'[2]Annex 4 template - CompA'!H2694,'[2]Annex 4 template - CompA'!H2700,'[2]Annex 4 template - CompA'!H2706,'[2]Annex 4 template - CompA'!H2712,'[2]Annex 4 template - CompA'!H2718,'[2]Annex 4 template - CompA'!H2723,'[2]Annex 4 template - CompA'!H2728,'[2]Annex 4 template - CompA'!H2733,'[2]Annex 4 template - CompA'!H2738,'[2]Annex 4 template - CompA'!H2743,'[2]Annex 4 template - CompA'!H2748,'[2]Annex 4 template - CompA'!H2753,'[2]Annex 4 template - CompA'!H2758,'[2]Annex 4 template - CompA'!H2763,'[2]Annex 4 template - CompA'!H2768,'[2]Annex 4 template - CompA'!H2773,'[2]Annex 4 template - CompA'!H2778,'[2]Annex 4 template - CompA'!H2783,'[2]Annex 4 template - CompA'!H2788,'[2]Annex 4 template - CompA'!H2793,'[2]Annex 4 template - CompA'!H2798,'[2]Annex 4 template - CompA'!H2803,'[2]Annex 4 template - CompA'!H2808,'[2]Annex 4 template - CompA'!H2813,'[2]Annex 4 template - CompA'!H2818,'[2]Annex 4 template - CompA'!H2823,'[2]Annex 4 template - CompA'!H2828,'[2]Annex 4 template - CompA'!H2833,'[2]Annex 4 template - CompA'!H2838,'[2]Annex 4 template - CompA'!H2843,'[2]Annex 4 template - CompA'!H2848,'[2]Annex 4 template - CompA'!H2853,'[2]Annex 4 template - CompA'!H2859,'[2]Annex 4 template - CompA'!H2878,'[2]Annex 4 template - CompA'!H2898,'[2]Annex 4 template - CompA'!H2915,'[2]Annex 4 template - CompA'!H2934,'[2]Annex 4 template - CompA'!H2940,'[2]Annex 4 template - CompA'!H2945,'[2]Annex 4 template - CompA'!H2952,'[2]Annex 4 template - CompA'!H2958,'[2]Annex 4 template - CompA'!H2963,'[2]Annex 4 template - CompA'!H2969,'[2]Annex 4 template - CompA'!H2974,'[2]Annex 4 template - CompA'!H2980,'[2]Annex 4 template - CompA'!H2984,'[2]Annex 4 template - CompA'!H2990,'[2]Annex 4 template - CompA'!H2994,'[2]Annex 4 template - CompA'!H3000,'[2]Annex 4 template - CompA'!H3004,'[2]Annex 4 template - CompA'!H3022,'[2]Annex 4 template - CompA'!H3028,'[2]Annex 4 template - CompA'!H3032,'[2]Annex 4 template - CompA'!H3038,'[2]Annex 4 template - CompA'!H3042,'[2]Annex 4 template - CompA'!H3048,'[2]Annex 4 template - CompA'!H3053,'[2]Annex 4 template - CompA'!H3058,'[2]Annex 4 template - CompA'!H3064,'[2]Annex 4 template - CompA'!H3070,)</f>
        <v>419934.27145627781</v>
      </c>
      <c r="I15" s="62">
        <f>SUM('[2]Annex 4 template - CompA'!I2598,'[2]Annex 4 template - CompA'!I2604,'[2]Annex 4 template - CompA'!I2610,'[2]Annex 4 template - CompA'!I2616,'[2]Annex 4 template - CompA'!I2622,'[2]Annex 4 template - CompA'!I2628,'[2]Annex 4 template - CompA'!I2634,'[2]Annex 4 template - CompA'!I2640,'[2]Annex 4 template - CompA'!I2646,'[2]Annex 4 template - CompA'!I2652,'[2]Annex 4 template - CompA'!I2658,'[2]Annex 4 template - CompA'!I2664,'[2]Annex 4 template - CompA'!I2670,'[2]Annex 4 template - CompA'!I2676,'[2]Annex 4 template - CompA'!I2682,'[2]Annex 4 template - CompA'!I2688,'[2]Annex 4 template - CompA'!I2694,'[2]Annex 4 template - CompA'!I2700,'[2]Annex 4 template - CompA'!I2706,'[2]Annex 4 template - CompA'!I2712,'[2]Annex 4 template - CompA'!I2718,'[2]Annex 4 template - CompA'!I2723,'[2]Annex 4 template - CompA'!I2728,'[2]Annex 4 template - CompA'!I2733,'[2]Annex 4 template - CompA'!I2738,'[2]Annex 4 template - CompA'!I2743,'[2]Annex 4 template - CompA'!I2748,'[2]Annex 4 template - CompA'!I2753,'[2]Annex 4 template - CompA'!I2758,'[2]Annex 4 template - CompA'!I2763,'[2]Annex 4 template - CompA'!I2768,'[2]Annex 4 template - CompA'!I2773,'[2]Annex 4 template - CompA'!I2778,'[2]Annex 4 template - CompA'!I2783,'[2]Annex 4 template - CompA'!I2788,'[2]Annex 4 template - CompA'!I2793,'[2]Annex 4 template - CompA'!I2798,'[2]Annex 4 template - CompA'!I2803,'[2]Annex 4 template - CompA'!I2808,'[2]Annex 4 template - CompA'!I2813,'[2]Annex 4 template - CompA'!I2818,'[2]Annex 4 template - CompA'!I2823,'[2]Annex 4 template - CompA'!I2828,'[2]Annex 4 template - CompA'!I2833,'[2]Annex 4 template - CompA'!I2838,'[2]Annex 4 template - CompA'!I2843,'[2]Annex 4 template - CompA'!I2848,'[2]Annex 4 template - CompA'!I2853,'[2]Annex 4 template - CompA'!I2859,'[2]Annex 4 template - CompA'!I2878,'[2]Annex 4 template - CompA'!I2898,'[2]Annex 4 template - CompA'!I2915,'[2]Annex 4 template - CompA'!I2934,'[2]Annex 4 template - CompA'!I2940,'[2]Annex 4 template - CompA'!I2945,'[2]Annex 4 template - CompA'!I2952,'[2]Annex 4 template - CompA'!I2958,'[2]Annex 4 template - CompA'!I2963,'[2]Annex 4 template - CompA'!I2969,'[2]Annex 4 template - CompA'!I2974,'[2]Annex 4 template - CompA'!I2980,'[2]Annex 4 template - CompA'!I2984,'[2]Annex 4 template - CompA'!I2990,'[2]Annex 4 template - CompA'!I2994,'[2]Annex 4 template - CompA'!I3000,'[2]Annex 4 template - CompA'!I3004,'[2]Annex 4 template - CompA'!I3022,'[2]Annex 4 template - CompA'!I3028,'[2]Annex 4 template - CompA'!I3032,'[2]Annex 4 template - CompA'!I3038,'[2]Annex 4 template - CompA'!I3042,'[2]Annex 4 template - CompA'!I3048,'[2]Annex 4 template - CompA'!I3053,'[2]Annex 4 template - CompA'!I3058,'[2]Annex 4 template - CompA'!I3064,'[2]Annex 4 template - CompA'!I3070,)</f>
        <v>1097743.3710617479</v>
      </c>
      <c r="J15" s="62">
        <f>SUM('[2]Annex 4 template - CompA'!J2598,'[2]Annex 4 template - CompA'!J2604,'[2]Annex 4 template - CompA'!J2610,'[2]Annex 4 template - CompA'!J2616,'[2]Annex 4 template - CompA'!J2622,'[2]Annex 4 template - CompA'!J2628,'[2]Annex 4 template - CompA'!J2634,'[2]Annex 4 template - CompA'!J2640,'[2]Annex 4 template - CompA'!J2646,'[2]Annex 4 template - CompA'!J2652,'[2]Annex 4 template - CompA'!J2658,'[2]Annex 4 template - CompA'!J2664,'[2]Annex 4 template - CompA'!J2670,'[2]Annex 4 template - CompA'!J2676,'[2]Annex 4 template - CompA'!J2682,'[2]Annex 4 template - CompA'!J2688,'[2]Annex 4 template - CompA'!J2694,'[2]Annex 4 template - CompA'!J2700,'[2]Annex 4 template - CompA'!J2706,'[2]Annex 4 template - CompA'!J2712,'[2]Annex 4 template - CompA'!J2718,'[2]Annex 4 template - CompA'!J2723,'[2]Annex 4 template - CompA'!J2728,'[2]Annex 4 template - CompA'!J2733,'[2]Annex 4 template - CompA'!J2738,'[2]Annex 4 template - CompA'!J2743,'[2]Annex 4 template - CompA'!J2748,'[2]Annex 4 template - CompA'!J2753,'[2]Annex 4 template - CompA'!J2758,'[2]Annex 4 template - CompA'!J2763,'[2]Annex 4 template - CompA'!J2768,'[2]Annex 4 template - CompA'!J2773,'[2]Annex 4 template - CompA'!J2778,'[2]Annex 4 template - CompA'!J2783,'[2]Annex 4 template - CompA'!J2788,'[2]Annex 4 template - CompA'!J2793,'[2]Annex 4 template - CompA'!J2798,'[2]Annex 4 template - CompA'!J2803,'[2]Annex 4 template - CompA'!J2808,'[2]Annex 4 template - CompA'!J2813,'[2]Annex 4 template - CompA'!J2818,'[2]Annex 4 template - CompA'!J2823,'[2]Annex 4 template - CompA'!J2828,'[2]Annex 4 template - CompA'!J2833,'[2]Annex 4 template - CompA'!J2838,'[2]Annex 4 template - CompA'!J2843,'[2]Annex 4 template - CompA'!J2848,'[2]Annex 4 template - CompA'!J2853,'[2]Annex 4 template - CompA'!J2859,'[2]Annex 4 template - CompA'!J2878,'[2]Annex 4 template - CompA'!J2898,'[2]Annex 4 template - CompA'!J2915,'[2]Annex 4 template - CompA'!J2934,'[2]Annex 4 template - CompA'!J2940,'[2]Annex 4 template - CompA'!J2945,'[2]Annex 4 template - CompA'!J2952,'[2]Annex 4 template - CompA'!J2958,'[2]Annex 4 template - CompA'!J2963,'[2]Annex 4 template - CompA'!J2969,'[2]Annex 4 template - CompA'!J2974,'[2]Annex 4 template - CompA'!J2980,'[2]Annex 4 template - CompA'!J2984,'[2]Annex 4 template - CompA'!J2990,'[2]Annex 4 template - CompA'!J2994,'[2]Annex 4 template - CompA'!J3000,'[2]Annex 4 template - CompA'!J3004,'[2]Annex 4 template - CompA'!J3022,'[2]Annex 4 template - CompA'!J3028,'[2]Annex 4 template - CompA'!J3032,'[2]Annex 4 template - CompA'!J3038,'[2]Annex 4 template - CompA'!J3042,'[2]Annex 4 template - CompA'!J3048,'[2]Annex 4 template - CompA'!J3053,'[2]Annex 4 template - CompA'!J3058,'[2]Annex 4 template - CompA'!J3064,'[2]Annex 4 template - CompA'!J3070,)</f>
        <v>1071003.1391083333</v>
      </c>
      <c r="K15" s="62">
        <f>SUM('[2]Annex 4 template - CompA'!K2598,'[2]Annex 4 template - CompA'!K2604,'[2]Annex 4 template - CompA'!K2610,'[2]Annex 4 template - CompA'!K2616,'[2]Annex 4 template - CompA'!K2622,'[2]Annex 4 template - CompA'!K2628,'[2]Annex 4 template - CompA'!K2634,'[2]Annex 4 template - CompA'!K2640,'[2]Annex 4 template - CompA'!K2646,'[2]Annex 4 template - CompA'!K2652,'[2]Annex 4 template - CompA'!K2658,'[2]Annex 4 template - CompA'!K2664,'[2]Annex 4 template - CompA'!K2670,'[2]Annex 4 template - CompA'!K2676,'[2]Annex 4 template - CompA'!K2682,'[2]Annex 4 template - CompA'!K2688,'[2]Annex 4 template - CompA'!K2694,'[2]Annex 4 template - CompA'!K2700,'[2]Annex 4 template - CompA'!K2706,'[2]Annex 4 template - CompA'!K2712,'[2]Annex 4 template - CompA'!K2718,'[2]Annex 4 template - CompA'!K2723,'[2]Annex 4 template - CompA'!K2728,'[2]Annex 4 template - CompA'!K2733,'[2]Annex 4 template - CompA'!K2738,'[2]Annex 4 template - CompA'!K2743,'[2]Annex 4 template - CompA'!K2748,'[2]Annex 4 template - CompA'!K2753,'[2]Annex 4 template - CompA'!K2758,'[2]Annex 4 template - CompA'!K2763,'[2]Annex 4 template - CompA'!K2768,'[2]Annex 4 template - CompA'!K2773,'[2]Annex 4 template - CompA'!K2778,'[2]Annex 4 template - CompA'!K2783,'[2]Annex 4 template - CompA'!K2788,'[2]Annex 4 template - CompA'!K2793,'[2]Annex 4 template - CompA'!K2798,'[2]Annex 4 template - CompA'!K2803,'[2]Annex 4 template - CompA'!K2808,'[2]Annex 4 template - CompA'!K2813,'[2]Annex 4 template - CompA'!K2818,'[2]Annex 4 template - CompA'!K2823,'[2]Annex 4 template - CompA'!K2828,'[2]Annex 4 template - CompA'!K2833,'[2]Annex 4 template - CompA'!K2838,'[2]Annex 4 template - CompA'!K2843,'[2]Annex 4 template - CompA'!K2848,'[2]Annex 4 template - CompA'!K2853,'[2]Annex 4 template - CompA'!K2859,'[2]Annex 4 template - CompA'!K2878,'[2]Annex 4 template - CompA'!K2898,'[2]Annex 4 template - CompA'!K2915,'[2]Annex 4 template - CompA'!K2934,'[2]Annex 4 template - CompA'!K2940,'[2]Annex 4 template - CompA'!K2945,'[2]Annex 4 template - CompA'!K2952,'[2]Annex 4 template - CompA'!K2958,'[2]Annex 4 template - CompA'!K2963,'[2]Annex 4 template - CompA'!K2969,'[2]Annex 4 template - CompA'!K2974,'[2]Annex 4 template - CompA'!K2980,'[2]Annex 4 template - CompA'!K2984,'[2]Annex 4 template - CompA'!K2990,'[2]Annex 4 template - CompA'!K2994,'[2]Annex 4 template - CompA'!K3000,'[2]Annex 4 template - CompA'!K3004,'[2]Annex 4 template - CompA'!K3022,'[2]Annex 4 template - CompA'!K3028,'[2]Annex 4 template - CompA'!K3032,'[2]Annex 4 template - CompA'!K3038,'[2]Annex 4 template - CompA'!K3042,'[2]Annex 4 template - CompA'!K3048,'[2]Annex 4 template - CompA'!K3053,'[2]Annex 4 template - CompA'!K3058,'[2]Annex 4 template - CompA'!K3064,'[2]Annex 4 template - CompA'!K3070,)</f>
        <v>1393049.6687746497</v>
      </c>
      <c r="L15" s="62">
        <f>SUM('[2]Annex 4 template - CompA'!L2598,'[2]Annex 4 template - CompA'!L2604,'[2]Annex 4 template - CompA'!L2610,'[2]Annex 4 template - CompA'!L2616,'[2]Annex 4 template - CompA'!L2622,'[2]Annex 4 template - CompA'!L2628,'[2]Annex 4 template - CompA'!L2634,'[2]Annex 4 template - CompA'!L2640,'[2]Annex 4 template - CompA'!L2646,'[2]Annex 4 template - CompA'!L2652,'[2]Annex 4 template - CompA'!L2658,'[2]Annex 4 template - CompA'!L2664,'[2]Annex 4 template - CompA'!L2670,'[2]Annex 4 template - CompA'!L2676,'[2]Annex 4 template - CompA'!L2682,'[2]Annex 4 template - CompA'!L2688,'[2]Annex 4 template - CompA'!L2694,'[2]Annex 4 template - CompA'!L2700,'[2]Annex 4 template - CompA'!L2706,'[2]Annex 4 template - CompA'!L2712,'[2]Annex 4 template - CompA'!L2718,'[2]Annex 4 template - CompA'!L2723,'[2]Annex 4 template - CompA'!L2728,'[2]Annex 4 template - CompA'!L2733,'[2]Annex 4 template - CompA'!L2738,'[2]Annex 4 template - CompA'!L2743,'[2]Annex 4 template - CompA'!L2748,'[2]Annex 4 template - CompA'!L2753,'[2]Annex 4 template - CompA'!L2758,'[2]Annex 4 template - CompA'!L2763,'[2]Annex 4 template - CompA'!L2768,'[2]Annex 4 template - CompA'!L2773,'[2]Annex 4 template - CompA'!L2778,'[2]Annex 4 template - CompA'!L2783,'[2]Annex 4 template - CompA'!L2788,'[2]Annex 4 template - CompA'!L2793,'[2]Annex 4 template - CompA'!L2798,'[2]Annex 4 template - CompA'!L2803,'[2]Annex 4 template - CompA'!L2808,'[2]Annex 4 template - CompA'!L2813,'[2]Annex 4 template - CompA'!L2818,'[2]Annex 4 template - CompA'!L2823,'[2]Annex 4 template - CompA'!L2828,'[2]Annex 4 template - CompA'!L2833,'[2]Annex 4 template - CompA'!L2838,'[2]Annex 4 template - CompA'!L2843,'[2]Annex 4 template - CompA'!L2848,'[2]Annex 4 template - CompA'!L2853,'[2]Annex 4 template - CompA'!L2859,'[2]Annex 4 template - CompA'!L2878,'[2]Annex 4 template - CompA'!L2898,'[2]Annex 4 template - CompA'!L2915,'[2]Annex 4 template - CompA'!L2934,'[2]Annex 4 template - CompA'!L2940,'[2]Annex 4 template - CompA'!L2945,'[2]Annex 4 template - CompA'!L2952,'[2]Annex 4 template - CompA'!L2958,'[2]Annex 4 template - CompA'!L2963,'[2]Annex 4 template - CompA'!L2969,'[2]Annex 4 template - CompA'!L2974,'[2]Annex 4 template - CompA'!L2980,'[2]Annex 4 template - CompA'!L2984,'[2]Annex 4 template - CompA'!L2990,'[2]Annex 4 template - CompA'!L2994,'[2]Annex 4 template - CompA'!L3000,'[2]Annex 4 template - CompA'!L3004,'[2]Annex 4 template - CompA'!L3022,'[2]Annex 4 template - CompA'!L3028,'[2]Annex 4 template - CompA'!L3032,'[2]Annex 4 template - CompA'!L3038,'[2]Annex 4 template - CompA'!L3042,'[2]Annex 4 template - CompA'!L3048,'[2]Annex 4 template - CompA'!L3053,'[2]Annex 4 template - CompA'!L3058,'[2]Annex 4 template - CompA'!L3064,'[2]Annex 4 template - CompA'!L3070,)</f>
        <v>902255.95853327645</v>
      </c>
      <c r="M15" s="62">
        <f>SUM('[2]Annex 4 template - CompA'!M2598,'[2]Annex 4 template - CompA'!M2604,'[2]Annex 4 template - CompA'!M2610,'[2]Annex 4 template - CompA'!M2616,'[2]Annex 4 template - CompA'!M2622,'[2]Annex 4 template - CompA'!M2628,'[2]Annex 4 template - CompA'!M2634,'[2]Annex 4 template - CompA'!M2640,'[2]Annex 4 template - CompA'!M2646,'[2]Annex 4 template - CompA'!M2652,'[2]Annex 4 template - CompA'!M2658,'[2]Annex 4 template - CompA'!M2664,'[2]Annex 4 template - CompA'!M2670,'[2]Annex 4 template - CompA'!M2676,'[2]Annex 4 template - CompA'!M2682,'[2]Annex 4 template - CompA'!M2688,'[2]Annex 4 template - CompA'!M2694,'[2]Annex 4 template - CompA'!M2700,'[2]Annex 4 template - CompA'!M2706,'[2]Annex 4 template - CompA'!M2712,'[2]Annex 4 template - CompA'!M2718,'[2]Annex 4 template - CompA'!M2723,'[2]Annex 4 template - CompA'!M2728,'[2]Annex 4 template - CompA'!M2733,'[2]Annex 4 template - CompA'!M2738,'[2]Annex 4 template - CompA'!M2743,'[2]Annex 4 template - CompA'!M2748,'[2]Annex 4 template - CompA'!M2753,'[2]Annex 4 template - CompA'!M2758,'[2]Annex 4 template - CompA'!M2763,'[2]Annex 4 template - CompA'!M2768,'[2]Annex 4 template - CompA'!M2773,'[2]Annex 4 template - CompA'!M2778,'[2]Annex 4 template - CompA'!M2783,'[2]Annex 4 template - CompA'!M2788,'[2]Annex 4 template - CompA'!M2793,'[2]Annex 4 template - CompA'!M2798,'[2]Annex 4 template - CompA'!M2803,'[2]Annex 4 template - CompA'!M2808,'[2]Annex 4 template - CompA'!M2813,'[2]Annex 4 template - CompA'!M2818,'[2]Annex 4 template - CompA'!M2823,'[2]Annex 4 template - CompA'!M2828,'[2]Annex 4 template - CompA'!M2833,'[2]Annex 4 template - CompA'!M2838,'[2]Annex 4 template - CompA'!M2843,'[2]Annex 4 template - CompA'!M2848,'[2]Annex 4 template - CompA'!M2853,'[2]Annex 4 template - CompA'!M2859,'[2]Annex 4 template - CompA'!M2878,'[2]Annex 4 template - CompA'!M2898,'[2]Annex 4 template - CompA'!M2915,'[2]Annex 4 template - CompA'!M2934,'[2]Annex 4 template - CompA'!M2940,'[2]Annex 4 template - CompA'!M2945,'[2]Annex 4 template - CompA'!M2952,'[2]Annex 4 template - CompA'!M2958,'[2]Annex 4 template - CompA'!M2963,'[2]Annex 4 template - CompA'!M2969,'[2]Annex 4 template - CompA'!M2974,'[2]Annex 4 template - CompA'!M2980,'[2]Annex 4 template - CompA'!M2984,'[2]Annex 4 template - CompA'!M2990,'[2]Annex 4 template - CompA'!M2994,'[2]Annex 4 template - CompA'!M3000,'[2]Annex 4 template - CompA'!M3004,'[2]Annex 4 template - CompA'!M3022,'[2]Annex 4 template - CompA'!M3028,'[2]Annex 4 template - CompA'!M3032,'[2]Annex 4 template - CompA'!M3038,'[2]Annex 4 template - CompA'!M3042,'[2]Annex 4 template - CompA'!M3048,'[2]Annex 4 template - CompA'!M3053,'[2]Annex 4 template - CompA'!M3058,'[2]Annex 4 template - CompA'!M3064,'[2]Annex 4 template - CompA'!M3070,)</f>
        <v>626041.4983851139</v>
      </c>
      <c r="N15" s="62">
        <f>SUM('[2]Annex 4 template - CompA'!N2598,'[2]Annex 4 template - CompA'!N2604,'[2]Annex 4 template - CompA'!N2610,'[2]Annex 4 template - CompA'!N2616,'[2]Annex 4 template - CompA'!N2622,'[2]Annex 4 template - CompA'!N2628,'[2]Annex 4 template - CompA'!N2634,'[2]Annex 4 template - CompA'!N2640,'[2]Annex 4 template - CompA'!N2646,'[2]Annex 4 template - CompA'!N2652,'[2]Annex 4 template - CompA'!N2658,'[2]Annex 4 template - CompA'!N2664,'[2]Annex 4 template - CompA'!N2670,'[2]Annex 4 template - CompA'!N2676,'[2]Annex 4 template - CompA'!N2682,'[2]Annex 4 template - CompA'!N2688,'[2]Annex 4 template - CompA'!N2694,'[2]Annex 4 template - CompA'!N2700,'[2]Annex 4 template - CompA'!N2706,'[2]Annex 4 template - CompA'!N2712,'[2]Annex 4 template - CompA'!N2718,'[2]Annex 4 template - CompA'!N2723,'[2]Annex 4 template - CompA'!N2728,'[2]Annex 4 template - CompA'!N2733,'[2]Annex 4 template - CompA'!N2738,'[2]Annex 4 template - CompA'!N2743,'[2]Annex 4 template - CompA'!N2748,'[2]Annex 4 template - CompA'!N2753,'[2]Annex 4 template - CompA'!N2758,'[2]Annex 4 template - CompA'!N2763,'[2]Annex 4 template - CompA'!N2768,'[2]Annex 4 template - CompA'!N2773,'[2]Annex 4 template - CompA'!N2778,'[2]Annex 4 template - CompA'!N2783,'[2]Annex 4 template - CompA'!N2788,'[2]Annex 4 template - CompA'!N2793,'[2]Annex 4 template - CompA'!N2798,'[2]Annex 4 template - CompA'!N2803,'[2]Annex 4 template - CompA'!N2808,'[2]Annex 4 template - CompA'!N2813,'[2]Annex 4 template - CompA'!N2818,'[2]Annex 4 template - CompA'!N2823,'[2]Annex 4 template - CompA'!N2828,'[2]Annex 4 template - CompA'!N2833,'[2]Annex 4 template - CompA'!N2838,'[2]Annex 4 template - CompA'!N2843,'[2]Annex 4 template - CompA'!N2848,'[2]Annex 4 template - CompA'!N2853,'[2]Annex 4 template - CompA'!N2859,'[2]Annex 4 template - CompA'!N2878,'[2]Annex 4 template - CompA'!N2898,'[2]Annex 4 template - CompA'!N2915,'[2]Annex 4 template - CompA'!N2934,'[2]Annex 4 template - CompA'!N2940,'[2]Annex 4 template - CompA'!N2945,'[2]Annex 4 template - CompA'!N2952,'[2]Annex 4 template - CompA'!N2958,'[2]Annex 4 template - CompA'!N2963,'[2]Annex 4 template - CompA'!N2969,'[2]Annex 4 template - CompA'!N2974,'[2]Annex 4 template - CompA'!N2980,'[2]Annex 4 template - CompA'!N2984,'[2]Annex 4 template - CompA'!N2990,'[2]Annex 4 template - CompA'!N2994,'[2]Annex 4 template - CompA'!N3000,'[2]Annex 4 template - CompA'!N3004,'[2]Annex 4 template - CompA'!N3022,'[2]Annex 4 template - CompA'!N3028,'[2]Annex 4 template - CompA'!N3032,'[2]Annex 4 template - CompA'!N3038,'[2]Annex 4 template - CompA'!N3042,'[2]Annex 4 template - CompA'!N3048,'[2]Annex 4 template - CompA'!N3053,'[2]Annex 4 template - CompA'!N3058,'[2]Annex 4 template - CompA'!N3064,'[2]Annex 4 template - CompA'!N3070,)</f>
        <v>321533.92558235681</v>
      </c>
      <c r="O15" s="62">
        <f>SUM('[2]Annex 4 template - CompA'!O2598,'[2]Annex 4 template - CompA'!O2604,'[2]Annex 4 template - CompA'!O2610,'[2]Annex 4 template - CompA'!O2616,'[2]Annex 4 template - CompA'!O2622,'[2]Annex 4 template - CompA'!O2628,'[2]Annex 4 template - CompA'!O2634,'[2]Annex 4 template - CompA'!O2640,'[2]Annex 4 template - CompA'!O2646,'[2]Annex 4 template - CompA'!O2652,'[2]Annex 4 template - CompA'!O2658,'[2]Annex 4 template - CompA'!O2664,'[2]Annex 4 template - CompA'!O2670,'[2]Annex 4 template - CompA'!O2676,'[2]Annex 4 template - CompA'!O2682,'[2]Annex 4 template - CompA'!O2688,'[2]Annex 4 template - CompA'!O2694,'[2]Annex 4 template - CompA'!O2700,'[2]Annex 4 template - CompA'!O2706,'[2]Annex 4 template - CompA'!O2712,'[2]Annex 4 template - CompA'!O2718,'[2]Annex 4 template - CompA'!O2723,'[2]Annex 4 template - CompA'!O2728,'[2]Annex 4 template - CompA'!O2733,'[2]Annex 4 template - CompA'!O2738,'[2]Annex 4 template - CompA'!O2743,'[2]Annex 4 template - CompA'!O2748,'[2]Annex 4 template - CompA'!O2753,'[2]Annex 4 template - CompA'!O2758,'[2]Annex 4 template - CompA'!O2763,'[2]Annex 4 template - CompA'!O2768,'[2]Annex 4 template - CompA'!O2773,'[2]Annex 4 template - CompA'!O2778,'[2]Annex 4 template - CompA'!O2783,'[2]Annex 4 template - CompA'!O2788,'[2]Annex 4 template - CompA'!O2793,'[2]Annex 4 template - CompA'!O2798,'[2]Annex 4 template - CompA'!O2803,'[2]Annex 4 template - CompA'!O2808,'[2]Annex 4 template - CompA'!O2813,'[2]Annex 4 template - CompA'!O2818,'[2]Annex 4 template - CompA'!O2823,'[2]Annex 4 template - CompA'!O2828,'[2]Annex 4 template - CompA'!O2833,'[2]Annex 4 template - CompA'!O2838,'[2]Annex 4 template - CompA'!O2843,'[2]Annex 4 template - CompA'!O2848,'[2]Annex 4 template - CompA'!O2853,'[2]Annex 4 template - CompA'!O2859,'[2]Annex 4 template - CompA'!O2878,'[2]Annex 4 template - CompA'!O2898,'[2]Annex 4 template - CompA'!O2915,'[2]Annex 4 template - CompA'!O2934,'[2]Annex 4 template - CompA'!O2940,'[2]Annex 4 template - CompA'!O2945,'[2]Annex 4 template - CompA'!O2952,'[2]Annex 4 template - CompA'!O2958,'[2]Annex 4 template - CompA'!O2963,'[2]Annex 4 template - CompA'!O2969,'[2]Annex 4 template - CompA'!O2974,'[2]Annex 4 template - CompA'!O2980,'[2]Annex 4 template - CompA'!O2984,'[2]Annex 4 template - CompA'!O2990,'[2]Annex 4 template - CompA'!O2994,'[2]Annex 4 template - CompA'!O3000,'[2]Annex 4 template - CompA'!O3004,'[2]Annex 4 template - CompA'!O3022,'[2]Annex 4 template - CompA'!O3028,'[2]Annex 4 template - CompA'!O3032,'[2]Annex 4 template - CompA'!O3038,'[2]Annex 4 template - CompA'!O3042,'[2]Annex 4 template - CompA'!O3048,'[2]Annex 4 template - CompA'!O3053,'[2]Annex 4 template - CompA'!O3058,'[2]Annex 4 template - CompA'!O3064,'[2]Annex 4 template - CompA'!O3070,)</f>
        <v>30252.933627894727</v>
      </c>
      <c r="P15" s="61">
        <f>SUM(H15:O15)</f>
        <v>5861814.7665296514</v>
      </c>
      <c r="Q15" s="63"/>
      <c r="R15" s="63">
        <f t="shared" si="2"/>
        <v>0</v>
      </c>
      <c r="S15" s="63">
        <f t="shared" si="3"/>
        <v>0</v>
      </c>
    </row>
    <row r="16" spans="2:19" ht="13.25" customHeight="1" x14ac:dyDescent="0.2">
      <c r="B16" s="60" t="str">
        <f>'[2]Annex 4 template - CompA'!C3081</f>
        <v>1.1i. Establish/strengthen national response mechanisms to natural disasters affecting small-scale fishers using FADs.</v>
      </c>
      <c r="C16" s="61">
        <f>SUM('[2]Annex 4 template - CompA'!D3082:D3368)</f>
        <v>2416257.1914165858</v>
      </c>
      <c r="D16" s="62">
        <f>SUM('[2]Annex 4 template - CompA'!D3082,'[2]Annex 4 template - CompA'!D3088,'[2]Annex 4 template - CompA'!D3094,'[2]Annex 4 template - CompA'!D3100,'[2]Annex 4 template - CompA'!D3106,'[2]Annex 4 template - CompA'!D3112,'[2]Annex 4 template - CompA'!D3118,'[2]Annex 4 template - CompA'!D3124,'[2]Annex 4 template - CompA'!D3130,'[2]Annex 4 template - CompA'!D3136,'[2]Annex 4 template - CompA'!D3142,'[2]Annex 4 template - CompA'!D3148,'[2]Annex 4 template - CompA'!D3154,'[2]Annex 4 template - CompA'!D3160,'[2]Annex 4 template - CompA'!D3166,'[2]Annex 4 template - CompA'!D3172,'[2]Annex 4 template - CompA'!D3179,'[2]Annex 4 template - CompA'!D3184,'[2]Annex 4 template - CompA'!D3189,'[2]Annex 4 template - CompA'!D3194,'[2]Annex 4 template - CompA'!D3199,'[2]Annex 4 template - CompA'!D3204,'[2]Annex 4 template - CompA'!D3209,'[2]Annex 4 template - CompA'!D3214,'[2]Annex 4 template - CompA'!D3219,'[2]Annex 4 template - CompA'!D3224,'[2]Annex 4 template - CompA'!D3229,'[2]Annex 4 template - CompA'!D3234,'[2]Annex 4 template - CompA'!D3239,'[2]Annex 4 template - CompA'!D3244,'[2]Annex 4 template - CompA'!D3251,'[2]Annex 4 template - CompA'!D3257,'[2]Annex 4 template - CompA'!D3274,'[2]Annex 4 template - CompA'!D3280,'[2]Annex 4 template - CompA'!D3285,'[2]Annex 4 template - CompA'!D3292,'[2]Annex 4 template - CompA'!D3298,'[2]Annex 4 template - CompA'!D3303,'[2]Annex 4 template - CompA'!D3309,'[2]Annex 4 template - CompA'!D3314,'[2]Annex 4 template - CompA'!D3320,'[2]Annex 4 template - CompA'!D3324,'[2]Annex 4 template - CompA'!D3330,'[2]Annex 4 template - CompA'!D3334,'[2]Annex 4 template - CompA'!D3340,'[2]Annex 4 template - CompA'!D3344,'[2]Annex 4 template - CompA'!D3350,'[2]Annex 4 template - CompA'!D3356,'[2]Annex 4 template - CompA'!D3362,)</f>
        <v>2416257.1914165858</v>
      </c>
      <c r="E16" s="61">
        <f>SUM('[2]Annex 4 template - CompA'!E3082,'[2]Annex 4 template - CompA'!E3088,'[2]Annex 4 template - CompA'!E3094,'[2]Annex 4 template - CompA'!E3100,'[2]Annex 4 template - CompA'!E3106,'[2]Annex 4 template - CompA'!E3112,'[2]Annex 4 template - CompA'!E3118,'[2]Annex 4 template - CompA'!E3124,'[2]Annex 4 template - CompA'!E3130,'[2]Annex 4 template - CompA'!E3136,'[2]Annex 4 template - CompA'!E3142,'[2]Annex 4 template - CompA'!E3148,'[2]Annex 4 template - CompA'!E3154,'[2]Annex 4 template - CompA'!E3160,'[2]Annex 4 template - CompA'!E3166,'[2]Annex 4 template - CompA'!E3172,'[2]Annex 4 template - CompA'!E3179,'[2]Annex 4 template - CompA'!E3184,'[2]Annex 4 template - CompA'!E3189,'[2]Annex 4 template - CompA'!E3194,'[2]Annex 4 template - CompA'!E3199,'[2]Annex 4 template - CompA'!E3204,'[2]Annex 4 template - CompA'!E3209,'[2]Annex 4 template - CompA'!E3214,'[2]Annex 4 template - CompA'!E3219,'[2]Annex 4 template - CompA'!E3224,'[2]Annex 4 template - CompA'!E3229,'[2]Annex 4 template - CompA'!E3234,'[2]Annex 4 template - CompA'!E3239,'[2]Annex 4 template - CompA'!E3244,'[2]Annex 4 template - CompA'!E3251,'[2]Annex 4 template - CompA'!E3257,'[2]Annex 4 template - CompA'!E3274,'[2]Annex 4 template - CompA'!E3280,'[2]Annex 4 template - CompA'!E3285,'[2]Annex 4 template - CompA'!E3292,'[2]Annex 4 template - CompA'!E3298,'[2]Annex 4 template - CompA'!E3303,'[2]Annex 4 template - CompA'!E3309,'[2]Annex 4 template - CompA'!E3314,'[2]Annex 4 template - CompA'!E3320,'[2]Annex 4 template - CompA'!E3324,'[2]Annex 4 template - CompA'!E3330,'[2]Annex 4 template - CompA'!E3334,'[2]Annex 4 template - CompA'!E3340,'[2]Annex 4 template - CompA'!E3344,'[2]Annex 4 template - CompA'!E3350,'[2]Annex 4 template - CompA'!E3356,'[2]Annex 4 template - CompA'!E3362,)</f>
        <v>0</v>
      </c>
      <c r="F16" s="61">
        <f>SUM('[2]Annex 4 template - CompA'!F3082,'[2]Annex 4 template - CompA'!F3088,'[2]Annex 4 template - CompA'!F3094,'[2]Annex 4 template - CompA'!F3100,'[2]Annex 4 template - CompA'!F3106,'[2]Annex 4 template - CompA'!F3112,'[2]Annex 4 template - CompA'!F3118,'[2]Annex 4 template - CompA'!F3124,'[2]Annex 4 template - CompA'!F3130,'[2]Annex 4 template - CompA'!F3136,'[2]Annex 4 template - CompA'!F3142,'[2]Annex 4 template - CompA'!F3148,'[2]Annex 4 template - CompA'!F3154,'[2]Annex 4 template - CompA'!F3160,'[2]Annex 4 template - CompA'!F3166,'[2]Annex 4 template - CompA'!F3172,'[2]Annex 4 template - CompA'!F3179,'[2]Annex 4 template - CompA'!F3184,'[2]Annex 4 template - CompA'!F3189,'[2]Annex 4 template - CompA'!F3194,'[2]Annex 4 template - CompA'!F3199,'[2]Annex 4 template - CompA'!F3204,'[2]Annex 4 template - CompA'!F3209,'[2]Annex 4 template - CompA'!F3214,'[2]Annex 4 template - CompA'!F3219,'[2]Annex 4 template - CompA'!F3224,'[2]Annex 4 template - CompA'!F3229,'[2]Annex 4 template - CompA'!F3234,'[2]Annex 4 template - CompA'!F3239,'[2]Annex 4 template - CompA'!F3244,'[2]Annex 4 template - CompA'!F3251,'[2]Annex 4 template - CompA'!F3257,'[2]Annex 4 template - CompA'!F3274,'[2]Annex 4 template - CompA'!F3280,'[2]Annex 4 template - CompA'!F3285,'[2]Annex 4 template - CompA'!F3292,'[2]Annex 4 template - CompA'!F3298,'[2]Annex 4 template - CompA'!F3303,'[2]Annex 4 template - CompA'!F3309,'[2]Annex 4 template - CompA'!F3314,'[2]Annex 4 template - CompA'!F3320,'[2]Annex 4 template - CompA'!F3324,'[2]Annex 4 template - CompA'!F3330,'[2]Annex 4 template - CompA'!F3334,'[2]Annex 4 template - CompA'!F3340,'[2]Annex 4 template - CompA'!F3344,'[2]Annex 4 template - CompA'!F3350,'[2]Annex 4 template - CompA'!F3356,'[2]Annex 4 template - CompA'!F3362,)</f>
        <v>0</v>
      </c>
      <c r="G16" s="61">
        <f>SUM('[2]Annex 4 template - CompA'!G3082,'[2]Annex 4 template - CompA'!G3088,'[2]Annex 4 template - CompA'!G3094,'[2]Annex 4 template - CompA'!G3100,'[2]Annex 4 template - CompA'!G3106,'[2]Annex 4 template - CompA'!G3112,'[2]Annex 4 template - CompA'!G3118,'[2]Annex 4 template - CompA'!G3124,'[2]Annex 4 template - CompA'!G3130,'[2]Annex 4 template - CompA'!G3136,'[2]Annex 4 template - CompA'!G3142,'[2]Annex 4 template - CompA'!G3148,'[2]Annex 4 template - CompA'!G3154,'[2]Annex 4 template - CompA'!G3160,'[2]Annex 4 template - CompA'!G3166,'[2]Annex 4 template - CompA'!G3172,'[2]Annex 4 template - CompA'!G3179,'[2]Annex 4 template - CompA'!G3184,'[2]Annex 4 template - CompA'!G3189,'[2]Annex 4 template - CompA'!G3194,'[2]Annex 4 template - CompA'!G3199,'[2]Annex 4 template - CompA'!G3204,'[2]Annex 4 template - CompA'!G3209,'[2]Annex 4 template - CompA'!G3214,'[2]Annex 4 template - CompA'!G3219,'[2]Annex 4 template - CompA'!G3224,'[2]Annex 4 template - CompA'!G3229,'[2]Annex 4 template - CompA'!G3234,'[2]Annex 4 template - CompA'!G3239,'[2]Annex 4 template - CompA'!G3244,'[2]Annex 4 template - CompA'!G3251,'[2]Annex 4 template - CompA'!G3257,'[2]Annex 4 template - CompA'!G3274,'[2]Annex 4 template - CompA'!G3280,'[2]Annex 4 template - CompA'!G3285,'[2]Annex 4 template - CompA'!G3292,'[2]Annex 4 template - CompA'!G3298,'[2]Annex 4 template - CompA'!G3303,'[2]Annex 4 template - CompA'!G3309,'[2]Annex 4 template - CompA'!G3314,'[2]Annex 4 template - CompA'!G3320,'[2]Annex 4 template - CompA'!G3324,'[2]Annex 4 template - CompA'!G3330,'[2]Annex 4 template - CompA'!G3334,'[2]Annex 4 template - CompA'!G3340,'[2]Annex 4 template - CompA'!G3344,'[2]Annex 4 template - CompA'!G3350,'[2]Annex 4 template - CompA'!G3356,'[2]Annex 4 template - CompA'!G3362,)</f>
        <v>0</v>
      </c>
      <c r="H16" s="61">
        <f>SUM('[2]Annex 4 template - CompA'!H3082,'[2]Annex 4 template - CompA'!H3088,'[2]Annex 4 template - CompA'!H3094,'[2]Annex 4 template - CompA'!H3100,'[2]Annex 4 template - CompA'!H3106,'[2]Annex 4 template - CompA'!H3112,'[2]Annex 4 template - CompA'!H3118,'[2]Annex 4 template - CompA'!H3124,'[2]Annex 4 template - CompA'!H3130,'[2]Annex 4 template - CompA'!H3136,'[2]Annex 4 template - CompA'!H3142,'[2]Annex 4 template - CompA'!H3148,'[2]Annex 4 template - CompA'!H3154,'[2]Annex 4 template - CompA'!H3160,'[2]Annex 4 template - CompA'!H3166,'[2]Annex 4 template - CompA'!H3172,'[2]Annex 4 template - CompA'!H3179,'[2]Annex 4 template - CompA'!H3184,'[2]Annex 4 template - CompA'!H3189,'[2]Annex 4 template - CompA'!H3194,'[2]Annex 4 template - CompA'!H3199,'[2]Annex 4 template - CompA'!H3204,'[2]Annex 4 template - CompA'!H3209,'[2]Annex 4 template - CompA'!H3214,'[2]Annex 4 template - CompA'!H3219,'[2]Annex 4 template - CompA'!H3224,'[2]Annex 4 template - CompA'!H3229,'[2]Annex 4 template - CompA'!H3234,'[2]Annex 4 template - CompA'!H3239,'[2]Annex 4 template - CompA'!H3244,'[2]Annex 4 template - CompA'!H3251,'[2]Annex 4 template - CompA'!H3257,'[2]Annex 4 template - CompA'!H3274,'[2]Annex 4 template - CompA'!H3280,'[2]Annex 4 template - CompA'!H3285,'[2]Annex 4 template - CompA'!H3292,'[2]Annex 4 template - CompA'!H3298,'[2]Annex 4 template - CompA'!H3303,'[2]Annex 4 template - CompA'!H3309,'[2]Annex 4 template - CompA'!H3314,'[2]Annex 4 template - CompA'!H3320,'[2]Annex 4 template - CompA'!H3324,'[2]Annex 4 template - CompA'!H3330,'[2]Annex 4 template - CompA'!H3334,'[2]Annex 4 template - CompA'!H3340,'[2]Annex 4 template - CompA'!H3344,'[2]Annex 4 template - CompA'!H3350,'[2]Annex 4 template - CompA'!H3356,'[2]Annex 4 template - CompA'!H3362,)</f>
        <v>86651.161062994375</v>
      </c>
      <c r="I16" s="61">
        <f>SUM('[2]Annex 4 template - CompA'!I3082,'[2]Annex 4 template - CompA'!I3088,'[2]Annex 4 template - CompA'!I3094,'[2]Annex 4 template - CompA'!I3100,'[2]Annex 4 template - CompA'!I3106,'[2]Annex 4 template - CompA'!I3112,'[2]Annex 4 template - CompA'!I3118,'[2]Annex 4 template - CompA'!I3124,'[2]Annex 4 template - CompA'!I3130,'[2]Annex 4 template - CompA'!I3136,'[2]Annex 4 template - CompA'!I3142,'[2]Annex 4 template - CompA'!I3148,'[2]Annex 4 template - CompA'!I3154,'[2]Annex 4 template - CompA'!I3160,'[2]Annex 4 template - CompA'!I3166,'[2]Annex 4 template - CompA'!I3172,'[2]Annex 4 template - CompA'!I3179,'[2]Annex 4 template - CompA'!I3184,'[2]Annex 4 template - CompA'!I3189,'[2]Annex 4 template - CompA'!I3194,'[2]Annex 4 template - CompA'!I3199,'[2]Annex 4 template - CompA'!I3204,'[2]Annex 4 template - CompA'!I3209,'[2]Annex 4 template - CompA'!I3214,'[2]Annex 4 template - CompA'!I3219,'[2]Annex 4 template - CompA'!I3224,'[2]Annex 4 template - CompA'!I3229,'[2]Annex 4 template - CompA'!I3234,'[2]Annex 4 template - CompA'!I3239,'[2]Annex 4 template - CompA'!I3244,'[2]Annex 4 template - CompA'!I3251,'[2]Annex 4 template - CompA'!I3257,'[2]Annex 4 template - CompA'!I3274,'[2]Annex 4 template - CompA'!I3280,'[2]Annex 4 template - CompA'!I3285,'[2]Annex 4 template - CompA'!I3292,'[2]Annex 4 template - CompA'!I3298,'[2]Annex 4 template - CompA'!I3303,'[2]Annex 4 template - CompA'!I3309,'[2]Annex 4 template - CompA'!I3314,'[2]Annex 4 template - CompA'!I3320,'[2]Annex 4 template - CompA'!I3324,'[2]Annex 4 template - CompA'!I3330,'[2]Annex 4 template - CompA'!I3334,'[2]Annex 4 template - CompA'!I3340,'[2]Annex 4 template - CompA'!I3344,'[2]Annex 4 template - CompA'!I3350,'[2]Annex 4 template - CompA'!I3356,'[2]Annex 4 template - CompA'!I3362,)</f>
        <v>276579.10919645074</v>
      </c>
      <c r="J16" s="61">
        <f>SUM('[2]Annex 4 template - CompA'!J3082,'[2]Annex 4 template - CompA'!J3088,'[2]Annex 4 template - CompA'!J3094,'[2]Annex 4 template - CompA'!J3100,'[2]Annex 4 template - CompA'!J3106,'[2]Annex 4 template - CompA'!J3112,'[2]Annex 4 template - CompA'!J3118,'[2]Annex 4 template - CompA'!J3124,'[2]Annex 4 template - CompA'!J3130,'[2]Annex 4 template - CompA'!J3136,'[2]Annex 4 template - CompA'!J3142,'[2]Annex 4 template - CompA'!J3148,'[2]Annex 4 template - CompA'!J3154,'[2]Annex 4 template - CompA'!J3160,'[2]Annex 4 template - CompA'!J3166,'[2]Annex 4 template - CompA'!J3172,'[2]Annex 4 template - CompA'!J3179,'[2]Annex 4 template - CompA'!J3184,'[2]Annex 4 template - CompA'!J3189,'[2]Annex 4 template - CompA'!J3194,'[2]Annex 4 template - CompA'!J3199,'[2]Annex 4 template - CompA'!J3204,'[2]Annex 4 template - CompA'!J3209,'[2]Annex 4 template - CompA'!J3214,'[2]Annex 4 template - CompA'!J3219,'[2]Annex 4 template - CompA'!J3224,'[2]Annex 4 template - CompA'!J3229,'[2]Annex 4 template - CompA'!J3234,'[2]Annex 4 template - CompA'!J3239,'[2]Annex 4 template - CompA'!J3244,'[2]Annex 4 template - CompA'!J3251,'[2]Annex 4 template - CompA'!J3257,'[2]Annex 4 template - CompA'!J3274,'[2]Annex 4 template - CompA'!J3280,'[2]Annex 4 template - CompA'!J3285,'[2]Annex 4 template - CompA'!J3292,'[2]Annex 4 template - CompA'!J3298,'[2]Annex 4 template - CompA'!J3303,'[2]Annex 4 template - CompA'!J3309,'[2]Annex 4 template - CompA'!J3314,'[2]Annex 4 template - CompA'!J3320,'[2]Annex 4 template - CompA'!J3324,'[2]Annex 4 template - CompA'!J3330,'[2]Annex 4 template - CompA'!J3334,'[2]Annex 4 template - CompA'!J3340,'[2]Annex 4 template - CompA'!J3344,'[2]Annex 4 template - CompA'!J3350,'[2]Annex 4 template - CompA'!J3356,'[2]Annex 4 template - CompA'!J3362,)</f>
        <v>554048.61444640358</v>
      </c>
      <c r="K16" s="61">
        <f>SUM('[2]Annex 4 template - CompA'!K3082,'[2]Annex 4 template - CompA'!K3088,'[2]Annex 4 template - CompA'!K3094,'[2]Annex 4 template - CompA'!K3100,'[2]Annex 4 template - CompA'!K3106,'[2]Annex 4 template - CompA'!K3112,'[2]Annex 4 template - CompA'!K3118,'[2]Annex 4 template - CompA'!K3124,'[2]Annex 4 template - CompA'!K3130,'[2]Annex 4 template - CompA'!K3136,'[2]Annex 4 template - CompA'!K3142,'[2]Annex 4 template - CompA'!K3148,'[2]Annex 4 template - CompA'!K3154,'[2]Annex 4 template - CompA'!K3160,'[2]Annex 4 template - CompA'!K3166,'[2]Annex 4 template - CompA'!K3172,'[2]Annex 4 template - CompA'!K3179,'[2]Annex 4 template - CompA'!K3184,'[2]Annex 4 template - CompA'!K3189,'[2]Annex 4 template - CompA'!K3194,'[2]Annex 4 template - CompA'!K3199,'[2]Annex 4 template - CompA'!K3204,'[2]Annex 4 template - CompA'!K3209,'[2]Annex 4 template - CompA'!K3214,'[2]Annex 4 template - CompA'!K3219,'[2]Annex 4 template - CompA'!K3224,'[2]Annex 4 template - CompA'!K3229,'[2]Annex 4 template - CompA'!K3234,'[2]Annex 4 template - CompA'!K3239,'[2]Annex 4 template - CompA'!K3244,'[2]Annex 4 template - CompA'!K3251,'[2]Annex 4 template - CompA'!K3257,'[2]Annex 4 template - CompA'!K3274,'[2]Annex 4 template - CompA'!K3280,'[2]Annex 4 template - CompA'!K3285,'[2]Annex 4 template - CompA'!K3292,'[2]Annex 4 template - CompA'!K3298,'[2]Annex 4 template - CompA'!K3303,'[2]Annex 4 template - CompA'!K3309,'[2]Annex 4 template - CompA'!K3314,'[2]Annex 4 template - CompA'!K3320,'[2]Annex 4 template - CompA'!K3324,'[2]Annex 4 template - CompA'!K3330,'[2]Annex 4 template - CompA'!K3334,'[2]Annex 4 template - CompA'!K3340,'[2]Annex 4 template - CompA'!K3344,'[2]Annex 4 template - CompA'!K3350,'[2]Annex 4 template - CompA'!K3356,'[2]Annex 4 template - CompA'!K3362,)</f>
        <v>420554.20953639766</v>
      </c>
      <c r="L16" s="61">
        <f>SUM('[2]Annex 4 template - CompA'!L3082,'[2]Annex 4 template - CompA'!L3088,'[2]Annex 4 template - CompA'!L3094,'[2]Annex 4 template - CompA'!L3100,'[2]Annex 4 template - CompA'!L3106,'[2]Annex 4 template - CompA'!L3112,'[2]Annex 4 template - CompA'!L3118,'[2]Annex 4 template - CompA'!L3124,'[2]Annex 4 template - CompA'!L3130,'[2]Annex 4 template - CompA'!L3136,'[2]Annex 4 template - CompA'!L3142,'[2]Annex 4 template - CompA'!L3148,'[2]Annex 4 template - CompA'!L3154,'[2]Annex 4 template - CompA'!L3160,'[2]Annex 4 template - CompA'!L3166,'[2]Annex 4 template - CompA'!L3172,'[2]Annex 4 template - CompA'!L3179,'[2]Annex 4 template - CompA'!L3184,'[2]Annex 4 template - CompA'!L3189,'[2]Annex 4 template - CompA'!L3194,'[2]Annex 4 template - CompA'!L3199,'[2]Annex 4 template - CompA'!L3204,'[2]Annex 4 template - CompA'!L3209,'[2]Annex 4 template - CompA'!L3214,'[2]Annex 4 template - CompA'!L3219,'[2]Annex 4 template - CompA'!L3224,'[2]Annex 4 template - CompA'!L3229,'[2]Annex 4 template - CompA'!L3234,'[2]Annex 4 template - CompA'!L3239,'[2]Annex 4 template - CompA'!L3244,'[2]Annex 4 template - CompA'!L3251,'[2]Annex 4 template - CompA'!L3257,'[2]Annex 4 template - CompA'!L3274,'[2]Annex 4 template - CompA'!L3280,'[2]Annex 4 template - CompA'!L3285,'[2]Annex 4 template - CompA'!L3292,'[2]Annex 4 template - CompA'!L3298,'[2]Annex 4 template - CompA'!L3303,'[2]Annex 4 template - CompA'!L3309,'[2]Annex 4 template - CompA'!L3314,'[2]Annex 4 template - CompA'!L3320,'[2]Annex 4 template - CompA'!L3324,'[2]Annex 4 template - CompA'!L3330,'[2]Annex 4 template - CompA'!L3334,'[2]Annex 4 template - CompA'!L3340,'[2]Annex 4 template - CompA'!L3344,'[2]Annex 4 template - CompA'!L3350,'[2]Annex 4 template - CompA'!L3356,'[2]Annex 4 template - CompA'!L3362,)</f>
        <v>444448.39318762202</v>
      </c>
      <c r="M16" s="61">
        <f>SUM('[2]Annex 4 template - CompA'!M3082,'[2]Annex 4 template - CompA'!M3088,'[2]Annex 4 template - CompA'!M3094,'[2]Annex 4 template - CompA'!M3100,'[2]Annex 4 template - CompA'!M3106,'[2]Annex 4 template - CompA'!M3112,'[2]Annex 4 template - CompA'!M3118,'[2]Annex 4 template - CompA'!M3124,'[2]Annex 4 template - CompA'!M3130,'[2]Annex 4 template - CompA'!M3136,'[2]Annex 4 template - CompA'!M3142,'[2]Annex 4 template - CompA'!M3148,'[2]Annex 4 template - CompA'!M3154,'[2]Annex 4 template - CompA'!M3160,'[2]Annex 4 template - CompA'!M3166,'[2]Annex 4 template - CompA'!M3172,'[2]Annex 4 template - CompA'!M3179,'[2]Annex 4 template - CompA'!M3184,'[2]Annex 4 template - CompA'!M3189,'[2]Annex 4 template - CompA'!M3194,'[2]Annex 4 template - CompA'!M3199,'[2]Annex 4 template - CompA'!M3204,'[2]Annex 4 template - CompA'!M3209,'[2]Annex 4 template - CompA'!M3214,'[2]Annex 4 template - CompA'!M3219,'[2]Annex 4 template - CompA'!M3224,'[2]Annex 4 template - CompA'!M3229,'[2]Annex 4 template - CompA'!M3234,'[2]Annex 4 template - CompA'!M3239,'[2]Annex 4 template - CompA'!M3244,'[2]Annex 4 template - CompA'!M3251,'[2]Annex 4 template - CompA'!M3257,'[2]Annex 4 template - CompA'!M3274,'[2]Annex 4 template - CompA'!M3280,'[2]Annex 4 template - CompA'!M3285,'[2]Annex 4 template - CompA'!M3292,'[2]Annex 4 template - CompA'!M3298,'[2]Annex 4 template - CompA'!M3303,'[2]Annex 4 template - CompA'!M3309,'[2]Annex 4 template - CompA'!M3314,'[2]Annex 4 template - CompA'!M3320,'[2]Annex 4 template - CompA'!M3324,'[2]Annex 4 template - CompA'!M3330,'[2]Annex 4 template - CompA'!M3334,'[2]Annex 4 template - CompA'!M3340,'[2]Annex 4 template - CompA'!M3344,'[2]Annex 4 template - CompA'!M3350,'[2]Annex 4 template - CompA'!M3356,'[2]Annex 4 template - CompA'!M3362,)</f>
        <v>386689.76840756589</v>
      </c>
      <c r="N16" s="61">
        <f>SUM('[2]Annex 4 template - CompA'!N3082,'[2]Annex 4 template - CompA'!N3088,'[2]Annex 4 template - CompA'!N3094,'[2]Annex 4 template - CompA'!N3100,'[2]Annex 4 template - CompA'!N3106,'[2]Annex 4 template - CompA'!N3112,'[2]Annex 4 template - CompA'!N3118,'[2]Annex 4 template - CompA'!N3124,'[2]Annex 4 template - CompA'!N3130,'[2]Annex 4 template - CompA'!N3136,'[2]Annex 4 template - CompA'!N3142,'[2]Annex 4 template - CompA'!N3148,'[2]Annex 4 template - CompA'!N3154,'[2]Annex 4 template - CompA'!N3160,'[2]Annex 4 template - CompA'!N3166,'[2]Annex 4 template - CompA'!N3172,'[2]Annex 4 template - CompA'!N3179,'[2]Annex 4 template - CompA'!N3184,'[2]Annex 4 template - CompA'!N3189,'[2]Annex 4 template - CompA'!N3194,'[2]Annex 4 template - CompA'!N3199,'[2]Annex 4 template - CompA'!N3204,'[2]Annex 4 template - CompA'!N3209,'[2]Annex 4 template - CompA'!N3214,'[2]Annex 4 template - CompA'!N3219,'[2]Annex 4 template - CompA'!N3224,'[2]Annex 4 template - CompA'!N3229,'[2]Annex 4 template - CompA'!N3234,'[2]Annex 4 template - CompA'!N3239,'[2]Annex 4 template - CompA'!N3244,'[2]Annex 4 template - CompA'!N3251,'[2]Annex 4 template - CompA'!N3257,'[2]Annex 4 template - CompA'!N3274,'[2]Annex 4 template - CompA'!N3280,'[2]Annex 4 template - CompA'!N3285,'[2]Annex 4 template - CompA'!N3292,'[2]Annex 4 template - CompA'!N3298,'[2]Annex 4 template - CompA'!N3303,'[2]Annex 4 template - CompA'!N3309,'[2]Annex 4 template - CompA'!N3314,'[2]Annex 4 template - CompA'!N3320,'[2]Annex 4 template - CompA'!N3324,'[2]Annex 4 template - CompA'!N3330,'[2]Annex 4 template - CompA'!N3334,'[2]Annex 4 template - CompA'!N3340,'[2]Annex 4 template - CompA'!N3344,'[2]Annex 4 template - CompA'!N3350,'[2]Annex 4 template - CompA'!N3356,'[2]Annex 4 template - CompA'!N3362,)</f>
        <v>220353.89788394829</v>
      </c>
      <c r="O16" s="61">
        <f>SUM('[2]Annex 4 template - CompA'!O3082,'[2]Annex 4 template - CompA'!O3088,'[2]Annex 4 template - CompA'!O3094,'[2]Annex 4 template - CompA'!O3100,'[2]Annex 4 template - CompA'!O3106,'[2]Annex 4 template - CompA'!O3112,'[2]Annex 4 template - CompA'!O3118,'[2]Annex 4 template - CompA'!O3124,'[2]Annex 4 template - CompA'!O3130,'[2]Annex 4 template - CompA'!O3136,'[2]Annex 4 template - CompA'!O3142,'[2]Annex 4 template - CompA'!O3148,'[2]Annex 4 template - CompA'!O3154,'[2]Annex 4 template - CompA'!O3160,'[2]Annex 4 template - CompA'!O3166,'[2]Annex 4 template - CompA'!O3172,'[2]Annex 4 template - CompA'!O3179,'[2]Annex 4 template - CompA'!O3184,'[2]Annex 4 template - CompA'!O3189,'[2]Annex 4 template - CompA'!O3194,'[2]Annex 4 template - CompA'!O3199,'[2]Annex 4 template - CompA'!O3204,'[2]Annex 4 template - CompA'!O3209,'[2]Annex 4 template - CompA'!O3214,'[2]Annex 4 template - CompA'!O3219,'[2]Annex 4 template - CompA'!O3224,'[2]Annex 4 template - CompA'!O3229,'[2]Annex 4 template - CompA'!O3234,'[2]Annex 4 template - CompA'!O3239,'[2]Annex 4 template - CompA'!O3244,'[2]Annex 4 template - CompA'!O3251,'[2]Annex 4 template - CompA'!O3257,'[2]Annex 4 template - CompA'!O3274,'[2]Annex 4 template - CompA'!O3280,'[2]Annex 4 template - CompA'!O3285,'[2]Annex 4 template - CompA'!O3292,'[2]Annex 4 template - CompA'!O3298,'[2]Annex 4 template - CompA'!O3303,'[2]Annex 4 template - CompA'!O3309,'[2]Annex 4 template - CompA'!O3314,'[2]Annex 4 template - CompA'!O3320,'[2]Annex 4 template - CompA'!O3324,'[2]Annex 4 template - CompA'!O3330,'[2]Annex 4 template - CompA'!O3334,'[2]Annex 4 template - CompA'!O3340,'[2]Annex 4 template - CompA'!O3344,'[2]Annex 4 template - CompA'!O3350,'[2]Annex 4 template - CompA'!O3356,'[2]Annex 4 template - CompA'!O3362,)</f>
        <v>26932.037695203395</v>
      </c>
      <c r="P16" s="61">
        <f t="shared" si="0"/>
        <v>2416257.1914165863</v>
      </c>
      <c r="Q16" s="63"/>
      <c r="R16" s="63">
        <f t="shared" si="2"/>
        <v>0</v>
      </c>
      <c r="S16" s="63">
        <f t="shared" si="3"/>
        <v>0</v>
      </c>
    </row>
    <row r="17" spans="2:19" ht="18.5" customHeight="1" x14ac:dyDescent="0.2">
      <c r="B17" s="65" t="s">
        <v>132</v>
      </c>
      <c r="C17" s="66">
        <f t="shared" ref="C17:P17" si="4">SUM(C8:C16)</f>
        <v>32413772.788160145</v>
      </c>
      <c r="D17" s="66">
        <f t="shared" si="4"/>
        <v>32413772.788160145</v>
      </c>
      <c r="E17" s="66">
        <f t="shared" si="4"/>
        <v>0</v>
      </c>
      <c r="F17" s="66">
        <f t="shared" si="4"/>
        <v>0</v>
      </c>
      <c r="G17" s="66">
        <f t="shared" si="4"/>
        <v>0</v>
      </c>
      <c r="H17" s="66">
        <f t="shared" si="4"/>
        <v>1351749.2147212315</v>
      </c>
      <c r="I17" s="66">
        <f t="shared" si="4"/>
        <v>8700994.3457274176</v>
      </c>
      <c r="J17" s="66">
        <f t="shared" si="4"/>
        <v>6285208.9667875413</v>
      </c>
      <c r="K17" s="66">
        <f t="shared" si="4"/>
        <v>6670062.9569741283</v>
      </c>
      <c r="L17" s="66">
        <f t="shared" si="4"/>
        <v>4383027.8339370722</v>
      </c>
      <c r="M17" s="66">
        <f t="shared" si="4"/>
        <v>3191815.7028514412</v>
      </c>
      <c r="N17" s="66">
        <f t="shared" si="4"/>
        <v>1638930.6931492095</v>
      </c>
      <c r="O17" s="66">
        <f t="shared" si="4"/>
        <v>191983.07401210169</v>
      </c>
      <c r="P17" s="66">
        <f t="shared" si="4"/>
        <v>32413772.788160149</v>
      </c>
      <c r="Q17" s="63"/>
      <c r="R17" s="63">
        <f t="shared" si="2"/>
        <v>0</v>
      </c>
      <c r="S17" s="63">
        <f t="shared" si="3"/>
        <v>0</v>
      </c>
    </row>
    <row r="18" spans="2:19" ht="13.25" customHeight="1" x14ac:dyDescent="0.2">
      <c r="B18" s="67" t="str">
        <f>'[2]Annex 4 template - CompA'!C3372</f>
        <v xml:space="preserve">Activity 1.2: Augment national safety-at-sea initiatives 
</v>
      </c>
      <c r="C18" s="61"/>
      <c r="D18" s="62"/>
      <c r="E18" s="61"/>
      <c r="F18" s="61"/>
      <c r="G18" s="61"/>
      <c r="H18" s="61"/>
      <c r="I18" s="61"/>
      <c r="J18" s="61"/>
      <c r="K18" s="61"/>
      <c r="L18" s="61"/>
      <c r="M18" s="61"/>
      <c r="N18" s="61"/>
      <c r="O18" s="61"/>
      <c r="P18" s="61"/>
      <c r="Q18" s="63">
        <f t="shared" si="1"/>
        <v>0</v>
      </c>
      <c r="R18" s="63">
        <f t="shared" si="2"/>
        <v>0</v>
      </c>
      <c r="S18" s="63">
        <f t="shared" si="3"/>
        <v>0</v>
      </c>
    </row>
    <row r="19" spans="2:19" ht="13.25" customHeight="1" x14ac:dyDescent="0.2">
      <c r="B19" s="60" t="str">
        <f>'[2]Annex 4 template - CompA'!C3373</f>
        <v>1.2a. Conduct a needs analysis for improved vessel safety for small-scale fishers using FADs.</v>
      </c>
      <c r="C19" s="61">
        <f>SUM('[2]Annex 4 template - CompA'!D3375:D3586)</f>
        <v>1747457.8317783852</v>
      </c>
      <c r="D19" s="62">
        <f>SUM('[2]Annex 4 template - CompA'!D3375,'[2]Annex 4 template - CompA'!D3381,'[2]Annex 4 template - CompA'!D3386,'[2]Annex 4 template - CompA'!D3391,'[2]Annex 4 template - CompA'!D3396,'[2]Annex 4 template - CompA'!D3401,'[2]Annex 4 template - CompA'!D3406,'[2]Annex 4 template - CompA'!D3413,'[2]Annex 4 template - CompA'!D3425,'[2]Annex 4 template - CompA'!D3432,'[2]Annex 4 template - CompA'!D3438,'[2]Annex 4 template - CompA'!D3442,'[2]Annex 4 template - CompA'!D3446,'[2]Annex 4 template - CompA'!D3451,'[2]Annex 4 template - CompA'!D3456,'[2]Annex 4 template - CompA'!D3460,'[2]Annex 4 template - CompA'!D3465,'[2]Annex 4 template - CompA'!D3469,'[2]Annex 4 template - CompA'!D3473,'[2]Annex 4 template - CompA'!D3478,'[2]Annex 4 template - CompA'!D3482,'[2]Annex 4 template - CompA'!D3486,'[2]Annex 4 template - CompA'!D3491,'[2]Annex 4 template - CompA'!D3496,'[2]Annex 4 template - CompA'!D3500,'[2]Annex 4 template - CompA'!D3505,'[2]Annex 4 template - CompA'!D3516,'[2]Annex 4 template - CompA'!D3521,'[2]Annex 4 template - CompA'!D3527,'[2]Annex 4 template - CompA'!D3538,'[2]Annex 4 template - CompA'!D3542,'[2]Annex 4 template - CompA'!D3547,'[2]Annex 4 template - CompA'!D3551,'[2]Annex 4 template - CompA'!D3557,'[2]Annex 4 template - CompA'!D3561,'[2]Annex 4 template - CompA'!D3565,'[2]Annex 4 template - CompA'!D3569,'[2]Annex 4 template - CompA'!D3574,)</f>
        <v>1747457.8317783852</v>
      </c>
      <c r="E19" s="61">
        <f>SUM('[2]Annex 4 template - CompA'!E3375,'[2]Annex 4 template - CompA'!E3381,'[2]Annex 4 template - CompA'!E3386,'[2]Annex 4 template - CompA'!E3391,'[2]Annex 4 template - CompA'!E3396,'[2]Annex 4 template - CompA'!E3401,'[2]Annex 4 template - CompA'!E3406,'[2]Annex 4 template - CompA'!E3413,'[2]Annex 4 template - CompA'!E3425,'[2]Annex 4 template - CompA'!E3432,'[2]Annex 4 template - CompA'!E3438,'[2]Annex 4 template - CompA'!E3442,'[2]Annex 4 template - CompA'!E3446,'[2]Annex 4 template - CompA'!E3451,'[2]Annex 4 template - CompA'!E3456,'[2]Annex 4 template - CompA'!E3460,'[2]Annex 4 template - CompA'!E3465,'[2]Annex 4 template - CompA'!E3469,'[2]Annex 4 template - CompA'!E3473,'[2]Annex 4 template - CompA'!E3478,'[2]Annex 4 template - CompA'!E3482,'[2]Annex 4 template - CompA'!E3486,'[2]Annex 4 template - CompA'!E3491,'[2]Annex 4 template - CompA'!E3496,'[2]Annex 4 template - CompA'!E3500,'[2]Annex 4 template - CompA'!E3505,'[2]Annex 4 template - CompA'!E3516,'[2]Annex 4 template - CompA'!E3521,'[2]Annex 4 template - CompA'!E3527,'[2]Annex 4 template - CompA'!E3538,'[2]Annex 4 template - CompA'!E3542,'[2]Annex 4 template - CompA'!E3547,'[2]Annex 4 template - CompA'!E3551,'[2]Annex 4 template - CompA'!E3557,'[2]Annex 4 template - CompA'!E3561,'[2]Annex 4 template - CompA'!E3565,'[2]Annex 4 template - CompA'!E3569,'[2]Annex 4 template - CompA'!E3574,)</f>
        <v>0</v>
      </c>
      <c r="F19" s="61">
        <f>SUM('[2]Annex 4 template - CompA'!F3375,'[2]Annex 4 template - CompA'!F3381,'[2]Annex 4 template - CompA'!F3386,'[2]Annex 4 template - CompA'!F3391,'[2]Annex 4 template - CompA'!F3396,'[2]Annex 4 template - CompA'!F3401,'[2]Annex 4 template - CompA'!F3406,'[2]Annex 4 template - CompA'!F3413,'[2]Annex 4 template - CompA'!F3425,'[2]Annex 4 template - CompA'!F3432,'[2]Annex 4 template - CompA'!F3438,'[2]Annex 4 template - CompA'!F3442,'[2]Annex 4 template - CompA'!F3446,'[2]Annex 4 template - CompA'!F3451,'[2]Annex 4 template - CompA'!F3456,'[2]Annex 4 template - CompA'!F3460,'[2]Annex 4 template - CompA'!F3465,'[2]Annex 4 template - CompA'!F3469,'[2]Annex 4 template - CompA'!F3473,'[2]Annex 4 template - CompA'!F3478,'[2]Annex 4 template - CompA'!F3482,'[2]Annex 4 template - CompA'!F3486,'[2]Annex 4 template - CompA'!F3491,'[2]Annex 4 template - CompA'!F3496,'[2]Annex 4 template - CompA'!F3500,'[2]Annex 4 template - CompA'!F3505,'[2]Annex 4 template - CompA'!F3516,'[2]Annex 4 template - CompA'!F3521,'[2]Annex 4 template - CompA'!F3527,'[2]Annex 4 template - CompA'!F3538,'[2]Annex 4 template - CompA'!F3542,'[2]Annex 4 template - CompA'!F3547,'[2]Annex 4 template - CompA'!F3551,'[2]Annex 4 template - CompA'!F3557,'[2]Annex 4 template - CompA'!F3561,'[2]Annex 4 template - CompA'!F3565,'[2]Annex 4 template - CompA'!F3569,'[2]Annex 4 template - CompA'!F3574,)</f>
        <v>0</v>
      </c>
      <c r="G19" s="61">
        <f>SUM('[2]Annex 4 template - CompA'!G3375,'[2]Annex 4 template - CompA'!G3381,'[2]Annex 4 template - CompA'!G3386,'[2]Annex 4 template - CompA'!G3391,'[2]Annex 4 template - CompA'!G3396,'[2]Annex 4 template - CompA'!G3401,'[2]Annex 4 template - CompA'!G3406,'[2]Annex 4 template - CompA'!G3413,'[2]Annex 4 template - CompA'!G3425,'[2]Annex 4 template - CompA'!G3432,'[2]Annex 4 template - CompA'!G3438,'[2]Annex 4 template - CompA'!G3442,'[2]Annex 4 template - CompA'!G3446,'[2]Annex 4 template - CompA'!G3451,'[2]Annex 4 template - CompA'!G3456,'[2]Annex 4 template - CompA'!G3460,'[2]Annex 4 template - CompA'!G3465,'[2]Annex 4 template - CompA'!G3469,'[2]Annex 4 template - CompA'!G3473,'[2]Annex 4 template - CompA'!G3478,'[2]Annex 4 template - CompA'!G3482,'[2]Annex 4 template - CompA'!G3486,'[2]Annex 4 template - CompA'!G3491,'[2]Annex 4 template - CompA'!G3496,'[2]Annex 4 template - CompA'!G3500,'[2]Annex 4 template - CompA'!G3505,'[2]Annex 4 template - CompA'!G3516,'[2]Annex 4 template - CompA'!G3521,'[2]Annex 4 template - CompA'!G3527,'[2]Annex 4 template - CompA'!G3538,'[2]Annex 4 template - CompA'!G3542,'[2]Annex 4 template - CompA'!G3547,'[2]Annex 4 template - CompA'!G3551,'[2]Annex 4 template - CompA'!G3557,'[2]Annex 4 template - CompA'!G3561,'[2]Annex 4 template - CompA'!G3565,'[2]Annex 4 template - CompA'!G3569,'[2]Annex 4 template - CompA'!G3574,)</f>
        <v>0</v>
      </c>
      <c r="H19" s="61">
        <f>SUM('[2]Annex 4 template - CompA'!H3375,'[2]Annex 4 template - CompA'!H3381,'[2]Annex 4 template - CompA'!H3386,'[2]Annex 4 template - CompA'!H3391,'[2]Annex 4 template - CompA'!H3396,'[2]Annex 4 template - CompA'!H3401,'[2]Annex 4 template - CompA'!H3406,'[2]Annex 4 template - CompA'!H3413,'[2]Annex 4 template - CompA'!H3425,'[2]Annex 4 template - CompA'!H3432,'[2]Annex 4 template - CompA'!H3438,'[2]Annex 4 template - CompA'!H3442,'[2]Annex 4 template - CompA'!H3446,'[2]Annex 4 template - CompA'!H3451,'[2]Annex 4 template - CompA'!H3456,'[2]Annex 4 template - CompA'!H3460,'[2]Annex 4 template - CompA'!H3465,'[2]Annex 4 template - CompA'!H3469,'[2]Annex 4 template - CompA'!H3473,'[2]Annex 4 template - CompA'!H3478,'[2]Annex 4 template - CompA'!H3482,'[2]Annex 4 template - CompA'!H3486,'[2]Annex 4 template - CompA'!H3491,'[2]Annex 4 template - CompA'!H3496,'[2]Annex 4 template - CompA'!H3500,'[2]Annex 4 template - CompA'!H3505,'[2]Annex 4 template - CompA'!H3516,'[2]Annex 4 template - CompA'!H3521,'[2]Annex 4 template - CompA'!H3527,'[2]Annex 4 template - CompA'!H3538,'[2]Annex 4 template - CompA'!H3542,'[2]Annex 4 template - CompA'!H3547,'[2]Annex 4 template - CompA'!H3551,'[2]Annex 4 template - CompA'!H3557,'[2]Annex 4 template - CompA'!H3561,'[2]Annex 4 template - CompA'!H3565,'[2]Annex 4 template - CompA'!H3569,'[2]Annex 4 template - CompA'!H3574,)</f>
        <v>30451.778437958539</v>
      </c>
      <c r="I19" s="61">
        <f>SUM('[2]Annex 4 template - CompA'!I3375,'[2]Annex 4 template - CompA'!I3381,'[2]Annex 4 template - CompA'!I3386,'[2]Annex 4 template - CompA'!I3391,'[2]Annex 4 template - CompA'!I3396,'[2]Annex 4 template - CompA'!I3401,'[2]Annex 4 template - CompA'!I3406,'[2]Annex 4 template - CompA'!I3413,'[2]Annex 4 template - CompA'!I3425,'[2]Annex 4 template - CompA'!I3432,'[2]Annex 4 template - CompA'!I3438,'[2]Annex 4 template - CompA'!I3442,'[2]Annex 4 template - CompA'!I3446,'[2]Annex 4 template - CompA'!I3451,'[2]Annex 4 template - CompA'!I3456,'[2]Annex 4 template - CompA'!I3460,'[2]Annex 4 template - CompA'!I3465,'[2]Annex 4 template - CompA'!I3469,'[2]Annex 4 template - CompA'!I3473,'[2]Annex 4 template - CompA'!I3478,'[2]Annex 4 template - CompA'!I3482,'[2]Annex 4 template - CompA'!I3486,'[2]Annex 4 template - CompA'!I3491,'[2]Annex 4 template - CompA'!I3496,'[2]Annex 4 template - CompA'!I3500,'[2]Annex 4 template - CompA'!I3505,'[2]Annex 4 template - CompA'!I3516,'[2]Annex 4 template - CompA'!I3521,'[2]Annex 4 template - CompA'!I3527,'[2]Annex 4 template - CompA'!I3538,'[2]Annex 4 template - CompA'!I3542,'[2]Annex 4 template - CompA'!I3547,'[2]Annex 4 template - CompA'!I3551,'[2]Annex 4 template - CompA'!I3557,'[2]Annex 4 template - CompA'!I3561,'[2]Annex 4 template - CompA'!I3565,'[2]Annex 4 template - CompA'!I3569,'[2]Annex 4 template - CompA'!I3574,)</f>
        <v>586066.29014196305</v>
      </c>
      <c r="J19" s="61">
        <f>SUM('[2]Annex 4 template - CompA'!J3375,'[2]Annex 4 template - CompA'!J3381,'[2]Annex 4 template - CompA'!J3386,'[2]Annex 4 template - CompA'!J3391,'[2]Annex 4 template - CompA'!J3396,'[2]Annex 4 template - CompA'!J3401,'[2]Annex 4 template - CompA'!J3406,'[2]Annex 4 template - CompA'!J3413,'[2]Annex 4 template - CompA'!J3425,'[2]Annex 4 template - CompA'!J3432,'[2]Annex 4 template - CompA'!J3438,'[2]Annex 4 template - CompA'!J3442,'[2]Annex 4 template - CompA'!J3446,'[2]Annex 4 template - CompA'!J3451,'[2]Annex 4 template - CompA'!J3456,'[2]Annex 4 template - CompA'!J3460,'[2]Annex 4 template - CompA'!J3465,'[2]Annex 4 template - CompA'!J3469,'[2]Annex 4 template - CompA'!J3473,'[2]Annex 4 template - CompA'!J3478,'[2]Annex 4 template - CompA'!J3482,'[2]Annex 4 template - CompA'!J3486,'[2]Annex 4 template - CompA'!J3491,'[2]Annex 4 template - CompA'!J3496,'[2]Annex 4 template - CompA'!J3500,'[2]Annex 4 template - CompA'!J3505,'[2]Annex 4 template - CompA'!J3516,'[2]Annex 4 template - CompA'!J3521,'[2]Annex 4 template - CompA'!J3527,'[2]Annex 4 template - CompA'!J3538,'[2]Annex 4 template - CompA'!J3542,'[2]Annex 4 template - CompA'!J3547,'[2]Annex 4 template - CompA'!J3551,'[2]Annex 4 template - CompA'!J3557,'[2]Annex 4 template - CompA'!J3561,'[2]Annex 4 template - CompA'!J3565,'[2]Annex 4 template - CompA'!J3569,'[2]Annex 4 template - CompA'!J3574,)</f>
        <v>490871.61319846351</v>
      </c>
      <c r="K19" s="61">
        <f>SUM('[2]Annex 4 template - CompA'!K3375,'[2]Annex 4 template - CompA'!K3381,'[2]Annex 4 template - CompA'!K3386,'[2]Annex 4 template - CompA'!K3391,'[2]Annex 4 template - CompA'!K3396,'[2]Annex 4 template - CompA'!K3401,'[2]Annex 4 template - CompA'!K3406,'[2]Annex 4 template - CompA'!K3413,'[2]Annex 4 template - CompA'!K3425,'[2]Annex 4 template - CompA'!K3432,'[2]Annex 4 template - CompA'!K3438,'[2]Annex 4 template - CompA'!K3442,'[2]Annex 4 template - CompA'!K3446,'[2]Annex 4 template - CompA'!K3451,'[2]Annex 4 template - CompA'!K3456,'[2]Annex 4 template - CompA'!K3460,'[2]Annex 4 template - CompA'!K3465,'[2]Annex 4 template - CompA'!K3469,'[2]Annex 4 template - CompA'!K3473,'[2]Annex 4 template - CompA'!K3478,'[2]Annex 4 template - CompA'!K3482,'[2]Annex 4 template - CompA'!K3486,'[2]Annex 4 template - CompA'!K3491,'[2]Annex 4 template - CompA'!K3496,'[2]Annex 4 template - CompA'!K3500,'[2]Annex 4 template - CompA'!K3505,'[2]Annex 4 template - CompA'!K3516,'[2]Annex 4 template - CompA'!K3521,'[2]Annex 4 template - CompA'!K3527,'[2]Annex 4 template - CompA'!K3538,'[2]Annex 4 template - CompA'!K3542,'[2]Annex 4 template - CompA'!K3547,'[2]Annex 4 template - CompA'!K3551,'[2]Annex 4 template - CompA'!K3557,'[2]Annex 4 template - CompA'!K3561,'[2]Annex 4 template - CompA'!K3565,'[2]Annex 4 template - CompA'!K3569,'[2]Annex 4 template - CompA'!K3574,)</f>
        <v>476196.02500000002</v>
      </c>
      <c r="L19" s="61">
        <f>SUM('[2]Annex 4 template - CompA'!L3375,'[2]Annex 4 template - CompA'!L3381,'[2]Annex 4 template - CompA'!L3386,'[2]Annex 4 template - CompA'!L3391,'[2]Annex 4 template - CompA'!L3396,'[2]Annex 4 template - CompA'!L3401,'[2]Annex 4 template - CompA'!L3406,'[2]Annex 4 template - CompA'!L3413,'[2]Annex 4 template - CompA'!L3425,'[2]Annex 4 template - CompA'!L3432,'[2]Annex 4 template - CompA'!L3438,'[2]Annex 4 template - CompA'!L3442,'[2]Annex 4 template - CompA'!L3446,'[2]Annex 4 template - CompA'!L3451,'[2]Annex 4 template - CompA'!L3456,'[2]Annex 4 template - CompA'!L3460,'[2]Annex 4 template - CompA'!L3465,'[2]Annex 4 template - CompA'!L3469,'[2]Annex 4 template - CompA'!L3473,'[2]Annex 4 template - CompA'!L3478,'[2]Annex 4 template - CompA'!L3482,'[2]Annex 4 template - CompA'!L3486,'[2]Annex 4 template - CompA'!L3491,'[2]Annex 4 template - CompA'!L3496,'[2]Annex 4 template - CompA'!L3500,'[2]Annex 4 template - CompA'!L3505,'[2]Annex 4 template - CompA'!L3516,'[2]Annex 4 template - CompA'!L3521,'[2]Annex 4 template - CompA'!L3527,'[2]Annex 4 template - CompA'!L3538,'[2]Annex 4 template - CompA'!L3542,'[2]Annex 4 template - CompA'!L3547,'[2]Annex 4 template - CompA'!L3551,'[2]Annex 4 template - CompA'!L3557,'[2]Annex 4 template - CompA'!L3561,'[2]Annex 4 template - CompA'!L3565,'[2]Annex 4 template - CompA'!L3569,'[2]Annex 4 template - CompA'!L3574,)</f>
        <v>163872.125</v>
      </c>
      <c r="M19" s="61">
        <f>SUM('[2]Annex 4 template - CompA'!M3375,'[2]Annex 4 template - CompA'!M3381,'[2]Annex 4 template - CompA'!M3386,'[2]Annex 4 template - CompA'!M3391,'[2]Annex 4 template - CompA'!M3396,'[2]Annex 4 template - CompA'!M3401,'[2]Annex 4 template - CompA'!M3406,'[2]Annex 4 template - CompA'!M3413,'[2]Annex 4 template - CompA'!M3425,'[2]Annex 4 template - CompA'!M3432,'[2]Annex 4 template - CompA'!M3438,'[2]Annex 4 template - CompA'!M3442,'[2]Annex 4 template - CompA'!M3446,'[2]Annex 4 template - CompA'!M3451,'[2]Annex 4 template - CompA'!M3456,'[2]Annex 4 template - CompA'!M3460,'[2]Annex 4 template - CompA'!M3465,'[2]Annex 4 template - CompA'!M3469,'[2]Annex 4 template - CompA'!M3473,'[2]Annex 4 template - CompA'!M3478,'[2]Annex 4 template - CompA'!M3482,'[2]Annex 4 template - CompA'!M3486,'[2]Annex 4 template - CompA'!M3491,'[2]Annex 4 template - CompA'!M3496,'[2]Annex 4 template - CompA'!M3500,'[2]Annex 4 template - CompA'!M3505,'[2]Annex 4 template - CompA'!M3516,'[2]Annex 4 template - CompA'!M3521,'[2]Annex 4 template - CompA'!M3527,'[2]Annex 4 template - CompA'!M3538,'[2]Annex 4 template - CompA'!M3542,'[2]Annex 4 template - CompA'!M3547,'[2]Annex 4 template - CompA'!M3551,'[2]Annex 4 template - CompA'!M3557,'[2]Annex 4 template - CompA'!M3561,'[2]Annex 4 template - CompA'!M3565,'[2]Annex 4 template - CompA'!M3569,'[2]Annex 4 template - CompA'!M3574,)</f>
        <v>0</v>
      </c>
      <c r="N19" s="61">
        <f>SUM('[2]Annex 4 template - CompA'!N3375,'[2]Annex 4 template - CompA'!N3381,'[2]Annex 4 template - CompA'!N3386,'[2]Annex 4 template - CompA'!N3391,'[2]Annex 4 template - CompA'!N3396,'[2]Annex 4 template - CompA'!N3401,'[2]Annex 4 template - CompA'!N3406,'[2]Annex 4 template - CompA'!N3413,'[2]Annex 4 template - CompA'!N3425,'[2]Annex 4 template - CompA'!N3432,'[2]Annex 4 template - CompA'!N3438,'[2]Annex 4 template - CompA'!N3442,'[2]Annex 4 template - CompA'!N3446,'[2]Annex 4 template - CompA'!N3451,'[2]Annex 4 template - CompA'!N3456,'[2]Annex 4 template - CompA'!N3460,'[2]Annex 4 template - CompA'!N3465,'[2]Annex 4 template - CompA'!N3469,'[2]Annex 4 template - CompA'!N3473,'[2]Annex 4 template - CompA'!N3478,'[2]Annex 4 template - CompA'!N3482,'[2]Annex 4 template - CompA'!N3486,'[2]Annex 4 template - CompA'!N3491,'[2]Annex 4 template - CompA'!N3496,'[2]Annex 4 template - CompA'!N3500,'[2]Annex 4 template - CompA'!N3505,'[2]Annex 4 template - CompA'!N3516,'[2]Annex 4 template - CompA'!N3521,'[2]Annex 4 template - CompA'!N3527,'[2]Annex 4 template - CompA'!N3538,'[2]Annex 4 template - CompA'!N3542,'[2]Annex 4 template - CompA'!N3547,'[2]Annex 4 template - CompA'!N3551,'[2]Annex 4 template - CompA'!N3557,'[2]Annex 4 template - CompA'!N3561,'[2]Annex 4 template - CompA'!N3565,'[2]Annex 4 template - CompA'!N3569,'[2]Annex 4 template - CompA'!N3574,)</f>
        <v>0</v>
      </c>
      <c r="O19" s="61">
        <f>SUM('[2]Annex 4 template - CompA'!O3375,'[2]Annex 4 template - CompA'!O3381,'[2]Annex 4 template - CompA'!O3386,'[2]Annex 4 template - CompA'!O3391,'[2]Annex 4 template - CompA'!O3396,'[2]Annex 4 template - CompA'!O3401,'[2]Annex 4 template - CompA'!O3406,'[2]Annex 4 template - CompA'!O3413,'[2]Annex 4 template - CompA'!O3425,'[2]Annex 4 template - CompA'!O3432,'[2]Annex 4 template - CompA'!O3438,'[2]Annex 4 template - CompA'!O3442,'[2]Annex 4 template - CompA'!O3446,'[2]Annex 4 template - CompA'!O3451,'[2]Annex 4 template - CompA'!O3456,'[2]Annex 4 template - CompA'!O3460,'[2]Annex 4 template - CompA'!O3465,'[2]Annex 4 template - CompA'!O3469,'[2]Annex 4 template - CompA'!O3473,'[2]Annex 4 template - CompA'!O3478,'[2]Annex 4 template - CompA'!O3482,'[2]Annex 4 template - CompA'!O3486,'[2]Annex 4 template - CompA'!O3491,'[2]Annex 4 template - CompA'!O3496,'[2]Annex 4 template - CompA'!O3500,'[2]Annex 4 template - CompA'!O3505,'[2]Annex 4 template - CompA'!O3516,'[2]Annex 4 template - CompA'!O3521,'[2]Annex 4 template - CompA'!O3527,'[2]Annex 4 template - CompA'!O3538,'[2]Annex 4 template - CompA'!O3542,'[2]Annex 4 template - CompA'!O3547,'[2]Annex 4 template - CompA'!O3551,'[2]Annex 4 template - CompA'!O3557,'[2]Annex 4 template - CompA'!O3561,'[2]Annex 4 template - CompA'!O3565,'[2]Annex 4 template - CompA'!O3569,'[2]Annex 4 template - CompA'!O3574,)</f>
        <v>0</v>
      </c>
      <c r="P19" s="61">
        <f t="shared" ref="P19:P22" si="5">SUM(H19:O19)</f>
        <v>1747457.8317783852</v>
      </c>
      <c r="Q19" s="63">
        <f t="shared" si="1"/>
        <v>0</v>
      </c>
      <c r="R19" s="63">
        <f t="shared" si="2"/>
        <v>0</v>
      </c>
      <c r="S19" s="63">
        <f t="shared" si="3"/>
        <v>0</v>
      </c>
    </row>
    <row r="20" spans="2:19" ht="26.5" customHeight="1" x14ac:dyDescent="0.2">
      <c r="B20" s="60" t="str">
        <f>'[2]Annex 4 template - CompA'!C3591</f>
        <v xml:space="preserve">1.2b. Customize meteorological and natural disaster forecasts to assist small-scale fishers and deliver the information nationwide via mobile applications. </v>
      </c>
      <c r="C20" s="61">
        <f>SUM('[2]Annex 4 template - CompA'!D3595:D3634)</f>
        <v>1052158</v>
      </c>
      <c r="D20" s="62">
        <f>SUM('[2]Annex 4 template - CompA'!D3595,'[2]Annex 4 template - CompA'!D3606,'[2]Annex 4 template - CompA'!D3619,'[2]Annex 4 template - CompA'!D3628)</f>
        <v>1052158</v>
      </c>
      <c r="E20" s="61">
        <f>SUM('[2]Annex 4 template - CompA'!E3595,'[2]Annex 4 template - CompA'!E3606,'[2]Annex 4 template - CompA'!E3619,'[2]Annex 4 template - CompA'!E3628)</f>
        <v>0</v>
      </c>
      <c r="F20" s="61">
        <f>SUM('[2]Annex 4 template - CompA'!F3595,'[2]Annex 4 template - CompA'!F3606,'[2]Annex 4 template - CompA'!F3619,'[2]Annex 4 template - CompA'!F3628)</f>
        <v>0</v>
      </c>
      <c r="G20" s="61">
        <f>SUM('[2]Annex 4 template - CompA'!G3595,'[2]Annex 4 template - CompA'!G3606,'[2]Annex 4 template - CompA'!G3619,'[2]Annex 4 template - CompA'!G3628)</f>
        <v>0</v>
      </c>
      <c r="H20" s="61">
        <f>SUM('[2]Annex 4 template - CompA'!H3595,'[2]Annex 4 template - CompA'!H3606,'[2]Annex 4 template - CompA'!H3619,'[2]Annex 4 template - CompA'!H3628)</f>
        <v>96781.7</v>
      </c>
      <c r="I20" s="61">
        <f>SUM('[2]Annex 4 template - CompA'!I3595,'[2]Annex 4 template - CompA'!I3606,'[2]Annex 4 template - CompA'!I3619,'[2]Annex 4 template - CompA'!I3628)</f>
        <v>293138.45</v>
      </c>
      <c r="J20" s="61">
        <f>SUM('[2]Annex 4 template - CompA'!J3595,'[2]Annex 4 template - CompA'!J3606,'[2]Annex 4 template - CompA'!J3619,'[2]Annex 4 template - CompA'!J3628)</f>
        <v>388433.2</v>
      </c>
      <c r="K20" s="61">
        <f>SUM('[2]Annex 4 template - CompA'!K3595,'[2]Annex 4 template - CompA'!K3606,'[2]Annex 4 template - CompA'!K3619,'[2]Annex 4 template - CompA'!K3628)</f>
        <v>244452.05000000002</v>
      </c>
      <c r="L20" s="61">
        <f>SUM('[2]Annex 4 template - CompA'!L3595,'[2]Annex 4 template - CompA'!L3606,'[2]Annex 4 template - CompA'!L3619,'[2]Annex 4 template - CompA'!L3628)</f>
        <v>29352.6</v>
      </c>
      <c r="M20" s="61">
        <f>SUM('[2]Annex 4 template - CompA'!M3595,'[2]Annex 4 template - CompA'!M3606,'[2]Annex 4 template - CompA'!M3619,'[2]Annex 4 template - CompA'!M3628)</f>
        <v>0</v>
      </c>
      <c r="N20" s="61">
        <f>SUM('[2]Annex 4 template - CompA'!N3595,'[2]Annex 4 template - CompA'!N3606,'[2]Annex 4 template - CompA'!N3619,'[2]Annex 4 template - CompA'!N3628)</f>
        <v>0</v>
      </c>
      <c r="O20" s="61">
        <f>SUM('[2]Annex 4 template - CompA'!O3595,'[2]Annex 4 template - CompA'!O3606,'[2]Annex 4 template - CompA'!O3619,'[2]Annex 4 template - CompA'!O3628)</f>
        <v>0</v>
      </c>
      <c r="P20" s="61">
        <f t="shared" si="5"/>
        <v>1052158.0000000002</v>
      </c>
      <c r="Q20" s="63">
        <f t="shared" si="1"/>
        <v>0</v>
      </c>
      <c r="R20" s="63">
        <f t="shared" si="2"/>
        <v>0</v>
      </c>
      <c r="S20" s="63">
        <f t="shared" si="3"/>
        <v>0</v>
      </c>
    </row>
    <row r="21" spans="2:19" ht="13.25" customHeight="1" x14ac:dyDescent="0.2">
      <c r="B21" s="60" t="str">
        <f>'[2]Annex 4 template - CompA'!C3638</f>
        <v>1.2c. Support procurement and delivery of boating safety equipment, linked to vessel registration where practical.</v>
      </c>
      <c r="C21" s="61">
        <f>SUM('[2]Annex 4 template - CompA'!D3642:D3697)</f>
        <v>845250</v>
      </c>
      <c r="D21" s="62">
        <f>SUM('[2]Annex 4 template - CompA'!D3642,'[2]Annex 4 template - CompA'!D3648,'[2]Annex 4 template - CompA'!D3667,'[2]Annex 4 template - CompA'!D3674,)</f>
        <v>845250</v>
      </c>
      <c r="E21" s="61">
        <f>SUM('[2]Annex 4 template - CompA'!E3642,'[2]Annex 4 template - CompA'!E3648,'[2]Annex 4 template - CompA'!E3667,'[2]Annex 4 template - CompA'!E3674,)</f>
        <v>0</v>
      </c>
      <c r="F21" s="61">
        <f>SUM('[2]Annex 4 template - CompA'!F3642,'[2]Annex 4 template - CompA'!F3648,'[2]Annex 4 template - CompA'!F3667,'[2]Annex 4 template - CompA'!F3674,)</f>
        <v>0</v>
      </c>
      <c r="G21" s="61">
        <f>SUM('[2]Annex 4 template - CompA'!G3642,'[2]Annex 4 template - CompA'!G3648,'[2]Annex 4 template - CompA'!G3667,'[2]Annex 4 template - CompA'!G3674,)</f>
        <v>0</v>
      </c>
      <c r="H21" s="61">
        <f>SUM('[2]Annex 4 template - CompA'!H3642,'[2]Annex 4 template - CompA'!H3648,'[2]Annex 4 template - CompA'!H3667,'[2]Annex 4 template - CompA'!H3674,)</f>
        <v>0</v>
      </c>
      <c r="I21" s="61">
        <f>SUM('[2]Annex 4 template - CompA'!I3642,'[2]Annex 4 template - CompA'!I3648,'[2]Annex 4 template - CompA'!I3667,'[2]Annex 4 template - CompA'!I3674,)</f>
        <v>473225</v>
      </c>
      <c r="J21" s="61">
        <f>SUM('[2]Annex 4 template - CompA'!J3642,'[2]Annex 4 template - CompA'!J3648,'[2]Annex 4 template - CompA'!J3667,'[2]Annex 4 template - CompA'!J3674,)</f>
        <v>268525</v>
      </c>
      <c r="K21" s="61">
        <f>SUM('[2]Annex 4 template - CompA'!K3642,'[2]Annex 4 template - CompA'!K3648,'[2]Annex 4 template - CompA'!K3667,'[2]Annex 4 template - CompA'!K3674,)</f>
        <v>103500</v>
      </c>
      <c r="L21" s="61">
        <f>SUM('[2]Annex 4 template - CompA'!L3642,'[2]Annex 4 template - CompA'!L3648,'[2]Annex 4 template - CompA'!L3667,'[2]Annex 4 template - CompA'!L3674,)</f>
        <v>0</v>
      </c>
      <c r="M21" s="61">
        <f>SUM('[2]Annex 4 template - CompA'!M3642,'[2]Annex 4 template - CompA'!M3648,'[2]Annex 4 template - CompA'!M3667,'[2]Annex 4 template - CompA'!M3674,)</f>
        <v>0</v>
      </c>
      <c r="N21" s="61">
        <f>SUM('[2]Annex 4 template - CompA'!N3642,'[2]Annex 4 template - CompA'!N3648,'[2]Annex 4 template - CompA'!N3667,'[2]Annex 4 template - CompA'!N3674,)</f>
        <v>0</v>
      </c>
      <c r="O21" s="61">
        <f>SUM('[2]Annex 4 template - CompA'!O3642,'[2]Annex 4 template - CompA'!O3648,'[2]Annex 4 template - CompA'!O3667,'[2]Annex 4 template - CompA'!O3674,)</f>
        <v>0</v>
      </c>
      <c r="P21" s="61">
        <f t="shared" si="5"/>
        <v>845250</v>
      </c>
      <c r="Q21" s="63">
        <f t="shared" si="1"/>
        <v>0</v>
      </c>
      <c r="R21" s="63">
        <f t="shared" si="2"/>
        <v>0</v>
      </c>
    </row>
    <row r="22" spans="2:19" ht="12.5" customHeight="1" x14ac:dyDescent="0.2">
      <c r="B22" s="60" t="str">
        <f>'[2]Annex 4 template - CompA'!C3701</f>
        <v>1.2d Provide training in the use of the boating safety equipment.</v>
      </c>
      <c r="C22" s="61">
        <f>SUM('[2]Annex 4 template - CompA'!D3706:D3759)</f>
        <v>289470.55</v>
      </c>
      <c r="D22" s="62">
        <f>SUM('[2]Annex 4 template - CompA'!D3706,'[2]Annex 4 template - CompA'!D3714,'[2]Annex 4 template - CompA'!D3732,'[2]Annex 4 template - CompA'!D3750,'[2]Annex 4 template - CompA'!D3754)</f>
        <v>289470.55</v>
      </c>
      <c r="E22" s="61">
        <f>SUM('[2]Annex 4 template - CompA'!E3706,'[2]Annex 4 template - CompA'!E3714,'[2]Annex 4 template - CompA'!E3732,'[2]Annex 4 template - CompA'!E3750,'[2]Annex 4 template - CompA'!E3754)</f>
        <v>0</v>
      </c>
      <c r="F22" s="61">
        <f>SUM('[2]Annex 4 template - CompA'!F3706,'[2]Annex 4 template - CompA'!F3714,'[2]Annex 4 template - CompA'!F3732,'[2]Annex 4 template - CompA'!F3750,'[2]Annex 4 template - CompA'!F3754)</f>
        <v>0</v>
      </c>
      <c r="G22" s="61">
        <f>SUM('[2]Annex 4 template - CompA'!G3706,'[2]Annex 4 template - CompA'!G3714,'[2]Annex 4 template - CompA'!G3732,'[2]Annex 4 template - CompA'!G3750,'[2]Annex 4 template - CompA'!G3754)</f>
        <v>0</v>
      </c>
      <c r="H22" s="61">
        <f>SUM('[2]Annex 4 template - CompA'!H3706,'[2]Annex 4 template - CompA'!H3714,'[2]Annex 4 template - CompA'!H3732,'[2]Annex 4 template - CompA'!H3750,'[2]Annex 4 template - CompA'!H3754)</f>
        <v>0</v>
      </c>
      <c r="I22" s="61">
        <f>SUM('[2]Annex 4 template - CompA'!I3706,'[2]Annex 4 template - CompA'!I3714,'[2]Annex 4 template - CompA'!I3732,'[2]Annex 4 template - CompA'!I3750,'[2]Annex 4 template - CompA'!I3754)</f>
        <v>0</v>
      </c>
      <c r="J22" s="61">
        <f>SUM('[2]Annex 4 template - CompA'!J3706,'[2]Annex 4 template - CompA'!J3714,'[2]Annex 4 template - CompA'!J3732,'[2]Annex 4 template - CompA'!J3750,'[2]Annex 4 template - CompA'!J3754)</f>
        <v>10180.950000000001</v>
      </c>
      <c r="K22" s="61">
        <f>SUM('[2]Annex 4 template - CompA'!K3706,'[2]Annex 4 template - CompA'!K3714,'[2]Annex 4 template - CompA'!K3732,'[2]Annex 4 template - CompA'!K3750,'[2]Annex 4 template - CompA'!K3754)</f>
        <v>151087.25</v>
      </c>
      <c r="L22" s="61">
        <f>SUM('[2]Annex 4 template - CompA'!L3706,'[2]Annex 4 template - CompA'!L3714,'[2]Annex 4 template - CompA'!L3732,'[2]Annex 4 template - CompA'!L3750,'[2]Annex 4 template - CompA'!L3754)</f>
        <v>76303.55</v>
      </c>
      <c r="M22" s="61">
        <f>SUM('[2]Annex 4 template - CompA'!M3706,'[2]Annex 4 template - CompA'!M3714,'[2]Annex 4 template - CompA'!M3732,'[2]Annex 4 template - CompA'!M3750,'[2]Annex 4 template - CompA'!M3754)</f>
        <v>51898.8</v>
      </c>
      <c r="N22" s="61">
        <f>SUM('[2]Annex 4 template - CompA'!N3706,'[2]Annex 4 template - CompA'!N3714,'[2]Annex 4 template - CompA'!N3732,'[2]Annex 4 template - CompA'!N3750,'[2]Annex 4 template - CompA'!N3754)</f>
        <v>0</v>
      </c>
      <c r="O22" s="62">
        <f>SUM('[2]Annex 4 template - CompA'!O3706,'[2]Annex 4 template - CompA'!O3714,'[2]Annex 4 template - CompA'!O3732,'[2]Annex 4 template - CompA'!O3750,'[2]Annex 4 template - CompA'!O3754)</f>
        <v>0</v>
      </c>
      <c r="P22" s="61">
        <f t="shared" si="5"/>
        <v>289470.55</v>
      </c>
      <c r="Q22" s="63">
        <f t="shared" si="1"/>
        <v>0</v>
      </c>
      <c r="R22" s="63">
        <f t="shared" si="2"/>
        <v>0</v>
      </c>
    </row>
    <row r="23" spans="2:19" ht="15.5" customHeight="1" x14ac:dyDescent="0.2">
      <c r="B23" s="65" t="s">
        <v>133</v>
      </c>
      <c r="C23" s="66">
        <f>SUM(C19:C22)</f>
        <v>3934336.381778385</v>
      </c>
      <c r="D23" s="66">
        <f>SUM(D19:D22)</f>
        <v>3934336.381778385</v>
      </c>
      <c r="E23" s="66">
        <f t="shared" ref="E23:P23" si="6">SUM(E19:E22)</f>
        <v>0</v>
      </c>
      <c r="F23" s="66">
        <f t="shared" si="6"/>
        <v>0</v>
      </c>
      <c r="G23" s="66">
        <f t="shared" si="6"/>
        <v>0</v>
      </c>
      <c r="H23" s="66">
        <f t="shared" si="6"/>
        <v>127233.47843795853</v>
      </c>
      <c r="I23" s="66">
        <f t="shared" si="6"/>
        <v>1352429.7401419631</v>
      </c>
      <c r="J23" s="66">
        <f t="shared" si="6"/>
        <v>1158010.7631984635</v>
      </c>
      <c r="K23" s="66">
        <f t="shared" si="6"/>
        <v>975235.32500000007</v>
      </c>
      <c r="L23" s="66">
        <f t="shared" si="6"/>
        <v>269528.27500000002</v>
      </c>
      <c r="M23" s="66">
        <f t="shared" si="6"/>
        <v>51898.8</v>
      </c>
      <c r="N23" s="66">
        <f t="shared" si="6"/>
        <v>0</v>
      </c>
      <c r="O23" s="66">
        <f t="shared" si="6"/>
        <v>0</v>
      </c>
      <c r="P23" s="66">
        <f t="shared" si="6"/>
        <v>3934336.3817783855</v>
      </c>
      <c r="Q23" s="63">
        <f t="shared" si="1"/>
        <v>0</v>
      </c>
      <c r="R23" s="63">
        <f t="shared" si="2"/>
        <v>0</v>
      </c>
    </row>
    <row r="24" spans="2:19" ht="29" customHeight="1" x14ac:dyDescent="0.2">
      <c r="B24" s="67" t="str">
        <f>'[2]Annex 4 template - CompA'!C3764</f>
        <v>Activity 1.3: Strengthen post-harvest practices and improve market opportunities for FAD-caught fish</v>
      </c>
      <c r="C24" s="58"/>
      <c r="D24" s="62"/>
      <c r="E24" s="61"/>
      <c r="F24" s="61"/>
      <c r="G24" s="61"/>
      <c r="H24" s="61"/>
      <c r="I24" s="61"/>
      <c r="J24" s="61"/>
      <c r="K24" s="61"/>
      <c r="L24" s="61"/>
      <c r="M24" s="61"/>
      <c r="N24" s="61"/>
      <c r="O24" s="61"/>
      <c r="P24" s="61"/>
      <c r="Q24" s="63">
        <f t="shared" si="1"/>
        <v>0</v>
      </c>
      <c r="R24" s="63">
        <f t="shared" si="2"/>
        <v>0</v>
      </c>
    </row>
    <row r="25" spans="2:19" ht="26.5" customHeight="1" x14ac:dyDescent="0.2">
      <c r="B25" s="60" t="str">
        <f>'[2]Annex 4 template - CompA'!C3765</f>
        <v>1.3a. Provide training to improve preservation of FAD-caught fish using post-harvest methods, e.g., drying, smoking and bottling.</v>
      </c>
      <c r="C25" s="61">
        <f>SUM('[2]Annex 4 template - CompA'!D3766:D3816)</f>
        <v>1073565.7305085519</v>
      </c>
      <c r="D25" s="62">
        <f>SUM('[2]Annex 4 template - CompA'!D3774,'[2]Annex 4 template - CompA'!D3766,'[2]Annex 4 template - CompA'!D3780,'[2]Annex 4 template - CompA'!D3787,'[2]Annex 4 template - CompA'!D3805,'[2]Annex 4 template - CompA'!D3811)</f>
        <v>1073565.7305085519</v>
      </c>
      <c r="E25" s="61">
        <f>SUM('[2]Annex 4 template - CompA'!E3774,'[2]Annex 4 template - CompA'!E3766,'[2]Annex 4 template - CompA'!E3780,'[2]Annex 4 template - CompA'!E3787,'[2]Annex 4 template - CompA'!E3805,'[2]Annex 4 template - CompA'!E3811)</f>
        <v>0</v>
      </c>
      <c r="F25" s="61">
        <f>SUM('[2]Annex 4 template - CompA'!F3774,'[2]Annex 4 template - CompA'!F3766,'[2]Annex 4 template - CompA'!F3780,'[2]Annex 4 template - CompA'!F3787,'[2]Annex 4 template - CompA'!F3805,'[2]Annex 4 template - CompA'!F3811)</f>
        <v>0</v>
      </c>
      <c r="G25" s="61">
        <f>SUM('[2]Annex 4 template - CompA'!G3774,'[2]Annex 4 template - CompA'!G3766,'[2]Annex 4 template - CompA'!G3780,'[2]Annex 4 template - CompA'!G3787,'[2]Annex 4 template - CompA'!G3805,'[2]Annex 4 template - CompA'!G3811)</f>
        <v>0</v>
      </c>
      <c r="H25" s="61">
        <f>SUM('[2]Annex 4 template - CompA'!H3774,'[2]Annex 4 template - CompA'!H3766,'[2]Annex 4 template - CompA'!H3780,'[2]Annex 4 template - CompA'!H3787,'[2]Annex 4 template - CompA'!H3805,'[2]Annex 4 template - CompA'!H3811)</f>
        <v>0</v>
      </c>
      <c r="I25" s="61">
        <f>SUM('[2]Annex 4 template - CompA'!I3774,'[2]Annex 4 template - CompA'!I3766,'[2]Annex 4 template - CompA'!I3780,'[2]Annex 4 template - CompA'!I3787,'[2]Annex 4 template - CompA'!I3805,'[2]Annex 4 template - CompA'!I3811)</f>
        <v>138005.85052657832</v>
      </c>
      <c r="J25" s="61">
        <f>SUM('[2]Annex 4 template - CompA'!J3774,'[2]Annex 4 template - CompA'!J3766,'[2]Annex 4 template - CompA'!J3780,'[2]Annex 4 template - CompA'!J3787,'[2]Annex 4 template - CompA'!J3805,'[2]Annex 4 template - CompA'!J3811)</f>
        <v>189622.85663349277</v>
      </c>
      <c r="K25" s="61">
        <f>SUM('[2]Annex 4 template - CompA'!K3774,'[2]Annex 4 template - CompA'!K3766,'[2]Annex 4 template - CompA'!K3780,'[2]Annex 4 template - CompA'!K3787,'[2]Annex 4 template - CompA'!K3805,'[2]Annex 4 template - CompA'!K3811)</f>
        <v>229544.87463292383</v>
      </c>
      <c r="L25" s="61">
        <f>SUM('[2]Annex 4 template - CompA'!L3774,'[2]Annex 4 template - CompA'!L3766,'[2]Annex 4 template - CompA'!L3780,'[2]Annex 4 template - CompA'!L3787,'[2]Annex 4 template - CompA'!L3805,'[2]Annex 4 template - CompA'!L3811)</f>
        <v>228151.96520089539</v>
      </c>
      <c r="M25" s="61">
        <f>SUM('[2]Annex 4 template - CompA'!M3774,'[2]Annex 4 template - CompA'!M3766,'[2]Annex 4 template - CompA'!M3780,'[2]Annex 4 template - CompA'!M3787,'[2]Annex 4 template - CompA'!M3805,'[2]Annex 4 template - CompA'!M3811)</f>
        <v>241347.61246481666</v>
      </c>
      <c r="N25" s="61">
        <f>SUM('[2]Annex 4 template - CompA'!N3774,'[2]Annex 4 template - CompA'!N3766,'[2]Annex 4 template - CompA'!N3780,'[2]Annex 4 template - CompA'!N3787,'[2]Annex 4 template - CompA'!N3805,'[2]Annex 4 template - CompA'!N3811)</f>
        <v>46892.571049844992</v>
      </c>
      <c r="O25" s="61">
        <f>SUM('[2]Annex 4 template - CompA'!O3774,'[2]Annex 4 template - CompA'!O3766,'[2]Annex 4 template - CompA'!O3780,'[2]Annex 4 template - CompA'!O3787,'[2]Annex 4 template - CompA'!O3805,'[2]Annex 4 template - CompA'!O3811)</f>
        <v>0</v>
      </c>
      <c r="P25" s="61">
        <f t="shared" ref="P25:P28" si="7">SUM(H25:O25)</f>
        <v>1073565.7305085519</v>
      </c>
      <c r="Q25" s="63">
        <f t="shared" si="1"/>
        <v>0</v>
      </c>
      <c r="R25" s="63">
        <f t="shared" si="2"/>
        <v>0</v>
      </c>
    </row>
    <row r="26" spans="2:19" ht="26.5" customHeight="1" x14ac:dyDescent="0.2">
      <c r="B26" s="60" t="str">
        <f>'[2]Annex 4 template - CompA'!C3821</f>
        <v xml:space="preserve">1.3b. Provide communities with basic equipment to apply post-harvest methods, including practical options for cold storage where appropriate.  </v>
      </c>
      <c r="C26" s="61">
        <f>SUM('[2]Annex 4 template - CompA'!D3822:D3837)</f>
        <v>1432725.760082612</v>
      </c>
      <c r="D26" s="62">
        <f>SUM('[2]Annex 4 template - CompA'!D3822,'[2]Annex 4 template - CompA'!D3830)</f>
        <v>1432725.760082612</v>
      </c>
      <c r="E26" s="61">
        <f>SUM('[2]Annex 4 template - CompA'!E3822,'[2]Annex 4 template - CompA'!E3830)</f>
        <v>0</v>
      </c>
      <c r="F26" s="61">
        <f>SUM('[2]Annex 4 template - CompA'!F3822,'[2]Annex 4 template - CompA'!F3830)</f>
        <v>0</v>
      </c>
      <c r="G26" s="61">
        <f>SUM('[2]Annex 4 template - CompA'!G3822,'[2]Annex 4 template - CompA'!G3830)</f>
        <v>0</v>
      </c>
      <c r="H26" s="61">
        <f>SUM('[2]Annex 4 template - CompA'!H3822,'[2]Annex 4 template - CompA'!H3830)</f>
        <v>0</v>
      </c>
      <c r="I26" s="61">
        <f>SUM('[2]Annex 4 template - CompA'!I3822,'[2]Annex 4 template - CompA'!I3830)</f>
        <v>159661.83802657833</v>
      </c>
      <c r="J26" s="61">
        <f>SUM('[2]Annex 4 template - CompA'!J3822,'[2]Annex 4 template - CompA'!J3830)</f>
        <v>390778.38397724275</v>
      </c>
      <c r="K26" s="61">
        <f>SUM('[2]Annex 4 template - CompA'!K3822,'[2]Annex 4 template - CompA'!K3830)</f>
        <v>394516.10389073635</v>
      </c>
      <c r="L26" s="61">
        <f>SUM('[2]Annex 4 template - CompA'!L3822,'[2]Annex 4 template - CompA'!L3830)</f>
        <v>280754.00648800476</v>
      </c>
      <c r="M26" s="61">
        <f>SUM('[2]Annex 4 template - CompA'!M3822,'[2]Annex 4 template - CompA'!M3830)</f>
        <v>167022.85665020486</v>
      </c>
      <c r="N26" s="61">
        <f>SUM('[2]Annex 4 template - CompA'!N3822,'[2]Annex 4 template - CompA'!N3830)</f>
        <v>39992.571049844992</v>
      </c>
      <c r="O26" s="61">
        <f>SUM('[2]Annex 4 template - CompA'!O3822,'[2]Annex 4 template - CompA'!O3830)</f>
        <v>0</v>
      </c>
      <c r="P26" s="61">
        <f t="shared" si="7"/>
        <v>1432725.760082612</v>
      </c>
      <c r="Q26" s="63">
        <f t="shared" si="1"/>
        <v>0</v>
      </c>
      <c r="R26" s="63">
        <f t="shared" si="2"/>
        <v>0</v>
      </c>
    </row>
    <row r="27" spans="2:19" ht="26.5" customHeight="1" x14ac:dyDescent="0.2">
      <c r="B27" s="60" t="str">
        <f>'[2]Annex 4 template - CompA'!C3842</f>
        <v>1.3c. Identify and promote market opportunities for FAD-caught fish for small- and medium-scale enterprises (SMEs).</v>
      </c>
      <c r="C27" s="61">
        <f>SUM('[2]Annex 4 template - CompA'!D3843:D3855)</f>
        <v>150000</v>
      </c>
      <c r="D27" s="62">
        <f>'[2]Annex 4 template - CompA'!D3846</f>
        <v>150000</v>
      </c>
      <c r="E27" s="61">
        <f>'[2]Annex 4 template - CompA'!E3846</f>
        <v>0</v>
      </c>
      <c r="F27" s="61">
        <f>'[2]Annex 4 template - CompA'!F3846</f>
        <v>0</v>
      </c>
      <c r="G27" s="61">
        <f>'[2]Annex 4 template - CompA'!G3846</f>
        <v>0</v>
      </c>
      <c r="H27" s="61">
        <f>'[2]Annex 4 template - CompA'!H3846</f>
        <v>0</v>
      </c>
      <c r="I27" s="61">
        <f>'[2]Annex 4 template - CompA'!I3846</f>
        <v>0</v>
      </c>
      <c r="J27" s="61">
        <f>'[2]Annex 4 template - CompA'!J3846</f>
        <v>25000</v>
      </c>
      <c r="K27" s="61">
        <f>'[2]Annex 4 template - CompA'!K3846</f>
        <v>25000</v>
      </c>
      <c r="L27" s="61">
        <f>'[2]Annex 4 template - CompA'!L3846</f>
        <v>50000</v>
      </c>
      <c r="M27" s="61">
        <f>'[2]Annex 4 template - CompA'!M3846</f>
        <v>50000</v>
      </c>
      <c r="N27" s="61">
        <f>'[2]Annex 4 template - CompA'!N3846</f>
        <v>0</v>
      </c>
      <c r="O27" s="61">
        <f>'[2]Annex 4 template - CompA'!O3846</f>
        <v>0</v>
      </c>
      <c r="P27" s="61">
        <f t="shared" si="7"/>
        <v>150000</v>
      </c>
      <c r="Q27" s="63">
        <f t="shared" si="1"/>
        <v>0</v>
      </c>
      <c r="R27" s="63">
        <f t="shared" si="2"/>
        <v>0</v>
      </c>
    </row>
    <row r="28" spans="2:19" ht="30" customHeight="1" x14ac:dyDescent="0.2">
      <c r="B28" s="60" t="str">
        <f>'[2]Annex 4 template - CompA'!C3860</f>
        <v>1.3d. Conduct communication campaigns to raise community awareness about climate change impacts on reef fish and the need to consume more tuna.</v>
      </c>
      <c r="C28" s="61">
        <f>SUM('[2]Annex 4 template - CompA'!D3860:D3881)</f>
        <v>1035000</v>
      </c>
      <c r="D28" s="62">
        <f>SUM('[2]Annex 4 template - CompA'!D3869,)</f>
        <v>1035000</v>
      </c>
      <c r="E28" s="61">
        <f>SUM('[2]Annex 4 template - CompA'!E3869,)</f>
        <v>0</v>
      </c>
      <c r="F28" s="61">
        <f>SUM('[2]Annex 4 template - CompA'!F3869,)</f>
        <v>0</v>
      </c>
      <c r="G28" s="61">
        <f>SUM('[2]Annex 4 template - CompA'!G3869,)</f>
        <v>0</v>
      </c>
      <c r="H28" s="61">
        <f>SUM('[2]Annex 4 template - CompA'!H3869,)</f>
        <v>0</v>
      </c>
      <c r="I28" s="61">
        <f>SUM('[2]Annex 4 template - CompA'!I3869,)</f>
        <v>172500</v>
      </c>
      <c r="J28" s="61">
        <f>SUM('[2]Annex 4 template - CompA'!J3869,)</f>
        <v>172500</v>
      </c>
      <c r="K28" s="61">
        <f>SUM('[2]Annex 4 template - CompA'!K3869,)</f>
        <v>172500</v>
      </c>
      <c r="L28" s="61">
        <f>SUM('[2]Annex 4 template - CompA'!L3869,)</f>
        <v>172500</v>
      </c>
      <c r="M28" s="61">
        <f>SUM('[2]Annex 4 template - CompA'!M3869,)</f>
        <v>172500</v>
      </c>
      <c r="N28" s="61">
        <f>SUM('[2]Annex 4 template - CompA'!N3869,)</f>
        <v>172500</v>
      </c>
      <c r="O28" s="61">
        <f>SUM('[2]Annex 4 template - CompA'!O3869,)</f>
        <v>0</v>
      </c>
      <c r="P28" s="61">
        <f t="shared" si="7"/>
        <v>1035000</v>
      </c>
      <c r="Q28" s="63">
        <f t="shared" si="1"/>
        <v>0</v>
      </c>
      <c r="R28" s="63">
        <f t="shared" si="2"/>
        <v>0</v>
      </c>
    </row>
    <row r="29" spans="2:19" ht="21" customHeight="1" x14ac:dyDescent="0.2">
      <c r="B29" s="65" t="s">
        <v>133</v>
      </c>
      <c r="C29" s="66">
        <f>SUM(C25:C28)</f>
        <v>3691291.4905911637</v>
      </c>
      <c r="D29" s="66">
        <f>SUM(D25:D28)</f>
        <v>3691291.4905911637</v>
      </c>
      <c r="E29" s="66">
        <f t="shared" ref="E29:G29" si="8">SUM(E25:E28)</f>
        <v>0</v>
      </c>
      <c r="F29" s="66">
        <f t="shared" si="8"/>
        <v>0</v>
      </c>
      <c r="G29" s="66">
        <f t="shared" si="8"/>
        <v>0</v>
      </c>
      <c r="H29" s="66">
        <f>SUM(H25:H28)</f>
        <v>0</v>
      </c>
      <c r="I29" s="66">
        <f t="shared" ref="I29:P29" si="9">SUM(I25:I28)</f>
        <v>470167.68855315668</v>
      </c>
      <c r="J29" s="66">
        <f t="shared" si="9"/>
        <v>777901.24061073549</v>
      </c>
      <c r="K29" s="66">
        <f t="shared" si="9"/>
        <v>821560.97852366022</v>
      </c>
      <c r="L29" s="66">
        <f t="shared" si="9"/>
        <v>731405.97168890014</v>
      </c>
      <c r="M29" s="66">
        <f t="shared" si="9"/>
        <v>630870.46911502152</v>
      </c>
      <c r="N29" s="66">
        <f t="shared" si="9"/>
        <v>259385.14209968998</v>
      </c>
      <c r="O29" s="66">
        <f t="shared" si="9"/>
        <v>0</v>
      </c>
      <c r="P29" s="66">
        <f t="shared" si="9"/>
        <v>3691291.4905911637</v>
      </c>
      <c r="Q29" s="63">
        <f t="shared" si="1"/>
        <v>0</v>
      </c>
      <c r="R29" s="63">
        <f t="shared" si="2"/>
        <v>0</v>
      </c>
    </row>
    <row r="30" spans="2:19" ht="21" customHeight="1" x14ac:dyDescent="0.2">
      <c r="B30" s="68" t="s">
        <v>134</v>
      </c>
      <c r="C30" s="69">
        <f>'[2]Annex 4 template - CompA'!D3883</f>
        <v>40039400.660529718</v>
      </c>
      <c r="D30" s="69">
        <f>SUM(D29,D23,D17)</f>
        <v>40039400.660529695</v>
      </c>
      <c r="E30" s="69">
        <f t="shared" ref="E30:O30" si="10">SUM(E29,E23,E17)</f>
        <v>0</v>
      </c>
      <c r="F30" s="69">
        <f t="shared" si="10"/>
        <v>0</v>
      </c>
      <c r="G30" s="69">
        <f t="shared" si="10"/>
        <v>0</v>
      </c>
      <c r="H30" s="69">
        <f t="shared" si="10"/>
        <v>1478982.69315919</v>
      </c>
      <c r="I30" s="69">
        <f t="shared" si="10"/>
        <v>10523591.774422538</v>
      </c>
      <c r="J30" s="69">
        <f t="shared" si="10"/>
        <v>8221120.97059674</v>
      </c>
      <c r="K30" s="69">
        <f t="shared" si="10"/>
        <v>8466859.260497788</v>
      </c>
      <c r="L30" s="69">
        <f t="shared" si="10"/>
        <v>5383962.0806259727</v>
      </c>
      <c r="M30" s="69">
        <f t="shared" si="10"/>
        <v>3874584.9719664627</v>
      </c>
      <c r="N30" s="69">
        <f t="shared" si="10"/>
        <v>1898315.8352488994</v>
      </c>
      <c r="O30" s="69">
        <f t="shared" si="10"/>
        <v>191983.07401210169</v>
      </c>
      <c r="P30" s="69">
        <f>SUM(P29,P23,P17)</f>
        <v>40039400.660529695</v>
      </c>
      <c r="Q30" s="70">
        <f>C30-D30</f>
        <v>0</v>
      </c>
      <c r="R30" s="63">
        <f t="shared" si="2"/>
        <v>0</v>
      </c>
    </row>
    <row r="31" spans="2:19" ht="18.5" customHeight="1" x14ac:dyDescent="0.2">
      <c r="B31" s="67" t="s">
        <v>135</v>
      </c>
      <c r="C31" s="71"/>
      <c r="D31" s="71"/>
      <c r="E31" s="71"/>
      <c r="F31" s="71"/>
      <c r="G31" s="71"/>
      <c r="H31" s="71"/>
      <c r="I31" s="71"/>
      <c r="J31" s="71"/>
      <c r="K31" s="71"/>
      <c r="L31" s="71"/>
      <c r="M31" s="71"/>
      <c r="N31" s="71"/>
      <c r="O31" s="71"/>
      <c r="P31" s="71"/>
      <c r="Q31" s="63"/>
      <c r="R31" s="63">
        <f t="shared" si="2"/>
        <v>0</v>
      </c>
    </row>
    <row r="32" spans="2:19" ht="29" customHeight="1" x14ac:dyDescent="0.2">
      <c r="B32" s="67" t="str">
        <f>'[2]Annex 4 template - CompA'!C3889</f>
        <v>Activity 2.1: Implement strategies to deliver more transshipped and unloaded bycatch and tuna to urban/peri-urban communities</v>
      </c>
      <c r="C32" s="71"/>
      <c r="D32" s="61"/>
      <c r="E32" s="61"/>
      <c r="F32" s="61"/>
      <c r="G32" s="61"/>
      <c r="H32" s="61"/>
      <c r="I32" s="61"/>
      <c r="J32" s="61"/>
      <c r="K32" s="61"/>
      <c r="L32" s="61"/>
      <c r="M32" s="61"/>
      <c r="N32" s="61"/>
      <c r="O32" s="61"/>
      <c r="P32" s="61"/>
      <c r="Q32" s="63">
        <f t="shared" si="1"/>
        <v>0</v>
      </c>
      <c r="R32" s="63">
        <f t="shared" si="2"/>
        <v>0</v>
      </c>
    </row>
    <row r="33" spans="2:18" ht="32.5" customHeight="1" x14ac:dyDescent="0.2">
      <c r="B33" s="60" t="str">
        <f>'[2]Annex 4 template - CompA'!C3891</f>
        <v xml:space="preserve">2.1a. Assess the supply of bycatch and tuna available for offloading at each transhipping and unloading port. </v>
      </c>
      <c r="C33" s="71">
        <f>SUM('[2]Annex 4 template - CompA'!D3891:D4061)</f>
        <v>2053933.4970981493</v>
      </c>
      <c r="D33" s="61">
        <f>SUM('[2]Annex 4 template - CompA'!D3893,'[2]Annex 4 template - CompA'!D3899,'[2]Annex 4 template - CompA'!D3913,'[2]Annex 4 template - CompA'!D3919,'[2]Annex 4 template - CompA'!D3925,'[2]Annex 4 template - CompA'!D3933,'[2]Annex 4 template - CompA'!D3939,'[2]Annex 4 template - CompA'!D3945,'[2]Annex 4 template - CompA'!D3951,'[2]Annex 4 template - CompA'!D3958,'[2]Annex 4 template - CompA'!D3964,'[2]Annex 4 template - CompA'!D3970,'[2]Annex 4 template - CompA'!D3977,'[2]Annex 4 template - CompA'!D3983,'[2]Annex 4 template - CompA'!D3993,'[2]Annex 4 template - CompA'!D3999,'[2]Annex 4 template - CompA'!D4008,'[2]Annex 4 template - CompA'!D4026,'[2]Annex 4 template - CompA'!D4033,'[2]Annex 4 template - CompA'!D4040,'[2]Annex 4 template - CompA'!D4047,'[2]Annex 4 template - CompA'!D4054)</f>
        <v>2053933.4970981493</v>
      </c>
      <c r="E33" s="61">
        <f>SUM('[2]Annex 4 template - CompA'!E3893,'[2]Annex 4 template - CompA'!E3899,'[2]Annex 4 template - CompA'!E3913,'[2]Annex 4 template - CompA'!E3919,'[2]Annex 4 template - CompA'!E3925,'[2]Annex 4 template - CompA'!E3933,'[2]Annex 4 template - CompA'!E3939,'[2]Annex 4 template - CompA'!E3945,'[2]Annex 4 template - CompA'!E3951,'[2]Annex 4 template - CompA'!E3958,'[2]Annex 4 template - CompA'!E3964,'[2]Annex 4 template - CompA'!E3970,'[2]Annex 4 template - CompA'!E3977,'[2]Annex 4 template - CompA'!E3983,'[2]Annex 4 template - CompA'!E3993,'[2]Annex 4 template - CompA'!E3999,'[2]Annex 4 template - CompA'!E4008,'[2]Annex 4 template - CompA'!E4026,'[2]Annex 4 template - CompA'!E4033,'[2]Annex 4 template - CompA'!E4040,'[2]Annex 4 template - CompA'!E4047,'[2]Annex 4 template - CompA'!E4054)</f>
        <v>0</v>
      </c>
      <c r="F33" s="61">
        <f>SUM('[2]Annex 4 template - CompA'!F3893,'[2]Annex 4 template - CompA'!F3899,'[2]Annex 4 template - CompA'!F3913,'[2]Annex 4 template - CompA'!F3919,'[2]Annex 4 template - CompA'!F3925,'[2]Annex 4 template - CompA'!F3933,'[2]Annex 4 template - CompA'!F3939,'[2]Annex 4 template - CompA'!F3945,'[2]Annex 4 template - CompA'!F3951,'[2]Annex 4 template - CompA'!F3958,'[2]Annex 4 template - CompA'!F3964,'[2]Annex 4 template - CompA'!F3970,'[2]Annex 4 template - CompA'!F3977,'[2]Annex 4 template - CompA'!F3983,'[2]Annex 4 template - CompA'!F3993,'[2]Annex 4 template - CompA'!F3999,'[2]Annex 4 template - CompA'!F4008,'[2]Annex 4 template - CompA'!F4026,'[2]Annex 4 template - CompA'!F4033,'[2]Annex 4 template - CompA'!F4040,'[2]Annex 4 template - CompA'!F4047,'[2]Annex 4 template - CompA'!F4054)</f>
        <v>0</v>
      </c>
      <c r="G33" s="61">
        <f>SUM('[2]Annex 4 template - CompA'!G3893,'[2]Annex 4 template - CompA'!G3899,'[2]Annex 4 template - CompA'!G3913,'[2]Annex 4 template - CompA'!G3919,'[2]Annex 4 template - CompA'!G3925,'[2]Annex 4 template - CompA'!G3933,'[2]Annex 4 template - CompA'!G3939,'[2]Annex 4 template - CompA'!G3945,'[2]Annex 4 template - CompA'!G3951,'[2]Annex 4 template - CompA'!G3958,'[2]Annex 4 template - CompA'!G3964,'[2]Annex 4 template - CompA'!G3970,'[2]Annex 4 template - CompA'!G3977,'[2]Annex 4 template - CompA'!G3983,'[2]Annex 4 template - CompA'!G3993,'[2]Annex 4 template - CompA'!G3999,'[2]Annex 4 template - CompA'!G4008,'[2]Annex 4 template - CompA'!G4026,'[2]Annex 4 template - CompA'!G4033,'[2]Annex 4 template - CompA'!G4040,'[2]Annex 4 template - CompA'!G4047,'[2]Annex 4 template - CompA'!G4054)</f>
        <v>0</v>
      </c>
      <c r="H33" s="61">
        <f>SUM('[2]Annex 4 template - CompA'!H3893,'[2]Annex 4 template - CompA'!H3899,'[2]Annex 4 template - CompA'!H3913,'[2]Annex 4 template - CompA'!H3919,'[2]Annex 4 template - CompA'!H3925,'[2]Annex 4 template - CompA'!H3933,'[2]Annex 4 template - CompA'!H3939,'[2]Annex 4 template - CompA'!H3945,'[2]Annex 4 template - CompA'!H3951,'[2]Annex 4 template - CompA'!H3958,'[2]Annex 4 template - CompA'!H3964,'[2]Annex 4 template - CompA'!H3970,'[2]Annex 4 template - CompA'!H3977,'[2]Annex 4 template - CompA'!H3983,'[2]Annex 4 template - CompA'!H3993,'[2]Annex 4 template - CompA'!H3999,'[2]Annex 4 template - CompA'!H4008,'[2]Annex 4 template - CompA'!H4026,'[2]Annex 4 template - CompA'!H4033,'[2]Annex 4 template - CompA'!H4040,'[2]Annex 4 template - CompA'!H4047,'[2]Annex 4 template - CompA'!H4054)</f>
        <v>242093.07063938573</v>
      </c>
      <c r="I33" s="61">
        <f>SUM('[2]Annex 4 template - CompA'!I3893,'[2]Annex 4 template - CompA'!I3899,'[2]Annex 4 template - CompA'!I3913,'[2]Annex 4 template - CompA'!I3919,'[2]Annex 4 template - CompA'!I3925,'[2]Annex 4 template - CompA'!I3933,'[2]Annex 4 template - CompA'!I3939,'[2]Annex 4 template - CompA'!I3945,'[2]Annex 4 template - CompA'!I3951,'[2]Annex 4 template - CompA'!I3958,'[2]Annex 4 template - CompA'!I3964,'[2]Annex 4 template - CompA'!I3970,'[2]Annex 4 template - CompA'!I3977,'[2]Annex 4 template - CompA'!I3983,'[2]Annex 4 template - CompA'!I3993,'[2]Annex 4 template - CompA'!I3999,'[2]Annex 4 template - CompA'!I4008,'[2]Annex 4 template - CompA'!I4026,'[2]Annex 4 template - CompA'!I4033,'[2]Annex 4 template - CompA'!I4040,'[2]Annex 4 template - CompA'!I4047,'[2]Annex 4 template - CompA'!I4054)</f>
        <v>756382.22849993699</v>
      </c>
      <c r="J33" s="61">
        <f>SUM('[2]Annex 4 template - CompA'!J3893,'[2]Annex 4 template - CompA'!J3899,'[2]Annex 4 template - CompA'!J3913,'[2]Annex 4 template - CompA'!J3919,'[2]Annex 4 template - CompA'!J3925,'[2]Annex 4 template - CompA'!J3933,'[2]Annex 4 template - CompA'!J3939,'[2]Annex 4 template - CompA'!J3945,'[2]Annex 4 template - CompA'!J3951,'[2]Annex 4 template - CompA'!J3958,'[2]Annex 4 template - CompA'!J3964,'[2]Annex 4 template - CompA'!J3970,'[2]Annex 4 template - CompA'!J3977,'[2]Annex 4 template - CompA'!J3983,'[2]Annex 4 template - CompA'!J3993,'[2]Annex 4 template - CompA'!J3999,'[2]Annex 4 template - CompA'!J4008,'[2]Annex 4 template - CompA'!J4026,'[2]Annex 4 template - CompA'!J4033,'[2]Annex 4 template - CompA'!J4040,'[2]Annex 4 template - CompA'!J4047,'[2]Annex 4 template - CompA'!J4054)</f>
        <v>285777.39801254024</v>
      </c>
      <c r="K33" s="61">
        <f>SUM('[2]Annex 4 template - CompA'!K3893,'[2]Annex 4 template - CompA'!K3899,'[2]Annex 4 template - CompA'!K3913,'[2]Annex 4 template - CompA'!K3919,'[2]Annex 4 template - CompA'!K3925,'[2]Annex 4 template - CompA'!K3933,'[2]Annex 4 template - CompA'!K3939,'[2]Annex 4 template - CompA'!K3945,'[2]Annex 4 template - CompA'!K3951,'[2]Annex 4 template - CompA'!K3958,'[2]Annex 4 template - CompA'!K3964,'[2]Annex 4 template - CompA'!K3970,'[2]Annex 4 template - CompA'!K3977,'[2]Annex 4 template - CompA'!K3983,'[2]Annex 4 template - CompA'!K3993,'[2]Annex 4 template - CompA'!K3999,'[2]Annex 4 template - CompA'!K4008,'[2]Annex 4 template - CompA'!K4026,'[2]Annex 4 template - CompA'!K4033,'[2]Annex 4 template - CompA'!K4040,'[2]Annex 4 template - CompA'!K4047,'[2]Annex 4 template - CompA'!K4054)</f>
        <v>192277.80021373852</v>
      </c>
      <c r="L33" s="61">
        <f>SUM('[2]Annex 4 template - CompA'!L3893,'[2]Annex 4 template - CompA'!L3899,'[2]Annex 4 template - CompA'!L3913,'[2]Annex 4 template - CompA'!L3919,'[2]Annex 4 template - CompA'!L3925,'[2]Annex 4 template - CompA'!L3933,'[2]Annex 4 template - CompA'!L3939,'[2]Annex 4 template - CompA'!L3945,'[2]Annex 4 template - CompA'!L3951,'[2]Annex 4 template - CompA'!L3958,'[2]Annex 4 template - CompA'!L3964,'[2]Annex 4 template - CompA'!L3970,'[2]Annex 4 template - CompA'!L3977,'[2]Annex 4 template - CompA'!L3983,'[2]Annex 4 template - CompA'!L3993,'[2]Annex 4 template - CompA'!L3999,'[2]Annex 4 template - CompA'!L4008,'[2]Annex 4 template - CompA'!L4026,'[2]Annex 4 template - CompA'!L4033,'[2]Annex 4 template - CompA'!L4040,'[2]Annex 4 template - CompA'!L4047,'[2]Annex 4 template - CompA'!L4054)</f>
        <v>188367.89207365247</v>
      </c>
      <c r="M33" s="61">
        <f>SUM('[2]Annex 4 template - CompA'!M3893,'[2]Annex 4 template - CompA'!M3899,'[2]Annex 4 template - CompA'!M3913,'[2]Annex 4 template - CompA'!M3919,'[2]Annex 4 template - CompA'!M3925,'[2]Annex 4 template - CompA'!M3933,'[2]Annex 4 template - CompA'!M3939,'[2]Annex 4 template - CompA'!M3945,'[2]Annex 4 template - CompA'!M3951,'[2]Annex 4 template - CompA'!M3958,'[2]Annex 4 template - CompA'!M3964,'[2]Annex 4 template - CompA'!M3970,'[2]Annex 4 template - CompA'!M3977,'[2]Annex 4 template - CompA'!M3983,'[2]Annex 4 template - CompA'!M3993,'[2]Annex 4 template - CompA'!M3999,'[2]Annex 4 template - CompA'!M4008,'[2]Annex 4 template - CompA'!M4026,'[2]Annex 4 template - CompA'!M4033,'[2]Annex 4 template - CompA'!M4040,'[2]Annex 4 template - CompA'!M4047,'[2]Annex 4 template - CompA'!M4054)</f>
        <v>192324.31509659562</v>
      </c>
      <c r="N33" s="61">
        <f>SUM('[2]Annex 4 template - CompA'!N3893,'[2]Annex 4 template - CompA'!N3899,'[2]Annex 4 template - CompA'!N3913,'[2]Annex 4 template - CompA'!N3919,'[2]Annex 4 template - CompA'!N3925,'[2]Annex 4 template - CompA'!N3933,'[2]Annex 4 template - CompA'!N3939,'[2]Annex 4 template - CompA'!N3945,'[2]Annex 4 template - CompA'!N3951,'[2]Annex 4 template - CompA'!N3958,'[2]Annex 4 template - CompA'!N3964,'[2]Annex 4 template - CompA'!N3970,'[2]Annex 4 template - CompA'!N3977,'[2]Annex 4 template - CompA'!N3983,'[2]Annex 4 template - CompA'!N3993,'[2]Annex 4 template - CompA'!N3999,'[2]Annex 4 template - CompA'!N4008,'[2]Annex 4 template - CompA'!N4026,'[2]Annex 4 template - CompA'!N4033,'[2]Annex 4 template - CompA'!N4040,'[2]Annex 4 template - CompA'!N4047,'[2]Annex 4 template - CompA'!N4054)</f>
        <v>196710.79256229982</v>
      </c>
      <c r="O33" s="61">
        <f>SUM('[2]Annex 4 template - CompA'!O3893,'[2]Annex 4 template - CompA'!O3899,'[2]Annex 4 template - CompA'!O3913,'[2]Annex 4 template - CompA'!O3919,'[2]Annex 4 template - CompA'!O3925,'[2]Annex 4 template - CompA'!O3933,'[2]Annex 4 template - CompA'!O3939,'[2]Annex 4 template - CompA'!O3945,'[2]Annex 4 template - CompA'!O3951,'[2]Annex 4 template - CompA'!O3958,'[2]Annex 4 template - CompA'!O3964,'[2]Annex 4 template - CompA'!O3970,'[2]Annex 4 template - CompA'!O3977,'[2]Annex 4 template - CompA'!O3983,'[2]Annex 4 template - CompA'!O3993,'[2]Annex 4 template - CompA'!O3999,'[2]Annex 4 template - CompA'!O4008,'[2]Annex 4 template - CompA'!O4026,'[2]Annex 4 template - CompA'!O4033,'[2]Annex 4 template - CompA'!O4040,'[2]Annex 4 template - CompA'!O4047,'[2]Annex 4 template - CompA'!O4054)</f>
        <v>0</v>
      </c>
      <c r="P33" s="61">
        <f t="shared" ref="P33:P43" si="11">SUM(H33:O33)</f>
        <v>2053933.4970981495</v>
      </c>
      <c r="Q33" s="63">
        <f t="shared" si="1"/>
        <v>0</v>
      </c>
      <c r="R33" s="63">
        <f t="shared" si="2"/>
        <v>0</v>
      </c>
    </row>
    <row r="34" spans="2:18" ht="13.25" customHeight="1" x14ac:dyDescent="0.2">
      <c r="B34" s="72" t="str">
        <f>'[2]Annex 4 template - CompA'!C4065</f>
        <v xml:space="preserve">
2.1b Assess the projected shortfalls in the supply of fish needed for the food security of urban and peri-urban communities by 2030 and in following decades.</v>
      </c>
      <c r="C34" s="71">
        <f>SUM('[2]Annex 4 template - CompA'!D4065:D4185)</f>
        <v>1434741.9736079262</v>
      </c>
      <c r="D34" s="61">
        <f>SUM('[2]Annex 4 template - CompA'!D4067,'[2]Annex 4 template - CompA'!D4076,'[2]Annex 4 template - CompA'!D4082,'[2]Annex 4 template - CompA'!D4087,'[2]Annex 4 template - CompA'!D4092,'[2]Annex 4 template - CompA'!D4097,'[2]Annex 4 template - CompA'!D4102,'[2]Annex 4 template - CompA'!D4107,'[2]Annex 4 template - CompA'!D4112,'[2]Annex 4 template - CompA'!D4117,'[2]Annex 4 template - CompA'!D4122,'[2]Annex 4 template - CompA'!D4127,'[2]Annex 4 template - CompA'!D4132,'[2]Annex 4 template - CompA'!D4137,'[2]Annex 4 template - CompA'!D4142,'[2]Annex 4 template - CompA'!D4147,'[2]Annex 4 template - CompA'!D4162,'[2]Annex 4 template - CompA'!D4168,'[2]Annex 4 template - CompA'!D4175,'[2]Annex 4 template - CompA'!D4181,)</f>
        <v>1434741.9736079262</v>
      </c>
      <c r="E34" s="61">
        <f>SUM('[2]Annex 4 template - CompA'!E4067,'[2]Annex 4 template - CompA'!E4076,'[2]Annex 4 template - CompA'!E4082,'[2]Annex 4 template - CompA'!E4087,'[2]Annex 4 template - CompA'!E4092,'[2]Annex 4 template - CompA'!E4097,'[2]Annex 4 template - CompA'!E4102,'[2]Annex 4 template - CompA'!E4107,'[2]Annex 4 template - CompA'!E4112,'[2]Annex 4 template - CompA'!E4117,'[2]Annex 4 template - CompA'!E4122,'[2]Annex 4 template - CompA'!E4127,'[2]Annex 4 template - CompA'!E4132,'[2]Annex 4 template - CompA'!E4137,'[2]Annex 4 template - CompA'!E4142,'[2]Annex 4 template - CompA'!E4147,'[2]Annex 4 template - CompA'!E4162,'[2]Annex 4 template - CompA'!E4168,'[2]Annex 4 template - CompA'!E4175,'[2]Annex 4 template - CompA'!E4181,)</f>
        <v>0</v>
      </c>
      <c r="F34" s="61">
        <f>SUM('[2]Annex 4 template - CompA'!F4067,'[2]Annex 4 template - CompA'!F4076,'[2]Annex 4 template - CompA'!F4082,'[2]Annex 4 template - CompA'!F4087,'[2]Annex 4 template - CompA'!F4092,'[2]Annex 4 template - CompA'!F4097,'[2]Annex 4 template - CompA'!F4102,'[2]Annex 4 template - CompA'!F4107,'[2]Annex 4 template - CompA'!F4112,'[2]Annex 4 template - CompA'!F4117,'[2]Annex 4 template - CompA'!F4122,'[2]Annex 4 template - CompA'!F4127,'[2]Annex 4 template - CompA'!F4132,'[2]Annex 4 template - CompA'!F4137,'[2]Annex 4 template - CompA'!F4142,'[2]Annex 4 template - CompA'!F4147,'[2]Annex 4 template - CompA'!F4162,'[2]Annex 4 template - CompA'!F4168,'[2]Annex 4 template - CompA'!F4175,'[2]Annex 4 template - CompA'!F4181,)</f>
        <v>0</v>
      </c>
      <c r="G34" s="61">
        <f>SUM('[2]Annex 4 template - CompA'!G4067,'[2]Annex 4 template - CompA'!G4076,'[2]Annex 4 template - CompA'!G4082,'[2]Annex 4 template - CompA'!G4087,'[2]Annex 4 template - CompA'!G4092,'[2]Annex 4 template - CompA'!G4097,'[2]Annex 4 template - CompA'!G4102,'[2]Annex 4 template - CompA'!G4107,'[2]Annex 4 template - CompA'!G4112,'[2]Annex 4 template - CompA'!G4117,'[2]Annex 4 template - CompA'!G4122,'[2]Annex 4 template - CompA'!G4127,'[2]Annex 4 template - CompA'!G4132,'[2]Annex 4 template - CompA'!G4137,'[2]Annex 4 template - CompA'!G4142,'[2]Annex 4 template - CompA'!G4147,'[2]Annex 4 template - CompA'!G4162,'[2]Annex 4 template - CompA'!G4168,'[2]Annex 4 template - CompA'!G4175,'[2]Annex 4 template - CompA'!G4181,)</f>
        <v>0</v>
      </c>
      <c r="H34" s="61">
        <f>SUM('[2]Annex 4 template - CompA'!H4067,'[2]Annex 4 template - CompA'!H4076,'[2]Annex 4 template - CompA'!H4082,'[2]Annex 4 template - CompA'!H4087,'[2]Annex 4 template - CompA'!H4092,'[2]Annex 4 template - CompA'!H4097,'[2]Annex 4 template - CompA'!H4102,'[2]Annex 4 template - CompA'!H4107,'[2]Annex 4 template - CompA'!H4112,'[2]Annex 4 template - CompA'!H4117,'[2]Annex 4 template - CompA'!H4122,'[2]Annex 4 template - CompA'!H4127,'[2]Annex 4 template - CompA'!H4132,'[2]Annex 4 template - CompA'!H4137,'[2]Annex 4 template - CompA'!H4142,'[2]Annex 4 template - CompA'!H4147,'[2]Annex 4 template - CompA'!H4162,'[2]Annex 4 template - CompA'!H4168,'[2]Annex 4 template - CompA'!H4175,'[2]Annex 4 template - CompA'!H4181,)</f>
        <v>58362.5</v>
      </c>
      <c r="I34" s="61">
        <f>SUM('[2]Annex 4 template - CompA'!I4067,'[2]Annex 4 template - CompA'!I4076,'[2]Annex 4 template - CompA'!I4082,'[2]Annex 4 template - CompA'!I4087,'[2]Annex 4 template - CompA'!I4092,'[2]Annex 4 template - CompA'!I4097,'[2]Annex 4 template - CompA'!I4102,'[2]Annex 4 template - CompA'!I4107,'[2]Annex 4 template - CompA'!I4112,'[2]Annex 4 template - CompA'!I4117,'[2]Annex 4 template - CompA'!I4122,'[2]Annex 4 template - CompA'!I4127,'[2]Annex 4 template - CompA'!I4132,'[2]Annex 4 template - CompA'!I4137,'[2]Annex 4 template - CompA'!I4142,'[2]Annex 4 template - CompA'!I4147,'[2]Annex 4 template - CompA'!I4162,'[2]Annex 4 template - CompA'!I4168,'[2]Annex 4 template - CompA'!I4175,'[2]Annex 4 template - CompA'!I4181,)</f>
        <v>407141.38253393967</v>
      </c>
      <c r="J34" s="61">
        <f>SUM('[2]Annex 4 template - CompA'!J4067,'[2]Annex 4 template - CompA'!J4076,'[2]Annex 4 template - CompA'!J4082,'[2]Annex 4 template - CompA'!J4087,'[2]Annex 4 template - CompA'!J4092,'[2]Annex 4 template - CompA'!J4097,'[2]Annex 4 template - CompA'!J4102,'[2]Annex 4 template - CompA'!J4107,'[2]Annex 4 template - CompA'!J4112,'[2]Annex 4 template - CompA'!J4117,'[2]Annex 4 template - CompA'!J4122,'[2]Annex 4 template - CompA'!J4127,'[2]Annex 4 template - CompA'!J4132,'[2]Annex 4 template - CompA'!J4137,'[2]Annex 4 template - CompA'!J4142,'[2]Annex 4 template - CompA'!J4147,'[2]Annex 4 template - CompA'!J4162,'[2]Annex 4 template - CompA'!J4168,'[2]Annex 4 template - CompA'!J4175,'[2]Annex 4 template - CompA'!J4181,)</f>
        <v>449985.66709728813</v>
      </c>
      <c r="K34" s="61">
        <f>SUM('[2]Annex 4 template - CompA'!K4067,'[2]Annex 4 template - CompA'!K4076,'[2]Annex 4 template - CompA'!K4082,'[2]Annex 4 template - CompA'!K4087,'[2]Annex 4 template - CompA'!K4092,'[2]Annex 4 template - CompA'!K4097,'[2]Annex 4 template - CompA'!K4102,'[2]Annex 4 template - CompA'!K4107,'[2]Annex 4 template - CompA'!K4112,'[2]Annex 4 template - CompA'!K4117,'[2]Annex 4 template - CompA'!K4122,'[2]Annex 4 template - CompA'!K4127,'[2]Annex 4 template - CompA'!K4132,'[2]Annex 4 template - CompA'!K4137,'[2]Annex 4 template - CompA'!K4142,'[2]Annex 4 template - CompA'!K4147,'[2]Annex 4 template - CompA'!K4162,'[2]Annex 4 template - CompA'!K4168,'[2]Annex 4 template - CompA'!K4175,'[2]Annex 4 template - CompA'!K4181,)</f>
        <v>364135.83110635559</v>
      </c>
      <c r="L34" s="61">
        <f>SUM('[2]Annex 4 template - CompA'!L4067,'[2]Annex 4 template - CompA'!L4076,'[2]Annex 4 template - CompA'!L4082,'[2]Annex 4 template - CompA'!L4087,'[2]Annex 4 template - CompA'!L4092,'[2]Annex 4 template - CompA'!L4097,'[2]Annex 4 template - CompA'!L4102,'[2]Annex 4 template - CompA'!L4107,'[2]Annex 4 template - CompA'!L4112,'[2]Annex 4 template - CompA'!L4117,'[2]Annex 4 template - CompA'!L4122,'[2]Annex 4 template - CompA'!L4127,'[2]Annex 4 template - CompA'!L4132,'[2]Annex 4 template - CompA'!L4137,'[2]Annex 4 template - CompA'!L4142,'[2]Annex 4 template - CompA'!L4147,'[2]Annex 4 template - CompA'!L4162,'[2]Annex 4 template - CompA'!L4168,'[2]Annex 4 template - CompA'!L4175,'[2]Annex 4 template - CompA'!L4181,)</f>
        <v>155116.59287034263</v>
      </c>
      <c r="M34" s="61">
        <f>SUM('[2]Annex 4 template - CompA'!M4067,'[2]Annex 4 template - CompA'!M4076,'[2]Annex 4 template - CompA'!M4082,'[2]Annex 4 template - CompA'!M4087,'[2]Annex 4 template - CompA'!M4092,'[2]Annex 4 template - CompA'!M4097,'[2]Annex 4 template - CompA'!M4102,'[2]Annex 4 template - CompA'!M4107,'[2]Annex 4 template - CompA'!M4112,'[2]Annex 4 template - CompA'!M4117,'[2]Annex 4 template - CompA'!M4122,'[2]Annex 4 template - CompA'!M4127,'[2]Annex 4 template - CompA'!M4132,'[2]Annex 4 template - CompA'!M4137,'[2]Annex 4 template - CompA'!M4142,'[2]Annex 4 template - CompA'!M4147,'[2]Annex 4 template - CompA'!M4162,'[2]Annex 4 template - CompA'!M4168,'[2]Annex 4 template - CompA'!M4175,'[2]Annex 4 template - CompA'!M4181,)</f>
        <v>0</v>
      </c>
      <c r="N34" s="61">
        <f>SUM('[2]Annex 4 template - CompA'!N4067,'[2]Annex 4 template - CompA'!N4076,'[2]Annex 4 template - CompA'!N4082,'[2]Annex 4 template - CompA'!N4087,'[2]Annex 4 template - CompA'!N4092,'[2]Annex 4 template - CompA'!N4097,'[2]Annex 4 template - CompA'!N4102,'[2]Annex 4 template - CompA'!N4107,'[2]Annex 4 template - CompA'!N4112,'[2]Annex 4 template - CompA'!N4117,'[2]Annex 4 template - CompA'!N4122,'[2]Annex 4 template - CompA'!N4127,'[2]Annex 4 template - CompA'!N4132,'[2]Annex 4 template - CompA'!N4137,'[2]Annex 4 template - CompA'!N4142,'[2]Annex 4 template - CompA'!N4147,'[2]Annex 4 template - CompA'!N4162,'[2]Annex 4 template - CompA'!N4168,'[2]Annex 4 template - CompA'!N4175,'[2]Annex 4 template - CompA'!N4181,)</f>
        <v>0</v>
      </c>
      <c r="O34" s="61">
        <f>SUM('[2]Annex 4 template - CompA'!O4067,'[2]Annex 4 template - CompA'!O4076,'[2]Annex 4 template - CompA'!O4082,'[2]Annex 4 template - CompA'!O4087,'[2]Annex 4 template - CompA'!O4092,'[2]Annex 4 template - CompA'!O4097,'[2]Annex 4 template - CompA'!O4102,'[2]Annex 4 template - CompA'!O4107,'[2]Annex 4 template - CompA'!O4112,'[2]Annex 4 template - CompA'!O4117,'[2]Annex 4 template - CompA'!O4122,'[2]Annex 4 template - CompA'!O4127,'[2]Annex 4 template - CompA'!O4132,'[2]Annex 4 template - CompA'!O4137,'[2]Annex 4 template - CompA'!O4142,'[2]Annex 4 template - CompA'!O4147,'[2]Annex 4 template - CompA'!O4162,'[2]Annex 4 template - CompA'!O4168,'[2]Annex 4 template - CompA'!O4175,'[2]Annex 4 template - CompA'!O4181,)</f>
        <v>0</v>
      </c>
      <c r="P34" s="61">
        <f t="shared" si="11"/>
        <v>1434741.9736079259</v>
      </c>
      <c r="Q34" s="63">
        <f t="shared" si="1"/>
        <v>0</v>
      </c>
      <c r="R34" s="63">
        <f t="shared" si="2"/>
        <v>0</v>
      </c>
    </row>
    <row r="35" spans="2:18" ht="24.5" customHeight="1" x14ac:dyDescent="0.2">
      <c r="B35" s="72" t="str">
        <f>'[2]Annex 4 template - CompA'!C4190</f>
        <v>2.1c. Use the Advanced Warning System (see below) to assess implications of tuna biomass redistribution for transhipping and unloading activities.</v>
      </c>
      <c r="C35" s="71">
        <f>SUM('[2]Annex 4 template - CompA'!D4193:D4224)</f>
        <v>666027.28698282246</v>
      </c>
      <c r="D35" s="61">
        <f>SUM('[2]Annex 4 template - CompA'!D4193,'[2]Annex 4 template - CompA'!D4201,'[2]Annex 4 template - CompA'!D4207,'[2]Annex 4 template - CompA'!D4215,'[2]Annex 4 template - CompA'!D4221,)</f>
        <v>666027.28698282246</v>
      </c>
      <c r="E35" s="61">
        <f>SUM('[2]Annex 4 template - CompA'!E4193,'[2]Annex 4 template - CompA'!E4201,'[2]Annex 4 template - CompA'!E4207,'[2]Annex 4 template - CompA'!E4215,'[2]Annex 4 template - CompA'!E4221,)</f>
        <v>0</v>
      </c>
      <c r="F35" s="61">
        <f>SUM('[2]Annex 4 template - CompA'!F4193,'[2]Annex 4 template - CompA'!F4201,'[2]Annex 4 template - CompA'!F4207,'[2]Annex 4 template - CompA'!F4215,'[2]Annex 4 template - CompA'!F4221,)</f>
        <v>0</v>
      </c>
      <c r="G35" s="61">
        <f>SUM('[2]Annex 4 template - CompA'!G4193,'[2]Annex 4 template - CompA'!G4201,'[2]Annex 4 template - CompA'!G4207,'[2]Annex 4 template - CompA'!G4215,'[2]Annex 4 template - CompA'!G4221,)</f>
        <v>0</v>
      </c>
      <c r="H35" s="61">
        <f>SUM('[2]Annex 4 template - CompA'!H4193,'[2]Annex 4 template - CompA'!H4201,'[2]Annex 4 template - CompA'!H4207,'[2]Annex 4 template - CompA'!H4215,'[2]Annex 4 template - CompA'!H4221,)</f>
        <v>51377.355925338925</v>
      </c>
      <c r="I35" s="61">
        <f>SUM('[2]Annex 4 template - CompA'!I4193,'[2]Annex 4 template - CompA'!I4201,'[2]Annex 4 template - CompA'!I4207,'[2]Annex 4 template - CompA'!I4215,'[2]Annex 4 template - CompA'!I4221,)</f>
        <v>217834.65929388959</v>
      </c>
      <c r="J35" s="61">
        <f>SUM('[2]Annex 4 template - CompA'!J4193,'[2]Annex 4 template - CompA'!J4201,'[2]Annex 4 template - CompA'!J4207,'[2]Annex 4 template - CompA'!J4215,'[2]Annex 4 template - CompA'!J4221,)</f>
        <v>223280.52577623681</v>
      </c>
      <c r="K35" s="61">
        <f>SUM('[2]Annex 4 template - CompA'!K4193,'[2]Annex 4 template - CompA'!K4201,'[2]Annex 4 template - CompA'!K4207,'[2]Annex 4 template - CompA'!K4215,'[2]Annex 4 template - CompA'!K4221,)</f>
        <v>173534.74598735705</v>
      </c>
      <c r="L35" s="61">
        <f>SUM('[2]Annex 4 template - CompA'!L4193,'[2]Annex 4 template - CompA'!L4201,'[2]Annex 4 template - CompA'!L4207,'[2]Annex 4 template - CompA'!L4215,'[2]Annex 4 template - CompA'!L4221,)</f>
        <v>0</v>
      </c>
      <c r="M35" s="61">
        <f>SUM('[2]Annex 4 template - CompA'!M4193,'[2]Annex 4 template - CompA'!M4201,'[2]Annex 4 template - CompA'!M4207,'[2]Annex 4 template - CompA'!M4215,'[2]Annex 4 template - CompA'!M4221,)</f>
        <v>0</v>
      </c>
      <c r="N35" s="61">
        <f>SUM('[2]Annex 4 template - CompA'!N4193,'[2]Annex 4 template - CompA'!N4201,'[2]Annex 4 template - CompA'!N4207,'[2]Annex 4 template - CompA'!N4215,'[2]Annex 4 template - CompA'!N4221,)</f>
        <v>0</v>
      </c>
      <c r="O35" s="61">
        <f>SUM('[2]Annex 4 template - CompA'!O4193,'[2]Annex 4 template - CompA'!O4201,'[2]Annex 4 template - CompA'!O4207,'[2]Annex 4 template - CompA'!O4215,'[2]Annex 4 template - CompA'!O4221,)</f>
        <v>0</v>
      </c>
      <c r="P35" s="61">
        <f t="shared" si="11"/>
        <v>666027.28698282246</v>
      </c>
      <c r="Q35" s="63">
        <f t="shared" si="1"/>
        <v>0</v>
      </c>
      <c r="R35" s="63">
        <f t="shared" si="2"/>
        <v>0</v>
      </c>
    </row>
    <row r="36" spans="2:18" ht="27" customHeight="1" x14ac:dyDescent="0.2">
      <c r="B36" s="72" t="str">
        <f>'[2]Annex 4 template - CompA'!C4230</f>
        <v>2.1d. Build national capacity to conduct policy analysis on current and future transhipment and unloading of bycatch and tuna.</v>
      </c>
      <c r="C36" s="71">
        <f>SUM('[2]Annex 4 template - CompA'!D4232:D4326)</f>
        <v>2480845.963924069</v>
      </c>
      <c r="D36" s="61">
        <f>SUM('[2]Annex 4 template - CompA'!D4232,'[2]Annex 4 template - CompA'!D4238,'[2]Annex 4 template - CompA'!D4245,'[2]Annex 4 template - CompA'!D4250,'[2]Annex 4 template - CompA'!D4258,'[2]Annex 4 template - CompA'!D4263,'[2]Annex 4 template - CompA'!D4270,'[2]Annex 4 template - CompA'!D4285,'[2]Annex 4 template - CompA'!D4291,'[2]Annex 4 template - CompA'!D4298,'[2]Annex 4 template - CompA'!D4312,)</f>
        <v>2480845.963924069</v>
      </c>
      <c r="E36" s="61">
        <f>SUM('[2]Annex 4 template - CompA'!E4232,'[2]Annex 4 template - CompA'!E4238,'[2]Annex 4 template - CompA'!E4245,'[2]Annex 4 template - CompA'!E4250,'[2]Annex 4 template - CompA'!E4258,'[2]Annex 4 template - CompA'!E4263,'[2]Annex 4 template - CompA'!E4270,'[2]Annex 4 template - CompA'!E4285,'[2]Annex 4 template - CompA'!E4291,'[2]Annex 4 template - CompA'!E4298,'[2]Annex 4 template - CompA'!E4312,)</f>
        <v>0</v>
      </c>
      <c r="F36" s="61">
        <f>SUM('[2]Annex 4 template - CompA'!F4232,'[2]Annex 4 template - CompA'!F4238,'[2]Annex 4 template - CompA'!F4245,'[2]Annex 4 template - CompA'!F4250,'[2]Annex 4 template - CompA'!F4258,'[2]Annex 4 template - CompA'!F4263,'[2]Annex 4 template - CompA'!F4270,'[2]Annex 4 template - CompA'!F4285,'[2]Annex 4 template - CompA'!F4291,'[2]Annex 4 template - CompA'!F4298,'[2]Annex 4 template - CompA'!F4312,)</f>
        <v>0</v>
      </c>
      <c r="G36" s="61">
        <f>SUM('[2]Annex 4 template - CompA'!G4232,'[2]Annex 4 template - CompA'!G4238,'[2]Annex 4 template - CompA'!G4245,'[2]Annex 4 template - CompA'!G4250,'[2]Annex 4 template - CompA'!G4258,'[2]Annex 4 template - CompA'!G4263,'[2]Annex 4 template - CompA'!G4270,'[2]Annex 4 template - CompA'!G4285,'[2]Annex 4 template - CompA'!G4291,'[2]Annex 4 template - CompA'!G4298,'[2]Annex 4 template - CompA'!G4312,)</f>
        <v>0</v>
      </c>
      <c r="H36" s="61">
        <f>SUM('[2]Annex 4 template - CompA'!H4232,'[2]Annex 4 template - CompA'!H4238,'[2]Annex 4 template - CompA'!H4245,'[2]Annex 4 template - CompA'!H4250,'[2]Annex 4 template - CompA'!H4258,'[2]Annex 4 template - CompA'!H4263,'[2]Annex 4 template - CompA'!H4270,'[2]Annex 4 template - CompA'!H4285,'[2]Annex 4 template - CompA'!H4291,'[2]Annex 4 template - CompA'!H4298,'[2]Annex 4 template - CompA'!H4312,)</f>
        <v>51377.355925338925</v>
      </c>
      <c r="I36" s="61">
        <f>SUM('[2]Annex 4 template - CompA'!I4232,'[2]Annex 4 template - CompA'!I4238,'[2]Annex 4 template - CompA'!I4245,'[2]Annex 4 template - CompA'!I4250,'[2]Annex 4 template - CompA'!I4258,'[2]Annex 4 template - CompA'!I4263,'[2]Annex 4 template - CompA'!I4270,'[2]Annex 4 template - CompA'!I4285,'[2]Annex 4 template - CompA'!I4291,'[2]Annex 4 template - CompA'!I4298,'[2]Annex 4 template - CompA'!I4312,)</f>
        <v>776742.64184985752</v>
      </c>
      <c r="J36" s="61">
        <f>SUM('[2]Annex 4 template - CompA'!J4232,'[2]Annex 4 template - CompA'!J4238,'[2]Annex 4 template - CompA'!J4245,'[2]Annex 4 template - CompA'!J4250,'[2]Annex 4 template - CompA'!J4258,'[2]Annex 4 template - CompA'!J4263,'[2]Annex 4 template - CompA'!J4270,'[2]Annex 4 template - CompA'!J4285,'[2]Annex 4 template - CompA'!J4291,'[2]Annex 4 template - CompA'!J4298,'[2]Annex 4 template - CompA'!J4312,)</f>
        <v>559494.76047398953</v>
      </c>
      <c r="K36" s="61">
        <f>SUM('[2]Annex 4 template - CompA'!K4232,'[2]Annex 4 template - CompA'!K4238,'[2]Annex 4 template - CompA'!K4245,'[2]Annex 4 template - CompA'!K4250,'[2]Annex 4 template - CompA'!K4258,'[2]Annex 4 template - CompA'!K4263,'[2]Annex 4 template - CompA'!K4270,'[2]Annex 4 template - CompA'!K4285,'[2]Annex 4 template - CompA'!K4291,'[2]Annex 4 template - CompA'!K4298,'[2]Annex 4 template - CompA'!K4312,)</f>
        <v>371724.05506055721</v>
      </c>
      <c r="L36" s="61">
        <f>SUM('[2]Annex 4 template - CompA'!L4232,'[2]Annex 4 template - CompA'!L4238,'[2]Annex 4 template - CompA'!L4245,'[2]Annex 4 template - CompA'!L4250,'[2]Annex 4 template - CompA'!L4258,'[2]Annex 4 template - CompA'!L4263,'[2]Annex 4 template - CompA'!L4270,'[2]Annex 4 template - CompA'!L4285,'[2]Annex 4 template - CompA'!L4291,'[2]Annex 4 template - CompA'!L4298,'[2]Annex 4 template - CompA'!L4312,)</f>
        <v>506221.08128082112</v>
      </c>
      <c r="M36" s="61">
        <f>SUM('[2]Annex 4 template - CompA'!M4232,'[2]Annex 4 template - CompA'!M4238,'[2]Annex 4 template - CompA'!M4245,'[2]Annex 4 template - CompA'!M4250,'[2]Annex 4 template - CompA'!M4258,'[2]Annex 4 template - CompA'!M4263,'[2]Annex 4 template - CompA'!M4270,'[2]Annex 4 template - CompA'!M4285,'[2]Annex 4 template - CompA'!M4291,'[2]Annex 4 template - CompA'!M4298,'[2]Annex 4 template - CompA'!M4312,)</f>
        <v>106314.10831284162</v>
      </c>
      <c r="N36" s="61">
        <f>SUM('[2]Annex 4 template - CompA'!N4232,'[2]Annex 4 template - CompA'!N4238,'[2]Annex 4 template - CompA'!N4245,'[2]Annex 4 template - CompA'!N4250,'[2]Annex 4 template - CompA'!N4258,'[2]Annex 4 template - CompA'!N4263,'[2]Annex 4 template - CompA'!N4270,'[2]Annex 4 template - CompA'!N4285,'[2]Annex 4 template - CompA'!N4291,'[2]Annex 4 template - CompA'!N4298,'[2]Annex 4 template - CompA'!N4312,)</f>
        <v>108971.96102066265</v>
      </c>
      <c r="O36" s="61">
        <f>SUM('[2]Annex 4 template - CompA'!O4232,'[2]Annex 4 template - CompA'!O4238,'[2]Annex 4 template - CompA'!O4245,'[2]Annex 4 template - CompA'!O4250,'[2]Annex 4 template - CompA'!O4258,'[2]Annex 4 template - CompA'!O4263,'[2]Annex 4 template - CompA'!O4270,'[2]Annex 4 template - CompA'!O4285,'[2]Annex 4 template - CompA'!O4291,'[2]Annex 4 template - CompA'!O4298,'[2]Annex 4 template - CompA'!O4312,)</f>
        <v>0</v>
      </c>
      <c r="P36" s="61">
        <f t="shared" si="11"/>
        <v>2480845.963924068</v>
      </c>
      <c r="Q36" s="63">
        <f t="shared" si="1"/>
        <v>0</v>
      </c>
      <c r="R36" s="63">
        <f t="shared" si="2"/>
        <v>0</v>
      </c>
    </row>
    <row r="37" spans="2:18" ht="21" customHeight="1" x14ac:dyDescent="0.2">
      <c r="B37" s="60" t="str">
        <f>'[2]Annex 4 template - CompA'!C4331</f>
        <v xml:space="preserve">
2.1e Develop procedures and regulations to increase the supply of transhipped and unloaded  bycatch and tuna where needed to fill the gap in fish supply.</v>
      </c>
      <c r="C37" s="71">
        <f>SUM('[2]Annex 4 template - CompA'!D4333:D4417)</f>
        <v>879670.50752242329</v>
      </c>
      <c r="D37" s="61">
        <f>SUM('[2]Annex 4 template - CompA'!D4333,'[2]Annex 4 template - CompA'!D4339,'[2]Annex 4 template - CompA'!D4355,'[2]Annex 4 template - CompA'!D4363,'[2]Annex 4 template - CompA'!D4372,'[2]Annex 4 template - CompA'!D4385,'[2]Annex 4 template - CompA'!D4399,'[2]Annex 4 template - CompA'!D4403,'[2]Annex 4 template - CompA'!D4408,)</f>
        <v>879670.50752242329</v>
      </c>
      <c r="E37" s="61">
        <f>SUM('[2]Annex 4 template - CompA'!E4333,'[2]Annex 4 template - CompA'!E4339,'[2]Annex 4 template - CompA'!E4355,'[2]Annex 4 template - CompA'!E4363,'[2]Annex 4 template - CompA'!E4372,'[2]Annex 4 template - CompA'!E4385,'[2]Annex 4 template - CompA'!E4399,'[2]Annex 4 template - CompA'!E4403,'[2]Annex 4 template - CompA'!E4408,)</f>
        <v>0</v>
      </c>
      <c r="F37" s="61">
        <f>SUM('[2]Annex 4 template - CompA'!F4333,'[2]Annex 4 template - CompA'!F4339,'[2]Annex 4 template - CompA'!F4355,'[2]Annex 4 template - CompA'!F4363,'[2]Annex 4 template - CompA'!F4372,'[2]Annex 4 template - CompA'!F4385,'[2]Annex 4 template - CompA'!F4399,'[2]Annex 4 template - CompA'!F4403,'[2]Annex 4 template - CompA'!F4408,)</f>
        <v>0</v>
      </c>
      <c r="G37" s="61">
        <f>SUM('[2]Annex 4 template - CompA'!G4333,'[2]Annex 4 template - CompA'!G4339,'[2]Annex 4 template - CompA'!G4355,'[2]Annex 4 template - CompA'!G4363,'[2]Annex 4 template - CompA'!G4372,'[2]Annex 4 template - CompA'!G4385,'[2]Annex 4 template - CompA'!G4399,'[2]Annex 4 template - CompA'!G4403,'[2]Annex 4 template - CompA'!G4408,)</f>
        <v>0</v>
      </c>
      <c r="H37" s="61">
        <f>SUM('[2]Annex 4 template - CompA'!H4333,'[2]Annex 4 template - CompA'!H4339,'[2]Annex 4 template - CompA'!H4355,'[2]Annex 4 template - CompA'!H4363,'[2]Annex 4 template - CompA'!H4372,'[2]Annex 4 template - CompA'!H4385,'[2]Annex 4 template - CompA'!H4399,'[2]Annex 4 template - CompA'!H4403,'[2]Annex 4 template - CompA'!H4408,)</f>
        <v>51377.355925338925</v>
      </c>
      <c r="I37" s="61">
        <f>SUM('[2]Annex 4 template - CompA'!I4333,'[2]Annex 4 template - CompA'!I4339,'[2]Annex 4 template - CompA'!I4355,'[2]Annex 4 template - CompA'!I4363,'[2]Annex 4 template - CompA'!I4372,'[2]Annex 4 template - CompA'!I4385,'[2]Annex 4 template - CompA'!I4399,'[2]Annex 4 template - CompA'!I4403,'[2]Annex 4 template - CompA'!I4408,)</f>
        <v>203834.78982347238</v>
      </c>
      <c r="J37" s="61">
        <f>SUM('[2]Annex 4 template - CompA'!J4333,'[2]Annex 4 template - CompA'!J4339,'[2]Annex 4 template - CompA'!J4355,'[2]Annex 4 template - CompA'!J4363,'[2]Annex 4 template - CompA'!J4372,'[2]Annex 4 template - CompA'!J4385,'[2]Annex 4 template - CompA'!J4399,'[2]Annex 4 template - CompA'!J4403,'[2]Annex 4 template - CompA'!J4408,)</f>
        <v>322788.90714694478</v>
      </c>
      <c r="K37" s="61">
        <f>SUM('[2]Annex 4 template - CompA'!K4333,'[2]Annex 4 template - CompA'!K4339,'[2]Annex 4 template - CompA'!K4355,'[2]Annex 4 template - CompA'!K4363,'[2]Annex 4 template - CompA'!K4372,'[2]Annex 4 template - CompA'!K4385,'[2]Annex 4 template - CompA'!K4399,'[2]Annex 4 template - CompA'!K4403,'[2]Annex 4 template - CompA'!K4408,)</f>
        <v>301669.4546266672</v>
      </c>
      <c r="L37" s="61">
        <f>SUM('[2]Annex 4 template - CompA'!L4333,'[2]Annex 4 template - CompA'!L4339,'[2]Annex 4 template - CompA'!L4355,'[2]Annex 4 template - CompA'!L4363,'[2]Annex 4 template - CompA'!L4372,'[2]Annex 4 template - CompA'!L4385,'[2]Annex 4 template - CompA'!L4399,'[2]Annex 4 template - CompA'!L4403,'[2]Annex 4 template - CompA'!L4408,)</f>
        <v>0</v>
      </c>
      <c r="M37" s="61">
        <f>SUM('[2]Annex 4 template - CompA'!M4333,'[2]Annex 4 template - CompA'!M4339,'[2]Annex 4 template - CompA'!M4355,'[2]Annex 4 template - CompA'!M4363,'[2]Annex 4 template - CompA'!M4372,'[2]Annex 4 template - CompA'!M4385,'[2]Annex 4 template - CompA'!M4399,'[2]Annex 4 template - CompA'!M4403,'[2]Annex 4 template - CompA'!M4408,)</f>
        <v>0</v>
      </c>
      <c r="N37" s="61">
        <f>SUM('[2]Annex 4 template - CompA'!N4333,'[2]Annex 4 template - CompA'!N4339,'[2]Annex 4 template - CompA'!N4355,'[2]Annex 4 template - CompA'!N4363,'[2]Annex 4 template - CompA'!N4372,'[2]Annex 4 template - CompA'!N4385,'[2]Annex 4 template - CompA'!N4399,'[2]Annex 4 template - CompA'!N4403,'[2]Annex 4 template - CompA'!N4408,)</f>
        <v>0</v>
      </c>
      <c r="O37" s="61">
        <f>SUM('[2]Annex 4 template - CompA'!O4333,'[2]Annex 4 template - CompA'!O4339,'[2]Annex 4 template - CompA'!O4355,'[2]Annex 4 template - CompA'!O4363,'[2]Annex 4 template - CompA'!O4372,'[2]Annex 4 template - CompA'!O4385,'[2]Annex 4 template - CompA'!O4399,'[2]Annex 4 template - CompA'!O4403,'[2]Annex 4 template - CompA'!O4408,)</f>
        <v>0</v>
      </c>
      <c r="P37" s="61">
        <f t="shared" si="11"/>
        <v>879670.50752242329</v>
      </c>
      <c r="Q37" s="63">
        <f t="shared" si="1"/>
        <v>0</v>
      </c>
      <c r="R37" s="63">
        <f t="shared" si="2"/>
        <v>0</v>
      </c>
    </row>
    <row r="38" spans="2:18" ht="15" customHeight="1" x14ac:dyDescent="0.2">
      <c r="B38" s="67" t="s">
        <v>136</v>
      </c>
      <c r="C38" s="62">
        <f>SUM(C33:C37)</f>
        <v>7515219.2291353904</v>
      </c>
      <c r="D38" s="62">
        <f>SUM(D33:D37)</f>
        <v>7515219.2291353904</v>
      </c>
      <c r="E38" s="62">
        <f t="shared" ref="E38:P38" si="12">SUM(E33:E37)</f>
        <v>0</v>
      </c>
      <c r="F38" s="62">
        <f t="shared" si="12"/>
        <v>0</v>
      </c>
      <c r="G38" s="62">
        <f t="shared" si="12"/>
        <v>0</v>
      </c>
      <c r="H38" s="62">
        <f t="shared" si="12"/>
        <v>454587.6384154025</v>
      </c>
      <c r="I38" s="62">
        <f t="shared" si="12"/>
        <v>2361935.7020010962</v>
      </c>
      <c r="J38" s="62">
        <f t="shared" si="12"/>
        <v>1841327.2585069994</v>
      </c>
      <c r="K38" s="62">
        <f t="shared" si="12"/>
        <v>1403341.8869946757</v>
      </c>
      <c r="L38" s="62">
        <f t="shared" si="12"/>
        <v>849705.56622481626</v>
      </c>
      <c r="M38" s="62">
        <f t="shared" si="12"/>
        <v>298638.42340943724</v>
      </c>
      <c r="N38" s="62">
        <f t="shared" si="12"/>
        <v>305682.75358296244</v>
      </c>
      <c r="O38" s="62">
        <f t="shared" si="12"/>
        <v>0</v>
      </c>
      <c r="P38" s="62">
        <f t="shared" si="12"/>
        <v>7515219.2291353885</v>
      </c>
      <c r="Q38" s="63">
        <f t="shared" si="1"/>
        <v>0</v>
      </c>
      <c r="R38" s="63">
        <f t="shared" si="2"/>
        <v>0</v>
      </c>
    </row>
    <row r="39" spans="2:18" ht="33.5" customHeight="1" x14ac:dyDescent="0.2">
      <c r="B39" s="67" t="str">
        <f>'[2]Annex 4 template - CompA'!C4422</f>
        <v>Activity 2.2: Strengthen/develop post-harvest practices and improve market opportunities to distribute bycatch and tuna from transhipping and unloading operations to urban communities</v>
      </c>
      <c r="C39" s="71"/>
      <c r="D39" s="61"/>
      <c r="E39" s="61"/>
      <c r="F39" s="61"/>
      <c r="G39" s="61"/>
      <c r="H39" s="61"/>
      <c r="I39" s="61"/>
      <c r="J39" s="61"/>
      <c r="K39" s="61"/>
      <c r="L39" s="61"/>
      <c r="M39" s="61"/>
      <c r="N39" s="61"/>
      <c r="O39" s="61"/>
      <c r="P39" s="61">
        <f t="shared" si="11"/>
        <v>0</v>
      </c>
      <c r="Q39" s="63">
        <f t="shared" si="1"/>
        <v>0</v>
      </c>
      <c r="R39" s="63">
        <f t="shared" si="2"/>
        <v>0</v>
      </c>
    </row>
    <row r="40" spans="2:18" ht="32" customHeight="1" x14ac:dyDescent="0.2">
      <c r="B40" s="60" t="str">
        <f>'[2]Annex 4 template - CompA'!C4423</f>
        <v>2.2a. Provide training to Improve/develop post-harvest processing techniques for brined bycatch and tuna from transhipping and unloading operations.</v>
      </c>
      <c r="C40" s="71">
        <f>SUM('[2]Annex 4 template - CompA'!D4425:D4482)</f>
        <v>3784785.2919609067</v>
      </c>
      <c r="D40" s="61">
        <f>SUM('[2]Annex 4 template - CompA'!D4425,'[2]Annex 4 template - CompA'!D4431,'[2]Annex 4 template - CompA'!D4438,'[2]Annex 4 template - CompA'!D4443,'[2]Annex 4 template - CompA'!D4447,'[2]Annex 4 template - CompA'!D4451,'[2]Annex 4 template - CompA'!D4459,'[2]Annex 4 template - CompA'!D4465,'[2]Annex 4 template - CompA'!D4471,'[2]Annex 4 template - CompA'!D4477,)</f>
        <v>3784785.2919609067</v>
      </c>
      <c r="E40" s="61">
        <f>SUM('[2]Annex 4 template - CompA'!E4425,'[2]Annex 4 template - CompA'!E4431,'[2]Annex 4 template - CompA'!E4438,'[2]Annex 4 template - CompA'!E4443,'[2]Annex 4 template - CompA'!E4447,'[2]Annex 4 template - CompA'!E4451,'[2]Annex 4 template - CompA'!E4459,'[2]Annex 4 template - CompA'!E4465,'[2]Annex 4 template - CompA'!E4471,'[2]Annex 4 template - CompA'!E4477,)</f>
        <v>0</v>
      </c>
      <c r="F40" s="61">
        <f>SUM('[2]Annex 4 template - CompA'!F4425,'[2]Annex 4 template - CompA'!F4431,'[2]Annex 4 template - CompA'!F4438,'[2]Annex 4 template - CompA'!F4443,'[2]Annex 4 template - CompA'!F4447,'[2]Annex 4 template - CompA'!F4451,'[2]Annex 4 template - CompA'!F4459,'[2]Annex 4 template - CompA'!F4465,'[2]Annex 4 template - CompA'!F4471,'[2]Annex 4 template - CompA'!F4477,)</f>
        <v>0</v>
      </c>
      <c r="G40" s="61">
        <f>SUM('[2]Annex 4 template - CompA'!G4425,'[2]Annex 4 template - CompA'!G4431,'[2]Annex 4 template - CompA'!G4438,'[2]Annex 4 template - CompA'!G4443,'[2]Annex 4 template - CompA'!G4447,'[2]Annex 4 template - CompA'!G4451,'[2]Annex 4 template - CompA'!G4459,'[2]Annex 4 template - CompA'!G4465,'[2]Annex 4 template - CompA'!G4471,'[2]Annex 4 template - CompA'!G4477,)</f>
        <v>0</v>
      </c>
      <c r="H40" s="61">
        <f>SUM('[2]Annex 4 template - CompA'!H4425,'[2]Annex 4 template - CompA'!H4431,'[2]Annex 4 template - CompA'!H4438,'[2]Annex 4 template - CompA'!H4443,'[2]Annex 4 template - CompA'!H4447,'[2]Annex 4 template - CompA'!H4451,'[2]Annex 4 template - CompA'!H4459,'[2]Annex 4 template - CompA'!H4465,'[2]Annex 4 template - CompA'!H4471,'[2]Annex 4 template - CompA'!H4477,)</f>
        <v>117433.95640077468</v>
      </c>
      <c r="I40" s="61">
        <f>SUM('[2]Annex 4 template - CompA'!I4425,'[2]Annex 4 template - CompA'!I4431,'[2]Annex 4 template - CompA'!I4438,'[2]Annex 4 template - CompA'!I4443,'[2]Annex 4 template - CompA'!I4447,'[2]Annex 4 template - CompA'!I4451,'[2]Annex 4 template - CompA'!I4459,'[2]Annex 4 template - CompA'!I4465,'[2]Annex 4 template - CompA'!I4471,'[2]Annex 4 template - CompA'!I4477,)</f>
        <v>448141.39085695823</v>
      </c>
      <c r="J40" s="61">
        <f>SUM('[2]Annex 4 template - CompA'!J4425,'[2]Annex 4 template - CompA'!J4431,'[2]Annex 4 template - CompA'!J4438,'[2]Annex 4 template - CompA'!J4443,'[2]Annex 4 template - CompA'!J4447,'[2]Annex 4 template - CompA'!J4451,'[2]Annex 4 template - CompA'!J4459,'[2]Annex 4 template - CompA'!J4465,'[2]Annex 4 template - CompA'!J4471,'[2]Annex 4 template - CompA'!J4477,)</f>
        <v>861555.11312838225</v>
      </c>
      <c r="K40" s="61">
        <f>SUM('[2]Annex 4 template - CompA'!K4425,'[2]Annex 4 template - CompA'!K4431,'[2]Annex 4 template - CompA'!K4438,'[2]Annex 4 template - CompA'!K4443,'[2]Annex 4 template - CompA'!K4447,'[2]Annex 4 template - CompA'!K4451,'[2]Annex 4 template - CompA'!K4459,'[2]Annex 4 template - CompA'!K4465,'[2]Annex 4 template - CompA'!K4471,'[2]Annex 4 template - CompA'!K4477,)</f>
        <v>878608.99095659168</v>
      </c>
      <c r="L40" s="61">
        <f>SUM('[2]Annex 4 template - CompA'!L4425,'[2]Annex 4 template - CompA'!L4431,'[2]Annex 4 template - CompA'!L4438,'[2]Annex 4 template - CompA'!L4443,'[2]Annex 4 template - CompA'!L4447,'[2]Annex 4 template - CompA'!L4451,'[2]Annex 4 template - CompA'!L4459,'[2]Annex 4 template - CompA'!L4465,'[2]Annex 4 template - CompA'!L4471,'[2]Annex 4 template - CompA'!L4477,)</f>
        <v>821389.75127738155</v>
      </c>
      <c r="M40" s="61">
        <f>SUM('[2]Annex 4 template - CompA'!M4425,'[2]Annex 4 template - CompA'!M4431,'[2]Annex 4 template - CompA'!M4438,'[2]Annex 4 template - CompA'!M4443,'[2]Annex 4 template - CompA'!M4447,'[2]Annex 4 template - CompA'!M4451,'[2]Annex 4 template - CompA'!M4459,'[2]Annex 4 template - CompA'!M4465,'[2]Annex 4 template - CompA'!M4471,'[2]Annex 4 template - CompA'!M4477,)</f>
        <v>457823.95873119106</v>
      </c>
      <c r="N40" s="61">
        <f>SUM('[2]Annex 4 template - CompA'!N4425,'[2]Annex 4 template - CompA'!N4431,'[2]Annex 4 template - CompA'!N4438,'[2]Annex 4 template - CompA'!N4443,'[2]Annex 4 template - CompA'!N4447,'[2]Annex 4 template - CompA'!N4451,'[2]Annex 4 template - CompA'!N4459,'[2]Annex 4 template - CompA'!N4465,'[2]Annex 4 template - CompA'!N4471,'[2]Annex 4 template - CompA'!N4477,)</f>
        <v>199832.13060962706</v>
      </c>
      <c r="O40" s="61">
        <f>SUM('[2]Annex 4 template - CompA'!O4425,'[2]Annex 4 template - CompA'!O4431,'[2]Annex 4 template - CompA'!O4438,'[2]Annex 4 template - CompA'!O4443,'[2]Annex 4 template - CompA'!O4447,'[2]Annex 4 template - CompA'!O4451,'[2]Annex 4 template - CompA'!O4459,'[2]Annex 4 template - CompA'!O4465,'[2]Annex 4 template - CompA'!O4471,'[2]Annex 4 template - CompA'!O4477,)</f>
        <v>0</v>
      </c>
      <c r="P40" s="61">
        <f t="shared" si="11"/>
        <v>3784785.2919609062</v>
      </c>
      <c r="Q40" s="63">
        <f t="shared" si="1"/>
        <v>0</v>
      </c>
      <c r="R40" s="63">
        <f t="shared" si="2"/>
        <v>0</v>
      </c>
    </row>
    <row r="41" spans="2:18" ht="15.5" customHeight="1" x14ac:dyDescent="0.2">
      <c r="B41" s="60" t="str">
        <f>'[2]Annex 4 template - CompA'!C4487</f>
        <v>2.2b. Pilot alternative marketing mechanisms to support increased trade in bycatch and tuna.</v>
      </c>
      <c r="C41" s="71">
        <f>SUM('[2]Annex 4 template - CompA'!D4489:D4538)</f>
        <v>698831.34710180457</v>
      </c>
      <c r="D41" s="61">
        <f>SUM('[2]Annex 4 template - CompA'!D4489,'[2]Annex 4 template - CompA'!D4496,'[2]Annex 4 template - CompA'!D4503,'[2]Annex 4 template - CompA'!D4514,'[2]Annex 4 template - CompA'!D4520,'[2]Annex 4 template - CompA'!D4529,'[2]Annex 4 template - CompA'!D4535)</f>
        <v>698831.34710180457</v>
      </c>
      <c r="E41" s="61">
        <f>SUM('[2]Annex 4 template - CompA'!E4489,'[2]Annex 4 template - CompA'!E4496,'[2]Annex 4 template - CompA'!E4503,'[2]Annex 4 template - CompA'!E4514,'[2]Annex 4 template - CompA'!E4520,'[2]Annex 4 template - CompA'!E4529,'[2]Annex 4 template - CompA'!E4535)</f>
        <v>0</v>
      </c>
      <c r="F41" s="61">
        <f>SUM('[2]Annex 4 template - CompA'!F4489,'[2]Annex 4 template - CompA'!F4496,'[2]Annex 4 template - CompA'!F4503,'[2]Annex 4 template - CompA'!F4514,'[2]Annex 4 template - CompA'!F4520,'[2]Annex 4 template - CompA'!F4529,'[2]Annex 4 template - CompA'!F4535)</f>
        <v>0</v>
      </c>
      <c r="G41" s="61">
        <f>SUM('[2]Annex 4 template - CompA'!G4489,'[2]Annex 4 template - CompA'!G4496,'[2]Annex 4 template - CompA'!G4503,'[2]Annex 4 template - CompA'!G4514,'[2]Annex 4 template - CompA'!G4520,'[2]Annex 4 template - CompA'!G4529,'[2]Annex 4 template - CompA'!G4535)</f>
        <v>0</v>
      </c>
      <c r="H41" s="61">
        <f>SUM('[2]Annex 4 template - CompA'!H4489,'[2]Annex 4 template - CompA'!H4496,'[2]Annex 4 template - CompA'!H4503,'[2]Annex 4 template - CompA'!H4514,'[2]Annex 4 template - CompA'!H4520,'[2]Annex 4 template - CompA'!H4529,'[2]Annex 4 template - CompA'!H4535)</f>
        <v>44037.733650290509</v>
      </c>
      <c r="I41" s="61">
        <f>SUM('[2]Annex 4 template - CompA'!I4489,'[2]Annex 4 template - CompA'!I4496,'[2]Annex 4 template - CompA'!I4503,'[2]Annex 4 template - CompA'!I4514,'[2]Annex 4 template - CompA'!I4520,'[2]Annex 4 template - CompA'!I4529,'[2]Annex 4 template - CompA'!I4535)</f>
        <v>211838.99460809556</v>
      </c>
      <c r="J41" s="61">
        <f>SUM('[2]Annex 4 template - CompA'!J4489,'[2]Annex 4 template - CompA'!J4496,'[2]Annex 4 template - CompA'!J4503,'[2]Annex 4 template - CompA'!J4514,'[2]Annex 4 template - CompA'!J4520,'[2]Annex 4 template - CompA'!J4529,'[2]Annex 4 template - CompA'!J4535)</f>
        <v>248437.41283267294</v>
      </c>
      <c r="K41" s="61">
        <f>SUM('[2]Annex 4 template - CompA'!K4489,'[2]Annex 4 template - CompA'!K4496,'[2]Annex 4 template - CompA'!K4503,'[2]Annex 4 template - CompA'!K4514,'[2]Annex 4 template - CompA'!K4520,'[2]Annex 4 template - CompA'!K4529,'[2]Annex 4 template - CompA'!K4535)</f>
        <v>94847.645028489744</v>
      </c>
      <c r="L41" s="61">
        <f>SUM('[2]Annex 4 template - CompA'!L4489,'[2]Annex 4 template - CompA'!L4496,'[2]Annex 4 template - CompA'!L4503,'[2]Annex 4 template - CompA'!L4514,'[2]Annex 4 template - CompA'!L4520,'[2]Annex 4 template - CompA'!L4529,'[2]Annex 4 template - CompA'!L4535)</f>
        <v>32406.278718067326</v>
      </c>
      <c r="M41" s="61">
        <f>SUM('[2]Annex 4 template - CompA'!M4489,'[2]Annex 4 template - CompA'!M4496,'[2]Annex 4 template - CompA'!M4503,'[2]Annex 4 template - CompA'!M4514,'[2]Annex 4 template - CompA'!M4520,'[2]Annex 4 template - CompA'!M4529,'[2]Annex 4 template - CompA'!M4535)</f>
        <v>33216.435686019009</v>
      </c>
      <c r="N41" s="61">
        <f>SUM('[2]Annex 4 template - CompA'!N4489,'[2]Annex 4 template - CompA'!N4496,'[2]Annex 4 template - CompA'!N4503,'[2]Annex 4 template - CompA'!N4514,'[2]Annex 4 template - CompA'!N4520,'[2]Annex 4 template - CompA'!N4529,'[2]Annex 4 template - CompA'!N4535)</f>
        <v>34046.846578169483</v>
      </c>
      <c r="O41" s="61">
        <f>SUM('[2]Annex 4 template - CompA'!O4489,'[2]Annex 4 template - CompA'!O4496,'[2]Annex 4 template - CompA'!O4503,'[2]Annex 4 template - CompA'!O4514,'[2]Annex 4 template - CompA'!O4520,'[2]Annex 4 template - CompA'!O4529,'[2]Annex 4 template - CompA'!O4535)</f>
        <v>0</v>
      </c>
      <c r="P41" s="61">
        <f t="shared" si="11"/>
        <v>698831.34710180457</v>
      </c>
      <c r="Q41" s="63">
        <f t="shared" si="1"/>
        <v>0</v>
      </c>
      <c r="R41" s="63">
        <f t="shared" si="2"/>
        <v>0</v>
      </c>
    </row>
    <row r="42" spans="2:18" ht="43.25" customHeight="1" x14ac:dyDescent="0.2">
      <c r="B42" s="60" t="str">
        <f>'[2]Annex 4 template - CompA'!C4545</f>
        <v>2.2c. Conduct communication campaigns to raise awareness of urban/peri urban communities about the climate change impacts on coral reef fish and the need to consume more bycatch and tuna to meet future nutrition requirements.</v>
      </c>
      <c r="C42" s="71">
        <f>SUM('[2]Annex 4 template - CompA'!D4545:D4570)</f>
        <v>1650237.0027539756</v>
      </c>
      <c r="D42" s="61">
        <f>SUM('[2]Annex 4 template - CompA'!D4546,'[2]Annex 4 template - CompA'!D4557,)</f>
        <v>1650237.0027539756</v>
      </c>
      <c r="E42" s="61">
        <f>SUM('[2]Annex 4 template - CompA'!E4546,'[2]Annex 4 template - CompA'!E4557,)</f>
        <v>0</v>
      </c>
      <c r="F42" s="61">
        <f>SUM('[2]Annex 4 template - CompA'!F4546,'[2]Annex 4 template - CompA'!F4557,)</f>
        <v>0</v>
      </c>
      <c r="G42" s="61">
        <f>SUM('[2]Annex 4 template - CompA'!G4546,'[2]Annex 4 template - CompA'!G4557,)</f>
        <v>0</v>
      </c>
      <c r="H42" s="61">
        <f>SUM('[2]Annex 4 template - CompA'!H4546,'[2]Annex 4 template - CompA'!H4557,)</f>
        <v>0</v>
      </c>
      <c r="I42" s="61">
        <f>SUM('[2]Annex 4 template - CompA'!I4546,'[2]Annex 4 template - CompA'!I4557,)</f>
        <v>268815.33497732988</v>
      </c>
      <c r="J42" s="61">
        <f>SUM('[2]Annex 4 template - CompA'!J4546,'[2]Annex 4 template - CompA'!J4557,)</f>
        <v>271223.21835176309</v>
      </c>
      <c r="K42" s="61">
        <f>SUM('[2]Annex 4 template - CompA'!K4546,'[2]Annex 4 template - CompA'!K4557,)</f>
        <v>273691.29881055717</v>
      </c>
      <c r="L42" s="61">
        <f>SUM('[2]Annex 4 template - CompA'!L4546,'[2]Annex 4 template - CompA'!L4557,)</f>
        <v>276221.08128082112</v>
      </c>
      <c r="M42" s="61">
        <f>SUM('[2]Annex 4 template - CompA'!M4546,'[2]Annex 4 template - CompA'!M4557,)</f>
        <v>278814.10831284162</v>
      </c>
      <c r="N42" s="61">
        <f>SUM('[2]Annex 4 template - CompA'!N4546,'[2]Annex 4 template - CompA'!N4557,)</f>
        <v>281471.96102066268</v>
      </c>
      <c r="O42" s="61">
        <f>SUM('[2]Annex 4 template - CompA'!O4546,'[2]Annex 4 template - CompA'!O4557,)</f>
        <v>0</v>
      </c>
      <c r="P42" s="61">
        <f t="shared" si="11"/>
        <v>1650237.0027539756</v>
      </c>
      <c r="Q42" s="63">
        <f t="shared" si="1"/>
        <v>0</v>
      </c>
      <c r="R42" s="63">
        <f t="shared" si="2"/>
        <v>0</v>
      </c>
    </row>
    <row r="43" spans="2:18" ht="26.5" customHeight="1" x14ac:dyDescent="0.2">
      <c r="B43" s="73" t="str">
        <f>'[2]Annex 4 template - CompA'!C4574</f>
        <v xml:space="preserve"> 2.2d. Provide fish market outlet designs at various scales for up to eight countries where transhipping and unloading occurs.
</v>
      </c>
      <c r="C43" s="71">
        <f>SUM('[2]Annex 4 template - CompA'!D4574:D4657)</f>
        <v>1816235.7505088544</v>
      </c>
      <c r="D43" s="61">
        <f>SUM('[2]Annex 4 template - CompA'!D4576,'[2]Annex 4 template - CompA'!D4582,'[2]Annex 4 template - CompA'!D4588,'[2]Annex 4 template - CompA'!D4597,'[2]Annex 4 template - CompA'!D4604,'[2]Annex 4 template - CompA'!D4613,'[2]Annex 4 template - CompA'!D4619,'[2]Annex 4 template - CompA'!D4625,'[2]Annex 4 template - CompA'!D4629,'[2]Annex 4 template - CompA'!D4637,'[2]Annex 4 template - CompA'!D4641,'[2]Annex 4 template - CompA'!D4645,'[2]Annex 4 template - CompA'!D4652,'[2]Annex 4 template - CompA'!D4653,'[2]Annex 4 template - CompA'!D4654,)</f>
        <v>1816235.7505088544</v>
      </c>
      <c r="E43" s="61">
        <f>SUM('[2]Annex 4 template - CompA'!E4576,'[2]Annex 4 template - CompA'!E4582,'[2]Annex 4 template - CompA'!E4588,'[2]Annex 4 template - CompA'!E4597,'[2]Annex 4 template - CompA'!E4604,'[2]Annex 4 template - CompA'!E4613,'[2]Annex 4 template - CompA'!E4619,'[2]Annex 4 template - CompA'!E4625,'[2]Annex 4 template - CompA'!E4629,'[2]Annex 4 template - CompA'!E4637,'[2]Annex 4 template - CompA'!E4641,'[2]Annex 4 template - CompA'!E4645,'[2]Annex 4 template - CompA'!E4652,'[2]Annex 4 template - CompA'!E4653,'[2]Annex 4 template - CompA'!E4654,)</f>
        <v>0</v>
      </c>
      <c r="F43" s="61">
        <f>SUM('[2]Annex 4 template - CompA'!F4576,'[2]Annex 4 template - CompA'!F4582,'[2]Annex 4 template - CompA'!F4588,'[2]Annex 4 template - CompA'!F4597,'[2]Annex 4 template - CompA'!F4604,'[2]Annex 4 template - CompA'!F4613,'[2]Annex 4 template - CompA'!F4619,'[2]Annex 4 template - CompA'!F4625,'[2]Annex 4 template - CompA'!F4629,'[2]Annex 4 template - CompA'!F4637,'[2]Annex 4 template - CompA'!F4641,'[2]Annex 4 template - CompA'!F4645,'[2]Annex 4 template - CompA'!F4652,'[2]Annex 4 template - CompA'!F4653,'[2]Annex 4 template - CompA'!F4654,)</f>
        <v>0</v>
      </c>
      <c r="G43" s="61">
        <f>SUM('[2]Annex 4 template - CompA'!G4576,'[2]Annex 4 template - CompA'!G4582,'[2]Annex 4 template - CompA'!G4588,'[2]Annex 4 template - CompA'!G4597,'[2]Annex 4 template - CompA'!G4604,'[2]Annex 4 template - CompA'!G4613,'[2]Annex 4 template - CompA'!G4619,'[2]Annex 4 template - CompA'!G4625,'[2]Annex 4 template - CompA'!G4629,'[2]Annex 4 template - CompA'!G4637,'[2]Annex 4 template - CompA'!G4641,'[2]Annex 4 template - CompA'!G4645,'[2]Annex 4 template - CompA'!G4652,'[2]Annex 4 template - CompA'!G4653,'[2]Annex 4 template - CompA'!G4654,)</f>
        <v>0</v>
      </c>
      <c r="H43" s="61">
        <f>SUM('[2]Annex 4 template - CompA'!H4576,'[2]Annex 4 template - CompA'!H4582,'[2]Annex 4 template - CompA'!H4588,'[2]Annex 4 template - CompA'!H4597,'[2]Annex 4 template - CompA'!H4604,'[2]Annex 4 template - CompA'!H4613,'[2]Annex 4 template - CompA'!H4619,'[2]Annex 4 template - CompA'!H4625,'[2]Annex 4 template - CompA'!H4629,'[2]Annex 4 template - CompA'!H4637,'[2]Annex 4 template - CompA'!H4641,'[2]Annex 4 template - CompA'!H4645,'[2]Annex 4 template - CompA'!H4652,'[2]Annex 4 template - CompA'!H4653,'[2]Annex 4 template - CompA'!H4654,)</f>
        <v>44037.733650290509</v>
      </c>
      <c r="I43" s="61">
        <f>SUM('[2]Annex 4 template - CompA'!I4576,'[2]Annex 4 template - CompA'!I4582,'[2]Annex 4 template - CompA'!I4588,'[2]Annex 4 template - CompA'!I4597,'[2]Annex 4 template - CompA'!I4604,'[2]Annex 4 template - CompA'!I4613,'[2]Annex 4 template - CompA'!I4619,'[2]Annex 4 template - CompA'!I4625,'[2]Annex 4 template - CompA'!I4629,'[2]Annex 4 template - CompA'!I4637,'[2]Annex 4 template - CompA'!I4641,'[2]Annex 4 template - CompA'!I4645,'[2]Annex 4 template - CompA'!I4652,'[2]Annex 4 template - CompA'!I4653,'[2]Annex 4 template - CompA'!I4654,)</f>
        <v>250277.35398309556</v>
      </c>
      <c r="J43" s="61">
        <f>SUM('[2]Annex 4 template - CompA'!J4576,'[2]Annex 4 template - CompA'!J4582,'[2]Annex 4 template - CompA'!J4588,'[2]Annex 4 template - CompA'!J4597,'[2]Annex 4 template - CompA'!J4604,'[2]Annex 4 template - CompA'!J4613,'[2]Annex 4 template - CompA'!J4619,'[2]Annex 4 template - CompA'!J4625,'[2]Annex 4 template - CompA'!J4629,'[2]Annex 4 template - CompA'!J4637,'[2]Annex 4 template - CompA'!J4641,'[2]Annex 4 template - CompA'!J4645,'[2]Annex 4 template - CompA'!J4652,'[2]Annex 4 template - CompA'!J4653,'[2]Annex 4 template - CompA'!J4654,)</f>
        <v>492534.28783267294</v>
      </c>
      <c r="K43" s="61">
        <f>SUM('[2]Annex 4 template - CompA'!K4576,'[2]Annex 4 template - CompA'!K4582,'[2]Annex 4 template - CompA'!K4588,'[2]Annex 4 template - CompA'!K4597,'[2]Annex 4 template - CompA'!K4604,'[2]Annex 4 template - CompA'!K4613,'[2]Annex 4 template - CompA'!K4619,'[2]Annex 4 template - CompA'!K4625,'[2]Annex 4 template - CompA'!K4629,'[2]Annex 4 template - CompA'!K4637,'[2]Annex 4 template - CompA'!K4641,'[2]Annex 4 template - CompA'!K4645,'[2]Annex 4 template - CompA'!K4652,'[2]Annex 4 template - CompA'!K4653,'[2]Annex 4 template - CompA'!K4654,)</f>
        <v>439847.64502848976</v>
      </c>
      <c r="L43" s="61">
        <f>SUM('[2]Annex 4 template - CompA'!L4576,'[2]Annex 4 template - CompA'!L4582,'[2]Annex 4 template - CompA'!L4588,'[2]Annex 4 template - CompA'!L4597,'[2]Annex 4 template - CompA'!L4604,'[2]Annex 4 template - CompA'!L4613,'[2]Annex 4 template - CompA'!L4619,'[2]Annex 4 template - CompA'!L4625,'[2]Annex 4 template - CompA'!L4629,'[2]Annex 4 template - CompA'!L4637,'[2]Annex 4 template - CompA'!L4641,'[2]Annex 4 template - CompA'!L4645,'[2]Annex 4 template - CompA'!L4652,'[2]Annex 4 template - CompA'!L4653,'[2]Annex 4 template - CompA'!L4654,)</f>
        <v>304754.5149406399</v>
      </c>
      <c r="M43" s="61">
        <f>SUM('[2]Annex 4 template - CompA'!M4576,'[2]Annex 4 template - CompA'!M4582,'[2]Annex 4 template - CompA'!M4588,'[2]Annex 4 template - CompA'!M4597,'[2]Annex 4 template - CompA'!M4604,'[2]Annex 4 template - CompA'!M4613,'[2]Annex 4 template - CompA'!M4619,'[2]Annex 4 template - CompA'!M4625,'[2]Annex 4 template - CompA'!M4629,'[2]Annex 4 template - CompA'!M4637,'[2]Annex 4 template - CompA'!M4641,'[2]Annex 4 template - CompA'!M4645,'[2]Annex 4 template - CompA'!M4652,'[2]Annex 4 template - CompA'!M4653,'[2]Annex 4 template - CompA'!M4654,)</f>
        <v>211498.37781415589</v>
      </c>
      <c r="N43" s="61">
        <f>SUM('[2]Annex 4 template - CompA'!N4576,'[2]Annex 4 template - CompA'!N4582,'[2]Annex 4 template - CompA'!N4588,'[2]Annex 4 template - CompA'!N4597,'[2]Annex 4 template - CompA'!N4604,'[2]Annex 4 template - CompA'!N4613,'[2]Annex 4 template - CompA'!N4619,'[2]Annex 4 template - CompA'!N4625,'[2]Annex 4 template - CompA'!N4629,'[2]Annex 4 template - CompA'!N4637,'[2]Annex 4 template - CompA'!N4641,'[2]Annex 4 template - CompA'!N4645,'[2]Annex 4 template - CompA'!N4652,'[2]Annex 4 template - CompA'!N4653,'[2]Annex 4 template - CompA'!N4654,)</f>
        <v>73285.83725950979</v>
      </c>
      <c r="O43" s="61">
        <f>SUM('[2]Annex 4 template - CompA'!O4576,'[2]Annex 4 template - CompA'!O4582,'[2]Annex 4 template - CompA'!O4588,'[2]Annex 4 template - CompA'!O4597,'[2]Annex 4 template - CompA'!O4604,'[2]Annex 4 template - CompA'!O4613,'[2]Annex 4 template - CompA'!O4619,'[2]Annex 4 template - CompA'!O4625,'[2]Annex 4 template - CompA'!O4629,'[2]Annex 4 template - CompA'!O4637,'[2]Annex 4 template - CompA'!O4641,'[2]Annex 4 template - CompA'!O4645,'[2]Annex 4 template - CompA'!O4652,'[2]Annex 4 template - CompA'!O4653,'[2]Annex 4 template - CompA'!O4654,)</f>
        <v>0</v>
      </c>
      <c r="P43" s="61">
        <f t="shared" si="11"/>
        <v>1816235.7505088544</v>
      </c>
      <c r="Q43" s="63">
        <f t="shared" si="1"/>
        <v>0</v>
      </c>
      <c r="R43" s="63">
        <f t="shared" si="2"/>
        <v>0</v>
      </c>
    </row>
    <row r="44" spans="2:18" ht="18.5" customHeight="1" x14ac:dyDescent="0.2">
      <c r="B44" s="67" t="s">
        <v>137</v>
      </c>
      <c r="C44" s="62">
        <f>SUM(C40:C43)</f>
        <v>7950089.392325541</v>
      </c>
      <c r="D44" s="62">
        <f>SUM(D40:D43)</f>
        <v>7950089.392325541</v>
      </c>
      <c r="E44" s="62">
        <f t="shared" ref="E44:P44" si="13">SUM(E40:E43)</f>
        <v>0</v>
      </c>
      <c r="F44" s="62">
        <f t="shared" si="13"/>
        <v>0</v>
      </c>
      <c r="G44" s="62">
        <f t="shared" si="13"/>
        <v>0</v>
      </c>
      <c r="H44" s="62">
        <f t="shared" si="13"/>
        <v>205509.4237013557</v>
      </c>
      <c r="I44" s="62">
        <f t="shared" si="13"/>
        <v>1179073.0744254794</v>
      </c>
      <c r="J44" s="62">
        <f t="shared" si="13"/>
        <v>1873750.0321454911</v>
      </c>
      <c r="K44" s="62">
        <f t="shared" si="13"/>
        <v>1686995.5798241282</v>
      </c>
      <c r="L44" s="62">
        <f t="shared" si="13"/>
        <v>1434771.6262169098</v>
      </c>
      <c r="M44" s="62">
        <f t="shared" si="13"/>
        <v>981352.88054420764</v>
      </c>
      <c r="N44" s="62">
        <f t="shared" si="13"/>
        <v>588636.77546796901</v>
      </c>
      <c r="O44" s="62">
        <f t="shared" si="13"/>
        <v>0</v>
      </c>
      <c r="P44" s="62">
        <f t="shared" si="13"/>
        <v>7950089.392325541</v>
      </c>
      <c r="Q44" s="63">
        <f t="shared" si="1"/>
        <v>0</v>
      </c>
      <c r="R44" s="63">
        <f t="shared" si="2"/>
        <v>0</v>
      </c>
    </row>
    <row r="45" spans="2:18" ht="18.5" customHeight="1" x14ac:dyDescent="0.2">
      <c r="B45" s="68" t="s">
        <v>138</v>
      </c>
      <c r="C45" s="74">
        <f>'[2]Annex 4 template - CompA'!D4658</f>
        <v>15465308.621460928</v>
      </c>
      <c r="D45" s="69">
        <f>SUM(D44,D38)</f>
        <v>15465308.621460931</v>
      </c>
      <c r="E45" s="69">
        <f t="shared" ref="E45:P45" si="14">SUM(E44,E38)</f>
        <v>0</v>
      </c>
      <c r="F45" s="69">
        <f t="shared" si="14"/>
        <v>0</v>
      </c>
      <c r="G45" s="69">
        <f t="shared" si="14"/>
        <v>0</v>
      </c>
      <c r="H45" s="69">
        <f t="shared" si="14"/>
        <v>660097.0621167582</v>
      </c>
      <c r="I45" s="69">
        <f t="shared" si="14"/>
        <v>3541008.7764265756</v>
      </c>
      <c r="J45" s="69">
        <f t="shared" si="14"/>
        <v>3715077.2906524902</v>
      </c>
      <c r="K45" s="69">
        <f t="shared" si="14"/>
        <v>3090337.4668188039</v>
      </c>
      <c r="L45" s="69">
        <f t="shared" si="14"/>
        <v>2284477.1924417261</v>
      </c>
      <c r="M45" s="69">
        <f t="shared" si="14"/>
        <v>1279991.3039536448</v>
      </c>
      <c r="N45" s="69">
        <f t="shared" si="14"/>
        <v>894319.52905093145</v>
      </c>
      <c r="O45" s="69">
        <f t="shared" si="14"/>
        <v>0</v>
      </c>
      <c r="P45" s="69">
        <f t="shared" si="14"/>
        <v>15465308.62146093</v>
      </c>
      <c r="Q45" s="63">
        <f t="shared" si="1"/>
        <v>0</v>
      </c>
      <c r="R45" s="63">
        <f t="shared" si="2"/>
        <v>0</v>
      </c>
    </row>
    <row r="46" spans="2:18" ht="15" customHeight="1" x14ac:dyDescent="0.2">
      <c r="B46" s="75"/>
      <c r="C46" s="76"/>
      <c r="D46" s="77"/>
      <c r="E46" s="77"/>
      <c r="F46" s="77"/>
      <c r="G46" s="77"/>
      <c r="H46" s="78">
        <f>H45/$P45</f>
        <v>4.2682437077314672E-2</v>
      </c>
      <c r="I46" s="78">
        <f t="shared" ref="I46:P46" si="15">I45/$P45</f>
        <v>0.22896463711773471</v>
      </c>
      <c r="J46" s="78">
        <f t="shared" si="15"/>
        <v>0.24022005519483422</v>
      </c>
      <c r="K46" s="78">
        <f t="shared" si="15"/>
        <v>0.19982384719632421</v>
      </c>
      <c r="L46" s="78">
        <f t="shared" si="15"/>
        <v>0.14771623692472574</v>
      </c>
      <c r="M46" s="78">
        <f t="shared" si="15"/>
        <v>8.2765325625472744E-2</v>
      </c>
      <c r="N46" s="78">
        <f t="shared" si="15"/>
        <v>5.7827460863593784E-2</v>
      </c>
      <c r="O46" s="78">
        <f t="shared" si="15"/>
        <v>0</v>
      </c>
      <c r="P46" s="78">
        <f t="shared" si="15"/>
        <v>1</v>
      </c>
      <c r="Q46" s="63">
        <f t="shared" si="1"/>
        <v>0</v>
      </c>
    </row>
    <row r="47" spans="2:18" ht="21" customHeight="1" x14ac:dyDescent="0.2">
      <c r="B47" s="60"/>
      <c r="C47" s="71"/>
      <c r="D47" s="61"/>
      <c r="E47" s="61"/>
      <c r="F47" s="61"/>
      <c r="G47" s="61"/>
      <c r="H47" s="61"/>
      <c r="I47" s="61"/>
      <c r="J47" s="61"/>
      <c r="K47" s="61"/>
      <c r="L47" s="61"/>
      <c r="M47" s="61"/>
      <c r="N47" s="61"/>
      <c r="O47" s="61"/>
      <c r="P47" s="61"/>
    </row>
    <row r="48" spans="2:18" x14ac:dyDescent="0.2">
      <c r="B48" t="s">
        <v>139</v>
      </c>
      <c r="C48" s="71">
        <f>SUM(C45,C30)</f>
        <v>55504709.281990647</v>
      </c>
      <c r="D48" s="71">
        <f t="shared" ref="D48:P48" si="16">SUM(D45,D30)</f>
        <v>55504709.281990625</v>
      </c>
      <c r="E48" s="71">
        <f t="shared" si="16"/>
        <v>0</v>
      </c>
      <c r="F48" s="71">
        <f t="shared" si="16"/>
        <v>0</v>
      </c>
      <c r="G48" s="71">
        <f t="shared" si="16"/>
        <v>0</v>
      </c>
      <c r="H48" s="71">
        <f t="shared" si="16"/>
        <v>2139079.755275948</v>
      </c>
      <c r="I48" s="71">
        <f t="shared" si="16"/>
        <v>14064600.550849114</v>
      </c>
      <c r="J48" s="71">
        <f t="shared" si="16"/>
        <v>11936198.261249229</v>
      </c>
      <c r="K48" s="71">
        <f t="shared" si="16"/>
        <v>11557196.727316592</v>
      </c>
      <c r="L48" s="71">
        <f t="shared" si="16"/>
        <v>7668439.2730676988</v>
      </c>
      <c r="M48" s="71">
        <f t="shared" si="16"/>
        <v>5154576.275920108</v>
      </c>
      <c r="N48" s="71">
        <f t="shared" si="16"/>
        <v>2792635.364299831</v>
      </c>
      <c r="O48" s="71">
        <f t="shared" si="16"/>
        <v>191983.07401210169</v>
      </c>
      <c r="P48" s="71">
        <f t="shared" si="16"/>
        <v>55504709.281990625</v>
      </c>
    </row>
    <row r="49" spans="3:3" x14ac:dyDescent="0.2">
      <c r="C49" s="63">
        <f>SUM(C45,C30)</f>
        <v>55504709.281990647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0F229-A1A1-4988-BBBA-60CDD127A5C0}">
  <sheetPr>
    <tabColor rgb="FFFFC000"/>
  </sheetPr>
  <dimension ref="B4:AD46"/>
  <sheetViews>
    <sheetView topLeftCell="A12" workbookViewId="0">
      <selection activeCell="B45" sqref="B45"/>
    </sheetView>
  </sheetViews>
  <sheetFormatPr baseColWidth="10" defaultColWidth="8.83203125" defaultRowHeight="15" x14ac:dyDescent="0.2"/>
  <cols>
    <col min="3" max="3" width="22.33203125" customWidth="1"/>
    <col min="4" max="4" width="14.1640625" customWidth="1"/>
    <col min="5" max="5" width="17.5" customWidth="1"/>
    <col min="6" max="7" width="15.6640625" customWidth="1"/>
    <col min="8" max="9" width="15.6640625" hidden="1" customWidth="1"/>
    <col min="10" max="10" width="14.5" customWidth="1"/>
    <col min="11" max="11" width="14.5" hidden="1" customWidth="1"/>
    <col min="12" max="12" width="13.6640625" hidden="1" customWidth="1"/>
    <col min="13" max="14" width="16.5" hidden="1" customWidth="1"/>
    <col min="15" max="15" width="13.6640625" customWidth="1"/>
    <col min="18" max="18" width="23.1640625" customWidth="1"/>
  </cols>
  <sheetData>
    <row r="4" spans="3:18" ht="68" customHeight="1" x14ac:dyDescent="0.2">
      <c r="C4" s="235" t="s">
        <v>150</v>
      </c>
      <c r="D4" s="235"/>
      <c r="E4" s="235"/>
      <c r="F4" s="235"/>
      <c r="G4" s="235"/>
      <c r="H4" s="235"/>
      <c r="I4" s="235"/>
      <c r="J4" s="235"/>
      <c r="K4" s="235"/>
      <c r="L4" s="235"/>
      <c r="M4" s="235"/>
      <c r="N4" s="235"/>
      <c r="O4" s="235"/>
    </row>
    <row r="5" spans="3:18" ht="16" thickBot="1" x14ac:dyDescent="0.25">
      <c r="C5" s="13"/>
    </row>
    <row r="6" spans="3:18" ht="61" thickBot="1" x14ac:dyDescent="0.25">
      <c r="C6" s="50" t="s">
        <v>140</v>
      </c>
      <c r="D6" s="51" t="s">
        <v>151</v>
      </c>
      <c r="E6" s="51" t="s">
        <v>152</v>
      </c>
      <c r="F6" s="51" t="s">
        <v>153</v>
      </c>
      <c r="G6" s="51" t="s">
        <v>197</v>
      </c>
      <c r="H6" s="51" t="s">
        <v>154</v>
      </c>
      <c r="I6" s="51" t="s">
        <v>155</v>
      </c>
      <c r="J6" s="51" t="s">
        <v>156</v>
      </c>
      <c r="K6" s="51" t="s">
        <v>157</v>
      </c>
      <c r="L6" s="51" t="s">
        <v>158</v>
      </c>
      <c r="M6" s="51" t="s">
        <v>159</v>
      </c>
      <c r="N6" s="51" t="s">
        <v>160</v>
      </c>
      <c r="O6" s="51" t="s">
        <v>161</v>
      </c>
      <c r="R6" s="53" t="s">
        <v>198</v>
      </c>
    </row>
    <row r="7" spans="3:18" ht="16" thickBot="1" x14ac:dyDescent="0.25">
      <c r="C7" s="22">
        <v>2030</v>
      </c>
      <c r="D7" s="23"/>
      <c r="E7" s="23"/>
      <c r="F7" s="23"/>
      <c r="G7" s="23"/>
      <c r="H7" s="23"/>
      <c r="I7" s="23"/>
      <c r="J7" s="23"/>
      <c r="K7" s="23"/>
      <c r="L7" s="23"/>
      <c r="M7" s="24"/>
      <c r="N7" s="24"/>
      <c r="O7" s="23"/>
    </row>
    <row r="8" spans="3:18" ht="16" thickBot="1" x14ac:dyDescent="0.25">
      <c r="C8" s="14" t="s">
        <v>34</v>
      </c>
      <c r="D8" s="15">
        <v>23000</v>
      </c>
      <c r="E8" s="15">
        <v>192673</v>
      </c>
      <c r="F8" s="16">
        <v>135</v>
      </c>
      <c r="G8" s="52">
        <f>F8*1.5</f>
        <v>202.5</v>
      </c>
      <c r="H8" s="25">
        <f>F8/E8</f>
        <v>7.0066900915021824E-4</v>
      </c>
      <c r="I8" s="26">
        <f>E8*1%</f>
        <v>1926.73</v>
      </c>
      <c r="J8" s="15">
        <v>1476</v>
      </c>
      <c r="K8" s="15">
        <f>J8/D8*1000</f>
        <v>64.173913043478265</v>
      </c>
      <c r="L8" s="42">
        <f>F8/J8</f>
        <v>9.1463414634146339E-2</v>
      </c>
      <c r="M8" s="18">
        <f>J8-F8</f>
        <v>1341</v>
      </c>
      <c r="N8" s="18">
        <f>J8-I8</f>
        <v>-450.73</v>
      </c>
      <c r="O8" s="42">
        <f>G8/J8</f>
        <v>0.13719512195121952</v>
      </c>
      <c r="R8" s="54">
        <f>G8-F8</f>
        <v>67.5</v>
      </c>
    </row>
    <row r="9" spans="3:18" ht="16" thickBot="1" x14ac:dyDescent="0.25">
      <c r="C9" s="14" t="s">
        <v>36</v>
      </c>
      <c r="D9" s="15">
        <v>74000</v>
      </c>
      <c r="E9" s="15">
        <v>298210</v>
      </c>
      <c r="F9" s="16">
        <v>386</v>
      </c>
      <c r="G9" s="52">
        <f t="shared" ref="G9:G12" si="0">F9*1.5</f>
        <v>579</v>
      </c>
      <c r="H9" s="25">
        <f t="shared" ref="H9:H12" si="1">F9/E9</f>
        <v>1.2943898594949869E-3</v>
      </c>
      <c r="I9" s="26">
        <f t="shared" ref="I9:I12" si="2">E9*1%</f>
        <v>2982.1</v>
      </c>
      <c r="J9" s="15">
        <v>4855</v>
      </c>
      <c r="K9" s="15">
        <f t="shared" ref="K9:K19" si="3">J9/D9*1000</f>
        <v>65.608108108108098</v>
      </c>
      <c r="L9" s="42">
        <f t="shared" ref="L9:L19" si="4">F9/J9</f>
        <v>7.950566426364572E-2</v>
      </c>
      <c r="M9" s="18">
        <f t="shared" ref="M9:M13" si="5">J9-F9</f>
        <v>4469</v>
      </c>
      <c r="N9" s="18">
        <f t="shared" ref="N9:N13" si="6">J9-I9</f>
        <v>1872.9</v>
      </c>
      <c r="O9" s="42"/>
      <c r="R9" s="54">
        <f t="shared" ref="R9:R12" si="7">G9-F9</f>
        <v>193</v>
      </c>
    </row>
    <row r="10" spans="3:18" ht="16" thickBot="1" x14ac:dyDescent="0.25">
      <c r="C10" s="14" t="s">
        <v>162</v>
      </c>
      <c r="D10" s="15">
        <v>40000</v>
      </c>
      <c r="E10" s="15">
        <v>257126</v>
      </c>
      <c r="F10" s="16">
        <v>77</v>
      </c>
      <c r="G10" s="52">
        <f t="shared" si="0"/>
        <v>115.5</v>
      </c>
      <c r="H10" s="25">
        <f t="shared" si="1"/>
        <v>2.9946407597831413E-4</v>
      </c>
      <c r="I10" s="26">
        <f t="shared" si="2"/>
        <v>2571.2600000000002</v>
      </c>
      <c r="J10" s="15">
        <v>2399</v>
      </c>
      <c r="K10" s="15">
        <f t="shared" si="3"/>
        <v>59.975000000000001</v>
      </c>
      <c r="L10" s="42">
        <f t="shared" si="4"/>
        <v>3.2096706961233845E-2</v>
      </c>
      <c r="M10" s="18">
        <f t="shared" si="5"/>
        <v>2322</v>
      </c>
      <c r="N10" s="18">
        <f t="shared" si="6"/>
        <v>-172.26000000000022</v>
      </c>
      <c r="O10" s="42">
        <f t="shared" ref="O10:O13" si="8">G10/J10</f>
        <v>4.8145060441850768E-2</v>
      </c>
      <c r="R10" s="54">
        <f t="shared" si="7"/>
        <v>38.5</v>
      </c>
    </row>
    <row r="11" spans="3:18" ht="16" thickBot="1" x14ac:dyDescent="0.25">
      <c r="C11" s="14" t="s">
        <v>163</v>
      </c>
      <c r="D11" s="15">
        <v>169000</v>
      </c>
      <c r="E11" s="15">
        <v>72204</v>
      </c>
      <c r="F11" s="18">
        <v>1036</v>
      </c>
      <c r="G11" s="52">
        <f t="shared" si="0"/>
        <v>1554</v>
      </c>
      <c r="H11" s="25">
        <f t="shared" si="1"/>
        <v>1.4348235554816907E-2</v>
      </c>
      <c r="I11" s="26">
        <f t="shared" si="2"/>
        <v>722.04</v>
      </c>
      <c r="J11" s="15">
        <v>8786</v>
      </c>
      <c r="K11" s="15">
        <f t="shared" si="3"/>
        <v>51.988165680473372</v>
      </c>
      <c r="L11" s="42">
        <f t="shared" si="4"/>
        <v>0.11791486455725017</v>
      </c>
      <c r="M11" s="18">
        <f t="shared" si="5"/>
        <v>7750</v>
      </c>
      <c r="N11" s="18">
        <f t="shared" si="6"/>
        <v>8063.96</v>
      </c>
      <c r="O11" s="42">
        <f t="shared" si="8"/>
        <v>0.17687229683587524</v>
      </c>
      <c r="R11" s="54">
        <f t="shared" si="7"/>
        <v>518</v>
      </c>
    </row>
    <row r="12" spans="3:18" ht="16" thickBot="1" x14ac:dyDescent="0.25">
      <c r="C12" s="14" t="s">
        <v>40</v>
      </c>
      <c r="D12" s="15">
        <v>7000</v>
      </c>
      <c r="E12" s="15">
        <v>130832</v>
      </c>
      <c r="F12" s="16">
        <v>4.4000000000000004</v>
      </c>
      <c r="G12" s="52">
        <f t="shared" si="0"/>
        <v>6.6000000000000005</v>
      </c>
      <c r="H12" s="25">
        <f t="shared" si="1"/>
        <v>3.3630915983857165E-5</v>
      </c>
      <c r="I12" s="26">
        <f t="shared" si="2"/>
        <v>1308.32</v>
      </c>
      <c r="J12" s="17">
        <v>480</v>
      </c>
      <c r="K12" s="15">
        <f t="shared" si="3"/>
        <v>68.571428571428569</v>
      </c>
      <c r="L12" s="42">
        <f t="shared" si="4"/>
        <v>9.1666666666666667E-3</v>
      </c>
      <c r="M12" s="18">
        <f t="shared" si="5"/>
        <v>475.6</v>
      </c>
      <c r="N12" s="18">
        <f t="shared" si="6"/>
        <v>-828.31999999999994</v>
      </c>
      <c r="O12" s="42">
        <f t="shared" si="8"/>
        <v>1.3750000000000002E-2</v>
      </c>
      <c r="R12" s="54">
        <f t="shared" si="7"/>
        <v>2.2000000000000002</v>
      </c>
    </row>
    <row r="13" spans="3:18" ht="16" thickBot="1" x14ac:dyDescent="0.25">
      <c r="C13" s="19" t="s">
        <v>32</v>
      </c>
      <c r="D13" s="20">
        <f t="shared" ref="D13:J13" si="9">SUM(D8:D12)</f>
        <v>313000</v>
      </c>
      <c r="E13" s="20">
        <f t="shared" si="9"/>
        <v>951045</v>
      </c>
      <c r="F13" s="20">
        <f t="shared" si="9"/>
        <v>1638.4</v>
      </c>
      <c r="G13" s="20">
        <f t="shared" si="9"/>
        <v>2457.6</v>
      </c>
      <c r="H13" s="20">
        <f t="shared" si="9"/>
        <v>1.6676389415424285E-2</v>
      </c>
      <c r="I13" s="20">
        <f t="shared" si="9"/>
        <v>9510.4500000000007</v>
      </c>
      <c r="J13" s="20">
        <f t="shared" si="9"/>
        <v>17996</v>
      </c>
      <c r="K13" s="20">
        <f t="shared" si="3"/>
        <v>57.495207667731627</v>
      </c>
      <c r="L13" s="43">
        <f t="shared" si="4"/>
        <v>9.1042453878639698E-2</v>
      </c>
      <c r="M13" s="21">
        <f t="shared" si="5"/>
        <v>16357.6</v>
      </c>
      <c r="N13" s="21">
        <f t="shared" si="6"/>
        <v>8485.5499999999993</v>
      </c>
      <c r="O13" s="44">
        <f t="shared" si="8"/>
        <v>0.13656368081795955</v>
      </c>
      <c r="R13" s="20">
        <f>SUM(R8:R12)</f>
        <v>819.2</v>
      </c>
    </row>
    <row r="14" spans="3:18" ht="16" thickBot="1" x14ac:dyDescent="0.25">
      <c r="C14" s="22">
        <v>2050</v>
      </c>
      <c r="D14" s="23"/>
      <c r="E14" s="23" t="s">
        <v>164</v>
      </c>
      <c r="F14" s="23"/>
      <c r="G14" s="23"/>
      <c r="H14" s="23"/>
      <c r="I14" s="23"/>
      <c r="J14" s="23"/>
      <c r="K14" s="23"/>
      <c r="L14" s="23"/>
      <c r="M14" s="24"/>
      <c r="N14" s="24"/>
      <c r="O14" s="23"/>
    </row>
    <row r="15" spans="3:18" ht="16" thickBot="1" x14ac:dyDescent="0.25">
      <c r="C15" s="14" t="s">
        <v>34</v>
      </c>
      <c r="D15" s="15">
        <v>22000</v>
      </c>
      <c r="E15" s="15">
        <v>167625</v>
      </c>
      <c r="F15" s="16">
        <v>135</v>
      </c>
      <c r="G15" s="16"/>
      <c r="H15" s="16"/>
      <c r="I15" s="26">
        <f t="shared" ref="I15:I19" si="10">E15*1%</f>
        <v>1676.25</v>
      </c>
      <c r="J15" s="15">
        <v>1467</v>
      </c>
      <c r="K15" s="15">
        <f t="shared" si="3"/>
        <v>66.681818181818173</v>
      </c>
      <c r="L15" s="42">
        <f t="shared" si="4"/>
        <v>9.202453987730061E-2</v>
      </c>
      <c r="M15" s="18">
        <f t="shared" ref="M15:M19" si="11">J15-F15</f>
        <v>1332</v>
      </c>
      <c r="N15" s="18">
        <f t="shared" ref="N15:N19" si="12">J15-I15</f>
        <v>-209.25</v>
      </c>
      <c r="O15" s="42">
        <f t="shared" ref="O15:O19" si="13">I15/J15</f>
        <v>1.1426380368098159</v>
      </c>
    </row>
    <row r="16" spans="3:18" ht="16" thickBot="1" x14ac:dyDescent="0.25">
      <c r="C16" s="14" t="s">
        <v>36</v>
      </c>
      <c r="D16" s="15">
        <v>96000</v>
      </c>
      <c r="E16" s="15">
        <v>273727</v>
      </c>
      <c r="F16" s="16">
        <v>386</v>
      </c>
      <c r="G16" s="16"/>
      <c r="H16" s="16"/>
      <c r="I16" s="26">
        <f t="shared" si="10"/>
        <v>2737.27</v>
      </c>
      <c r="J16" s="15">
        <v>6399</v>
      </c>
      <c r="K16" s="15">
        <f t="shared" si="3"/>
        <v>66.65625</v>
      </c>
      <c r="L16" s="42">
        <f t="shared" si="4"/>
        <v>6.0321925300828257E-2</v>
      </c>
      <c r="M16" s="18">
        <f t="shared" si="11"/>
        <v>6013</v>
      </c>
      <c r="N16" s="18">
        <f t="shared" si="12"/>
        <v>3661.73</v>
      </c>
      <c r="O16" s="42">
        <f t="shared" si="13"/>
        <v>0.42776527582434754</v>
      </c>
    </row>
    <row r="17" spans="2:18" ht="16" thickBot="1" x14ac:dyDescent="0.25">
      <c r="C17" s="14" t="s">
        <v>162</v>
      </c>
      <c r="D17" s="15">
        <v>39000</v>
      </c>
      <c r="E17" s="15">
        <v>255326</v>
      </c>
      <c r="F17" s="16">
        <v>77</v>
      </c>
      <c r="G17" s="16"/>
      <c r="H17" s="16"/>
      <c r="I17" s="26">
        <f t="shared" si="10"/>
        <v>2553.2600000000002</v>
      </c>
      <c r="J17" s="15">
        <v>2390</v>
      </c>
      <c r="K17" s="15">
        <f t="shared" si="3"/>
        <v>61.282051282051285</v>
      </c>
      <c r="L17" s="42">
        <f t="shared" si="4"/>
        <v>3.221757322175732E-2</v>
      </c>
      <c r="M17" s="18">
        <f t="shared" si="11"/>
        <v>2313</v>
      </c>
      <c r="N17" s="18">
        <f t="shared" si="12"/>
        <v>-163.26000000000022</v>
      </c>
      <c r="O17" s="42">
        <f t="shared" si="13"/>
        <v>1.0683096234309624</v>
      </c>
    </row>
    <row r="18" spans="2:18" ht="16" thickBot="1" x14ac:dyDescent="0.25">
      <c r="C18" s="14" t="s">
        <v>163</v>
      </c>
      <c r="D18" s="15">
        <v>253000</v>
      </c>
      <c r="E18" s="15">
        <v>53507</v>
      </c>
      <c r="F18" s="18">
        <v>1036</v>
      </c>
      <c r="G18" s="18"/>
      <c r="H18" s="18"/>
      <c r="I18" s="26">
        <f t="shared" si="10"/>
        <v>535.07000000000005</v>
      </c>
      <c r="J18" s="15">
        <v>13528</v>
      </c>
      <c r="K18" s="15">
        <f t="shared" si="3"/>
        <v>53.470355731225297</v>
      </c>
      <c r="L18" s="42">
        <f t="shared" si="4"/>
        <v>7.6581904198698994E-2</v>
      </c>
      <c r="M18" s="18">
        <f t="shared" si="11"/>
        <v>12492</v>
      </c>
      <c r="N18" s="18">
        <f t="shared" si="12"/>
        <v>12992.93</v>
      </c>
      <c r="O18" s="42">
        <f t="shared" si="13"/>
        <v>3.9552779420461266E-2</v>
      </c>
    </row>
    <row r="19" spans="2:18" ht="16" thickBot="1" x14ac:dyDescent="0.25">
      <c r="C19" s="14" t="s">
        <v>40</v>
      </c>
      <c r="D19" s="15">
        <v>7000</v>
      </c>
      <c r="E19" s="15">
        <v>100217</v>
      </c>
      <c r="F19" s="16">
        <v>4.4000000000000004</v>
      </c>
      <c r="G19" s="16"/>
      <c r="H19" s="16"/>
      <c r="I19" s="26">
        <f t="shared" si="10"/>
        <v>1002.1700000000001</v>
      </c>
      <c r="J19" s="17">
        <v>493</v>
      </c>
      <c r="K19" s="15">
        <f t="shared" si="3"/>
        <v>70.428571428571431</v>
      </c>
      <c r="L19" s="42">
        <f t="shared" si="4"/>
        <v>8.9249492900608518E-3</v>
      </c>
      <c r="M19" s="18">
        <f t="shared" si="11"/>
        <v>488.6</v>
      </c>
      <c r="N19" s="18">
        <f t="shared" si="12"/>
        <v>-509.17000000000007</v>
      </c>
      <c r="O19" s="42">
        <f t="shared" si="13"/>
        <v>2.0327991886409738</v>
      </c>
    </row>
    <row r="20" spans="2:18" ht="16" thickBot="1" x14ac:dyDescent="0.25">
      <c r="C20" s="19" t="s">
        <v>32</v>
      </c>
      <c r="D20" s="20">
        <f>SUM(D15:D19)</f>
        <v>417000</v>
      </c>
      <c r="E20" s="20">
        <f>SUM(E15:E19)</f>
        <v>850402</v>
      </c>
      <c r="F20" s="20">
        <f t="shared" ref="F20:N20" si="14">SUM(F15:F19)</f>
        <v>1638.4</v>
      </c>
      <c r="G20" s="20"/>
      <c r="H20" s="20">
        <f t="shared" si="14"/>
        <v>0</v>
      </c>
      <c r="I20" s="20">
        <f t="shared" si="14"/>
        <v>8504.02</v>
      </c>
      <c r="J20" s="20">
        <f t="shared" si="14"/>
        <v>24277</v>
      </c>
      <c r="K20" s="20">
        <f t="shared" si="14"/>
        <v>318.51904662366621</v>
      </c>
      <c r="L20" s="20">
        <f t="shared" si="14"/>
        <v>0.27007089188864597</v>
      </c>
      <c r="M20" s="20">
        <f t="shared" si="14"/>
        <v>22638.6</v>
      </c>
      <c r="N20" s="20">
        <f t="shared" si="14"/>
        <v>15772.98</v>
      </c>
      <c r="O20" s="44">
        <f>I20/J20</f>
        <v>0.35029122214441655</v>
      </c>
    </row>
    <row r="24" spans="2:18" ht="16" thickBot="1" x14ac:dyDescent="0.25">
      <c r="B24">
        <v>2030</v>
      </c>
      <c r="C24" s="14" t="s">
        <v>148</v>
      </c>
      <c r="D24" s="15">
        <v>1407000</v>
      </c>
      <c r="E24" s="15">
        <v>310076</v>
      </c>
      <c r="F24" s="18">
        <v>2739</v>
      </c>
      <c r="G24" s="52">
        <f>F24*1.5</f>
        <v>4108.5</v>
      </c>
      <c r="H24" s="25">
        <f>F24/E24</f>
        <v>8.8333182832595874E-3</v>
      </c>
      <c r="I24" s="26">
        <f>E24*1%</f>
        <v>3100.76</v>
      </c>
      <c r="J24" s="15">
        <v>73773</v>
      </c>
      <c r="K24" s="15">
        <f>J24/D24*1000</f>
        <v>52.432835820895519</v>
      </c>
      <c r="L24" s="42">
        <f>F24/J24</f>
        <v>3.7127404334919283E-2</v>
      </c>
      <c r="M24" s="18">
        <f>J24-F24</f>
        <v>71034</v>
      </c>
      <c r="N24" s="18">
        <f>J24-I24</f>
        <v>70672.240000000005</v>
      </c>
      <c r="O24" s="42">
        <f>G24/J24</f>
        <v>5.569110650237892E-2</v>
      </c>
      <c r="R24" s="54">
        <f>G24-F24</f>
        <v>1369.5</v>
      </c>
    </row>
    <row r="26" spans="2:18" ht="16" thickBot="1" x14ac:dyDescent="0.25">
      <c r="B26">
        <v>2050</v>
      </c>
      <c r="C26" s="14" t="s">
        <v>148</v>
      </c>
      <c r="D26" s="15">
        <v>0</v>
      </c>
      <c r="E26" s="15">
        <v>207441</v>
      </c>
      <c r="F26" s="18">
        <v>2739</v>
      </c>
      <c r="G26" s="18"/>
      <c r="H26" s="18"/>
      <c r="I26" s="26">
        <f>E26*1%</f>
        <v>2074.41</v>
      </c>
      <c r="J26" s="15">
        <v>104763</v>
      </c>
      <c r="K26" s="15" t="e">
        <f>J26/D26*1000</f>
        <v>#DIV/0!</v>
      </c>
      <c r="L26" s="42">
        <f>F26/J26</f>
        <v>2.6144726668766646E-2</v>
      </c>
      <c r="M26" s="18">
        <f>J26-F26</f>
        <v>102024</v>
      </c>
      <c r="N26" s="18">
        <f>J26-I26</f>
        <v>102688.59</v>
      </c>
      <c r="O26" s="42">
        <f>I26/J26</f>
        <v>1.9800979353397669E-2</v>
      </c>
    </row>
    <row r="28" spans="2:18" x14ac:dyDescent="0.2">
      <c r="D28" s="145">
        <v>0</v>
      </c>
    </row>
    <row r="35" spans="2:30" x14ac:dyDescent="0.2">
      <c r="B35" t="s">
        <v>199</v>
      </c>
      <c r="C35" t="s">
        <v>50</v>
      </c>
    </row>
    <row r="36" spans="2:30" x14ac:dyDescent="0.2">
      <c r="D36" s="146">
        <f>'Bycatch +50%'!F8</f>
        <v>135</v>
      </c>
      <c r="J36">
        <f>D36*30%</f>
        <v>40.5</v>
      </c>
      <c r="K36">
        <f>J36</f>
        <v>40.5</v>
      </c>
      <c r="L36">
        <f t="shared" ref="L36:O36" si="15">K36</f>
        <v>40.5</v>
      </c>
      <c r="M36">
        <f t="shared" si="15"/>
        <v>40.5</v>
      </c>
      <c r="N36">
        <f t="shared" si="15"/>
        <v>40.5</v>
      </c>
      <c r="O36">
        <f t="shared" si="15"/>
        <v>40.5</v>
      </c>
      <c r="P36">
        <f t="shared" ref="P36:AD36" si="16">O36</f>
        <v>40.5</v>
      </c>
      <c r="Q36">
        <f t="shared" si="16"/>
        <v>40.5</v>
      </c>
      <c r="R36">
        <f t="shared" si="16"/>
        <v>40.5</v>
      </c>
      <c r="S36">
        <f t="shared" si="16"/>
        <v>40.5</v>
      </c>
      <c r="T36">
        <f t="shared" si="16"/>
        <v>40.5</v>
      </c>
      <c r="U36">
        <f t="shared" si="16"/>
        <v>40.5</v>
      </c>
      <c r="V36">
        <f t="shared" si="16"/>
        <v>40.5</v>
      </c>
      <c r="W36">
        <f t="shared" si="16"/>
        <v>40.5</v>
      </c>
      <c r="X36">
        <f t="shared" si="16"/>
        <v>40.5</v>
      </c>
      <c r="Y36">
        <f t="shared" si="16"/>
        <v>40.5</v>
      </c>
      <c r="Z36">
        <f t="shared" si="16"/>
        <v>40.5</v>
      </c>
      <c r="AA36">
        <f t="shared" si="16"/>
        <v>40.5</v>
      </c>
      <c r="AB36">
        <f t="shared" si="16"/>
        <v>40.5</v>
      </c>
      <c r="AC36">
        <f t="shared" si="16"/>
        <v>40.5</v>
      </c>
      <c r="AD36">
        <f t="shared" si="16"/>
        <v>40.5</v>
      </c>
    </row>
    <row r="37" spans="2:30" x14ac:dyDescent="0.2">
      <c r="D37" s="146">
        <f>'Bycatch +50%'!F9</f>
        <v>386</v>
      </c>
      <c r="J37">
        <f t="shared" ref="J37:J40" si="17">D37*30%</f>
        <v>115.8</v>
      </c>
      <c r="K37">
        <f t="shared" ref="K37:N40" si="18">J37</f>
        <v>115.8</v>
      </c>
      <c r="L37">
        <f t="shared" si="18"/>
        <v>115.8</v>
      </c>
      <c r="M37">
        <f t="shared" si="18"/>
        <v>115.8</v>
      </c>
      <c r="N37">
        <f t="shared" si="18"/>
        <v>115.8</v>
      </c>
      <c r="O37">
        <f t="shared" ref="O37:AD37" si="19">N37</f>
        <v>115.8</v>
      </c>
      <c r="P37">
        <f t="shared" si="19"/>
        <v>115.8</v>
      </c>
      <c r="Q37">
        <f t="shared" si="19"/>
        <v>115.8</v>
      </c>
      <c r="R37">
        <f t="shared" si="19"/>
        <v>115.8</v>
      </c>
      <c r="S37">
        <f t="shared" si="19"/>
        <v>115.8</v>
      </c>
      <c r="T37">
        <f t="shared" si="19"/>
        <v>115.8</v>
      </c>
      <c r="U37">
        <f t="shared" si="19"/>
        <v>115.8</v>
      </c>
      <c r="V37">
        <f t="shared" si="19"/>
        <v>115.8</v>
      </c>
      <c r="W37">
        <f t="shared" si="19"/>
        <v>115.8</v>
      </c>
      <c r="X37">
        <f t="shared" si="19"/>
        <v>115.8</v>
      </c>
      <c r="Y37">
        <f t="shared" si="19"/>
        <v>115.8</v>
      </c>
      <c r="Z37">
        <f t="shared" si="19"/>
        <v>115.8</v>
      </c>
      <c r="AA37">
        <f t="shared" si="19"/>
        <v>115.8</v>
      </c>
      <c r="AB37">
        <f t="shared" si="19"/>
        <v>115.8</v>
      </c>
      <c r="AC37">
        <f t="shared" si="19"/>
        <v>115.8</v>
      </c>
      <c r="AD37">
        <f t="shared" si="19"/>
        <v>115.8</v>
      </c>
    </row>
    <row r="38" spans="2:30" x14ac:dyDescent="0.2">
      <c r="D38" s="146">
        <f>'Bycatch +50%'!F10</f>
        <v>77</v>
      </c>
      <c r="J38">
        <f t="shared" si="17"/>
        <v>23.099999999999998</v>
      </c>
      <c r="K38">
        <f t="shared" si="18"/>
        <v>23.099999999999998</v>
      </c>
      <c r="L38">
        <f t="shared" si="18"/>
        <v>23.099999999999998</v>
      </c>
      <c r="M38">
        <f t="shared" si="18"/>
        <v>23.099999999999998</v>
      </c>
      <c r="N38">
        <f t="shared" si="18"/>
        <v>23.099999999999998</v>
      </c>
      <c r="O38">
        <f t="shared" ref="O38:AD38" si="20">N38</f>
        <v>23.099999999999998</v>
      </c>
      <c r="P38">
        <f t="shared" si="20"/>
        <v>23.099999999999998</v>
      </c>
      <c r="Q38">
        <f t="shared" si="20"/>
        <v>23.099999999999998</v>
      </c>
      <c r="R38">
        <f t="shared" si="20"/>
        <v>23.099999999999998</v>
      </c>
      <c r="S38">
        <f t="shared" si="20"/>
        <v>23.099999999999998</v>
      </c>
      <c r="T38">
        <f t="shared" si="20"/>
        <v>23.099999999999998</v>
      </c>
      <c r="U38">
        <f t="shared" si="20"/>
        <v>23.099999999999998</v>
      </c>
      <c r="V38">
        <f t="shared" si="20"/>
        <v>23.099999999999998</v>
      </c>
      <c r="W38">
        <f t="shared" si="20"/>
        <v>23.099999999999998</v>
      </c>
      <c r="X38">
        <f t="shared" si="20"/>
        <v>23.099999999999998</v>
      </c>
      <c r="Y38">
        <f t="shared" si="20"/>
        <v>23.099999999999998</v>
      </c>
      <c r="Z38">
        <f t="shared" si="20"/>
        <v>23.099999999999998</v>
      </c>
      <c r="AA38">
        <f t="shared" si="20"/>
        <v>23.099999999999998</v>
      </c>
      <c r="AB38">
        <f t="shared" si="20"/>
        <v>23.099999999999998</v>
      </c>
      <c r="AC38">
        <f t="shared" si="20"/>
        <v>23.099999999999998</v>
      </c>
      <c r="AD38">
        <f t="shared" si="20"/>
        <v>23.099999999999998</v>
      </c>
    </row>
    <row r="39" spans="2:30" x14ac:dyDescent="0.2">
      <c r="D39" s="146">
        <f>'Bycatch +50%'!F11</f>
        <v>1036</v>
      </c>
      <c r="J39">
        <f t="shared" si="17"/>
        <v>310.8</v>
      </c>
      <c r="K39">
        <f t="shared" si="18"/>
        <v>310.8</v>
      </c>
      <c r="L39">
        <f t="shared" si="18"/>
        <v>310.8</v>
      </c>
      <c r="M39">
        <f t="shared" si="18"/>
        <v>310.8</v>
      </c>
      <c r="N39">
        <f t="shared" si="18"/>
        <v>310.8</v>
      </c>
      <c r="O39">
        <f t="shared" ref="O39:AD39" si="21">N39</f>
        <v>310.8</v>
      </c>
      <c r="P39">
        <f t="shared" si="21"/>
        <v>310.8</v>
      </c>
      <c r="Q39">
        <f t="shared" si="21"/>
        <v>310.8</v>
      </c>
      <c r="R39">
        <f t="shared" si="21"/>
        <v>310.8</v>
      </c>
      <c r="S39">
        <f t="shared" si="21"/>
        <v>310.8</v>
      </c>
      <c r="T39">
        <f t="shared" si="21"/>
        <v>310.8</v>
      </c>
      <c r="U39">
        <f t="shared" si="21"/>
        <v>310.8</v>
      </c>
      <c r="V39">
        <f t="shared" si="21"/>
        <v>310.8</v>
      </c>
      <c r="W39">
        <f t="shared" si="21"/>
        <v>310.8</v>
      </c>
      <c r="X39">
        <f t="shared" si="21"/>
        <v>310.8</v>
      </c>
      <c r="Y39">
        <f t="shared" si="21"/>
        <v>310.8</v>
      </c>
      <c r="Z39">
        <f t="shared" si="21"/>
        <v>310.8</v>
      </c>
      <c r="AA39">
        <f t="shared" si="21"/>
        <v>310.8</v>
      </c>
      <c r="AB39">
        <f t="shared" si="21"/>
        <v>310.8</v>
      </c>
      <c r="AC39">
        <f t="shared" si="21"/>
        <v>310.8</v>
      </c>
      <c r="AD39">
        <f t="shared" si="21"/>
        <v>310.8</v>
      </c>
    </row>
    <row r="40" spans="2:30" x14ac:dyDescent="0.2">
      <c r="D40" s="146">
        <f>'Bycatch +50%'!F12</f>
        <v>4.4000000000000004</v>
      </c>
      <c r="J40">
        <f t="shared" si="17"/>
        <v>1.32</v>
      </c>
      <c r="K40">
        <f t="shared" si="18"/>
        <v>1.32</v>
      </c>
      <c r="L40">
        <f t="shared" si="18"/>
        <v>1.32</v>
      </c>
      <c r="M40">
        <f t="shared" si="18"/>
        <v>1.32</v>
      </c>
      <c r="N40">
        <f t="shared" si="18"/>
        <v>1.32</v>
      </c>
      <c r="O40">
        <f t="shared" ref="O40:AD40" si="22">N40</f>
        <v>1.32</v>
      </c>
      <c r="P40">
        <f t="shared" si="22"/>
        <v>1.32</v>
      </c>
      <c r="Q40">
        <f t="shared" si="22"/>
        <v>1.32</v>
      </c>
      <c r="R40">
        <f t="shared" si="22"/>
        <v>1.32</v>
      </c>
      <c r="S40">
        <f t="shared" si="22"/>
        <v>1.32</v>
      </c>
      <c r="T40">
        <f t="shared" si="22"/>
        <v>1.32</v>
      </c>
      <c r="U40">
        <f t="shared" si="22"/>
        <v>1.32</v>
      </c>
      <c r="V40">
        <f t="shared" si="22"/>
        <v>1.32</v>
      </c>
      <c r="W40">
        <f t="shared" si="22"/>
        <v>1.32</v>
      </c>
      <c r="X40">
        <f t="shared" si="22"/>
        <v>1.32</v>
      </c>
      <c r="Y40">
        <f t="shared" si="22"/>
        <v>1.32</v>
      </c>
      <c r="Z40">
        <f t="shared" si="22"/>
        <v>1.32</v>
      </c>
      <c r="AA40">
        <f t="shared" si="22"/>
        <v>1.32</v>
      </c>
      <c r="AB40">
        <f t="shared" si="22"/>
        <v>1.32</v>
      </c>
      <c r="AC40">
        <f t="shared" si="22"/>
        <v>1.32</v>
      </c>
      <c r="AD40">
        <f t="shared" si="22"/>
        <v>1.32</v>
      </c>
    </row>
    <row r="41" spans="2:30" x14ac:dyDescent="0.2">
      <c r="D41" s="63">
        <f>SUM(D36:D40)</f>
        <v>1638.4</v>
      </c>
    </row>
    <row r="43" spans="2:30" x14ac:dyDescent="0.2">
      <c r="B43" t="s">
        <v>51</v>
      </c>
      <c r="C43" t="s">
        <v>52</v>
      </c>
      <c r="D43" t="s">
        <v>35</v>
      </c>
      <c r="E43">
        <f>E41*1*1000</f>
        <v>0</v>
      </c>
      <c r="F43">
        <f>F41*$D32*1000</f>
        <v>0</v>
      </c>
      <c r="G43">
        <f>G41*$D32</f>
        <v>0</v>
      </c>
      <c r="H43">
        <f t="shared" ref="H43:AD43" si="23">H41*$D32</f>
        <v>0</v>
      </c>
      <c r="I43">
        <f t="shared" si="23"/>
        <v>0</v>
      </c>
      <c r="J43">
        <f t="shared" si="23"/>
        <v>0</v>
      </c>
      <c r="K43">
        <f t="shared" si="23"/>
        <v>0</v>
      </c>
      <c r="L43">
        <f t="shared" si="23"/>
        <v>0</v>
      </c>
      <c r="M43">
        <f t="shared" si="23"/>
        <v>0</v>
      </c>
      <c r="N43">
        <f t="shared" si="23"/>
        <v>0</v>
      </c>
      <c r="O43">
        <f t="shared" si="23"/>
        <v>0</v>
      </c>
      <c r="P43">
        <f t="shared" si="23"/>
        <v>0</v>
      </c>
      <c r="Q43">
        <f t="shared" si="23"/>
        <v>0</v>
      </c>
      <c r="R43">
        <f t="shared" si="23"/>
        <v>0</v>
      </c>
      <c r="S43">
        <f t="shared" si="23"/>
        <v>0</v>
      </c>
      <c r="T43">
        <f t="shared" si="23"/>
        <v>0</v>
      </c>
      <c r="U43">
        <f t="shared" si="23"/>
        <v>0</v>
      </c>
      <c r="V43">
        <f t="shared" si="23"/>
        <v>0</v>
      </c>
      <c r="W43">
        <f t="shared" si="23"/>
        <v>0</v>
      </c>
      <c r="X43">
        <f t="shared" si="23"/>
        <v>0</v>
      </c>
      <c r="Y43">
        <f t="shared" si="23"/>
        <v>0</v>
      </c>
      <c r="Z43">
        <f t="shared" si="23"/>
        <v>0</v>
      </c>
      <c r="AA43">
        <f t="shared" si="23"/>
        <v>0</v>
      </c>
      <c r="AB43">
        <f t="shared" si="23"/>
        <v>0</v>
      </c>
      <c r="AC43">
        <f t="shared" si="23"/>
        <v>0</v>
      </c>
      <c r="AD43">
        <f t="shared" si="23"/>
        <v>0</v>
      </c>
    </row>
    <row r="45" spans="2:30" x14ac:dyDescent="0.2">
      <c r="B45" s="55" t="s">
        <v>53</v>
      </c>
      <c r="E45" s="141">
        <f>SUM(E32,E43)</f>
        <v>0</v>
      </c>
      <c r="F45" s="141">
        <f t="shared" ref="F45:AD45" si="24">SUM(F32,F43)</f>
        <v>0</v>
      </c>
      <c r="G45" s="141">
        <f t="shared" si="24"/>
        <v>0</v>
      </c>
      <c r="H45" s="141">
        <f t="shared" si="24"/>
        <v>0</v>
      </c>
      <c r="I45" s="141">
        <f t="shared" si="24"/>
        <v>0</v>
      </c>
      <c r="J45" s="141">
        <f t="shared" si="24"/>
        <v>0</v>
      </c>
      <c r="K45" s="141">
        <f t="shared" si="24"/>
        <v>0</v>
      </c>
      <c r="L45" s="141">
        <f t="shared" si="24"/>
        <v>0</v>
      </c>
      <c r="M45" s="141">
        <f t="shared" si="24"/>
        <v>0</v>
      </c>
      <c r="N45" s="141">
        <f t="shared" si="24"/>
        <v>0</v>
      </c>
      <c r="O45" s="141">
        <f t="shared" si="24"/>
        <v>0</v>
      </c>
      <c r="P45" s="141">
        <f t="shared" si="24"/>
        <v>0</v>
      </c>
      <c r="Q45" s="141">
        <f t="shared" si="24"/>
        <v>0</v>
      </c>
      <c r="R45" s="141">
        <f t="shared" si="24"/>
        <v>0</v>
      </c>
      <c r="S45" s="141">
        <f t="shared" si="24"/>
        <v>0</v>
      </c>
      <c r="T45" s="141">
        <f t="shared" si="24"/>
        <v>0</v>
      </c>
      <c r="U45" s="141">
        <f t="shared" si="24"/>
        <v>0</v>
      </c>
      <c r="V45" s="141">
        <f t="shared" si="24"/>
        <v>0</v>
      </c>
      <c r="W45" s="141">
        <f t="shared" si="24"/>
        <v>0</v>
      </c>
      <c r="X45" s="141">
        <f t="shared" si="24"/>
        <v>0</v>
      </c>
      <c r="Y45" s="141">
        <f t="shared" si="24"/>
        <v>0</v>
      </c>
      <c r="Z45" s="141">
        <f t="shared" si="24"/>
        <v>0</v>
      </c>
      <c r="AA45" s="141">
        <f t="shared" si="24"/>
        <v>0</v>
      </c>
      <c r="AB45" s="141">
        <f t="shared" si="24"/>
        <v>0</v>
      </c>
      <c r="AC45" s="141">
        <f t="shared" si="24"/>
        <v>0</v>
      </c>
      <c r="AD45" s="141">
        <f t="shared" si="24"/>
        <v>0</v>
      </c>
    </row>
    <row r="46" spans="2:30" ht="9" customHeight="1" x14ac:dyDescent="0.2"/>
  </sheetData>
  <mergeCells count="1">
    <mergeCell ref="C4:O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4EC9C-C580-4A84-973C-1398777D0548}">
  <dimension ref="C3:N13"/>
  <sheetViews>
    <sheetView workbookViewId="0">
      <selection activeCell="C5" sqref="C5:C10"/>
    </sheetView>
  </sheetViews>
  <sheetFormatPr baseColWidth="10" defaultColWidth="8.83203125" defaultRowHeight="15" x14ac:dyDescent="0.2"/>
  <cols>
    <col min="3" max="3" width="25.6640625" customWidth="1"/>
    <col min="4" max="4" width="14.5" customWidth="1"/>
    <col min="5" max="5" width="12.6640625" customWidth="1"/>
    <col min="6" max="7" width="13.33203125" customWidth="1"/>
    <col min="8" max="8" width="13" customWidth="1"/>
    <col min="9" max="9" width="11.83203125" customWidth="1"/>
    <col min="10" max="10" width="13.5" customWidth="1"/>
  </cols>
  <sheetData>
    <row r="3" spans="3:14" ht="16" thickBot="1" x14ac:dyDescent="0.25">
      <c r="C3" s="1"/>
    </row>
    <row r="4" spans="3:14" ht="53" thickBot="1" x14ac:dyDescent="0.25">
      <c r="C4" s="2" t="s">
        <v>140</v>
      </c>
      <c r="D4" s="3" t="s">
        <v>141</v>
      </c>
      <c r="E4" s="3" t="s">
        <v>142</v>
      </c>
      <c r="F4" s="3" t="s">
        <v>143</v>
      </c>
      <c r="G4" s="3" t="s">
        <v>144</v>
      </c>
      <c r="H4" s="3" t="s">
        <v>145</v>
      </c>
      <c r="I4" s="3" t="s">
        <v>146</v>
      </c>
      <c r="J4" s="3" t="s">
        <v>147</v>
      </c>
    </row>
    <row r="5" spans="3:14" ht="16" thickBot="1" x14ac:dyDescent="0.25">
      <c r="C5" s="4" t="s">
        <v>34</v>
      </c>
      <c r="D5" s="5">
        <v>23000</v>
      </c>
      <c r="E5" s="6">
        <v>135</v>
      </c>
      <c r="F5" s="7">
        <v>203</v>
      </c>
      <c r="G5" s="11">
        <f>F5/E5</f>
        <v>1.5037037037037038</v>
      </c>
      <c r="H5" s="8">
        <v>810000</v>
      </c>
      <c r="I5" s="46">
        <f>H5/D5</f>
        <v>35.217391304347828</v>
      </c>
      <c r="J5" s="48">
        <f>I5/12</f>
        <v>2.9347826086956523</v>
      </c>
      <c r="M5">
        <f>H5/(F5*1000)</f>
        <v>3.9901477832512313</v>
      </c>
      <c r="N5">
        <f>F5*4*1000</f>
        <v>812000</v>
      </c>
    </row>
    <row r="6" spans="3:14" ht="16" thickBot="1" x14ac:dyDescent="0.25">
      <c r="C6" s="4" t="s">
        <v>36</v>
      </c>
      <c r="D6" s="5">
        <v>74000</v>
      </c>
      <c r="E6" s="6">
        <v>386</v>
      </c>
      <c r="F6" s="7">
        <v>579</v>
      </c>
      <c r="G6" s="11">
        <f t="shared" ref="G6:G11" si="0">F6/E6</f>
        <v>1.5</v>
      </c>
      <c r="H6" s="8">
        <v>2316000</v>
      </c>
      <c r="I6" s="46">
        <f>H6/D6</f>
        <v>31.297297297297298</v>
      </c>
      <c r="J6" s="48">
        <f t="shared" ref="J6:J11" si="1">I6/12</f>
        <v>2.6081081081081083</v>
      </c>
      <c r="N6">
        <f t="shared" ref="N6:N11" si="2">F6*4*1000</f>
        <v>2316000</v>
      </c>
    </row>
    <row r="7" spans="3:14" ht="16" thickBot="1" x14ac:dyDescent="0.25">
      <c r="C7" s="4" t="s">
        <v>38</v>
      </c>
      <c r="D7" s="5">
        <v>40000</v>
      </c>
      <c r="E7" s="6">
        <v>77</v>
      </c>
      <c r="F7" s="7">
        <v>116</v>
      </c>
      <c r="G7" s="11">
        <f t="shared" si="0"/>
        <v>1.5064935064935066</v>
      </c>
      <c r="H7" s="8">
        <v>462000</v>
      </c>
      <c r="I7" s="46">
        <f>H7/D7</f>
        <v>11.55</v>
      </c>
      <c r="J7" s="48">
        <f t="shared" si="1"/>
        <v>0.96250000000000002</v>
      </c>
      <c r="N7">
        <f t="shared" si="2"/>
        <v>464000</v>
      </c>
    </row>
    <row r="8" spans="3:14" ht="16" thickBot="1" x14ac:dyDescent="0.25">
      <c r="C8" s="4" t="s">
        <v>148</v>
      </c>
      <c r="D8" s="5">
        <v>1407000</v>
      </c>
      <c r="E8" s="6">
        <v>2739</v>
      </c>
      <c r="F8" s="12">
        <f>E8*1.5</f>
        <v>4108.5</v>
      </c>
      <c r="G8" s="11">
        <f t="shared" si="0"/>
        <v>1.5</v>
      </c>
      <c r="H8" s="8">
        <f>F8*4*1000</f>
        <v>16434000</v>
      </c>
      <c r="I8" s="46">
        <f t="shared" ref="I8:I11" si="3">H8/D8</f>
        <v>11.680170575692964</v>
      </c>
      <c r="J8" s="48">
        <f t="shared" si="1"/>
        <v>0.9733475479744137</v>
      </c>
      <c r="N8">
        <f t="shared" si="2"/>
        <v>16434000</v>
      </c>
    </row>
    <row r="9" spans="3:14" ht="16" thickBot="1" x14ac:dyDescent="0.25">
      <c r="C9" s="4" t="s">
        <v>39</v>
      </c>
      <c r="D9" s="5">
        <v>169000</v>
      </c>
      <c r="E9" s="8">
        <v>1036</v>
      </c>
      <c r="F9" s="7">
        <v>1554</v>
      </c>
      <c r="G9" s="11">
        <f t="shared" si="0"/>
        <v>1.5</v>
      </c>
      <c r="H9" s="8">
        <v>6216000</v>
      </c>
      <c r="I9" s="46">
        <f t="shared" si="3"/>
        <v>36.781065088757394</v>
      </c>
      <c r="J9" s="48">
        <f t="shared" si="1"/>
        <v>3.0650887573964494</v>
      </c>
      <c r="N9">
        <f t="shared" si="2"/>
        <v>6216000</v>
      </c>
    </row>
    <row r="10" spans="3:14" ht="16" thickBot="1" x14ac:dyDescent="0.25">
      <c r="C10" s="4" t="s">
        <v>40</v>
      </c>
      <c r="D10" s="5">
        <v>7000</v>
      </c>
      <c r="E10" s="6">
        <v>4.4000000000000004</v>
      </c>
      <c r="F10" s="7">
        <v>7</v>
      </c>
      <c r="G10" s="11">
        <f t="shared" si="0"/>
        <v>1.5909090909090908</v>
      </c>
      <c r="H10" s="8">
        <v>26400</v>
      </c>
      <c r="I10" s="46">
        <f t="shared" si="3"/>
        <v>3.7714285714285714</v>
      </c>
      <c r="J10" s="48">
        <f t="shared" si="1"/>
        <v>0.31428571428571428</v>
      </c>
      <c r="N10">
        <f t="shared" si="2"/>
        <v>28000</v>
      </c>
    </row>
    <row r="11" spans="3:14" ht="16" thickBot="1" x14ac:dyDescent="0.25">
      <c r="C11" s="9" t="s">
        <v>32</v>
      </c>
      <c r="D11" s="10">
        <f>SUM(D5:D10)</f>
        <v>1720000</v>
      </c>
      <c r="E11" s="10">
        <f>SUM(E5:E10)</f>
        <v>4377.3999999999996</v>
      </c>
      <c r="F11" s="10">
        <f t="shared" ref="F11" si="4">SUM(F5:F10)</f>
        <v>6567.5</v>
      </c>
      <c r="G11" s="11">
        <f t="shared" si="0"/>
        <v>1.500319824553388</v>
      </c>
      <c r="H11" s="10">
        <f>SUM(H5:H10)</f>
        <v>26264400</v>
      </c>
      <c r="I11" s="47">
        <f t="shared" si="3"/>
        <v>15.27</v>
      </c>
      <c r="J11" s="49">
        <f t="shared" si="1"/>
        <v>1.2725</v>
      </c>
      <c r="N11">
        <f t="shared" si="2"/>
        <v>26270000</v>
      </c>
    </row>
    <row r="13" spans="3:14" x14ac:dyDescent="0.2">
      <c r="C13" s="45" t="s">
        <v>149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E5F33-4B43-42C3-8702-6DFF5749B194}">
  <dimension ref="C4:N22"/>
  <sheetViews>
    <sheetView topLeftCell="A4" workbookViewId="0">
      <selection activeCell="C19" sqref="C19:N19"/>
    </sheetView>
  </sheetViews>
  <sheetFormatPr baseColWidth="10" defaultColWidth="8.83203125" defaultRowHeight="15" x14ac:dyDescent="0.2"/>
  <cols>
    <col min="3" max="3" width="22.33203125" customWidth="1"/>
    <col min="4" max="5" width="17.5" customWidth="1"/>
    <col min="6" max="8" width="15.6640625" customWidth="1"/>
    <col min="9" max="9" width="14.5" customWidth="1"/>
    <col min="10" max="10" width="14.5" hidden="1" customWidth="1"/>
    <col min="11" max="11" width="13.6640625" hidden="1" customWidth="1"/>
    <col min="12" max="13" width="16.5" hidden="1" customWidth="1"/>
    <col min="14" max="14" width="13.6640625" customWidth="1"/>
  </cols>
  <sheetData>
    <row r="4" spans="3:14" ht="68" customHeight="1" x14ac:dyDescent="0.2">
      <c r="C4" s="235" t="s">
        <v>150</v>
      </c>
      <c r="D4" s="235"/>
      <c r="E4" s="235"/>
      <c r="F4" s="235"/>
      <c r="G4" s="235"/>
      <c r="H4" s="235"/>
      <c r="I4" s="235"/>
      <c r="J4" s="235"/>
      <c r="K4" s="235"/>
      <c r="L4" s="235"/>
      <c r="M4" s="235"/>
      <c r="N4" s="235"/>
    </row>
    <row r="5" spans="3:14" ht="16" thickBot="1" x14ac:dyDescent="0.25">
      <c r="C5" s="13"/>
    </row>
    <row r="6" spans="3:14" ht="61" thickBot="1" x14ac:dyDescent="0.25">
      <c r="C6" s="50" t="s">
        <v>140</v>
      </c>
      <c r="D6" s="51" t="s">
        <v>151</v>
      </c>
      <c r="E6" s="51" t="s">
        <v>152</v>
      </c>
      <c r="F6" s="51" t="s">
        <v>153</v>
      </c>
      <c r="G6" s="51" t="s">
        <v>154</v>
      </c>
      <c r="H6" s="51" t="s">
        <v>155</v>
      </c>
      <c r="I6" s="51" t="s">
        <v>156</v>
      </c>
      <c r="J6" s="51" t="s">
        <v>157</v>
      </c>
      <c r="K6" s="51" t="s">
        <v>158</v>
      </c>
      <c r="L6" s="51" t="s">
        <v>159</v>
      </c>
      <c r="M6" s="51" t="s">
        <v>160</v>
      </c>
      <c r="N6" s="51" t="s">
        <v>161</v>
      </c>
    </row>
    <row r="7" spans="3:14" ht="16" thickBot="1" x14ac:dyDescent="0.25">
      <c r="C7" s="22">
        <v>2030</v>
      </c>
      <c r="D7" s="23"/>
      <c r="E7" s="23"/>
      <c r="F7" s="23"/>
      <c r="G7" s="23"/>
      <c r="H7" s="23"/>
      <c r="I7" s="23"/>
      <c r="J7" s="23"/>
      <c r="K7" s="23"/>
      <c r="L7" s="24"/>
      <c r="M7" s="24"/>
      <c r="N7" s="23"/>
    </row>
    <row r="8" spans="3:14" ht="16" thickBot="1" x14ac:dyDescent="0.25">
      <c r="C8" s="14" t="s">
        <v>34</v>
      </c>
      <c r="D8" s="15">
        <v>23000</v>
      </c>
      <c r="E8" s="15">
        <v>192673</v>
      </c>
      <c r="F8" s="16">
        <v>135</v>
      </c>
      <c r="G8" s="25">
        <f>F8/E8</f>
        <v>7.0066900915021824E-4</v>
      </c>
      <c r="H8" s="26">
        <f>E8*1%</f>
        <v>1926.73</v>
      </c>
      <c r="I8" s="15">
        <v>1476</v>
      </c>
      <c r="J8" s="15">
        <f>I8/D8*1000</f>
        <v>64.173913043478265</v>
      </c>
      <c r="K8" s="42">
        <f>F8/I8</f>
        <v>9.1463414634146339E-2</v>
      </c>
      <c r="L8" s="18">
        <f>I8-F8</f>
        <v>1341</v>
      </c>
      <c r="M8" s="18">
        <f>I8-H8</f>
        <v>-450.73</v>
      </c>
      <c r="N8" s="42">
        <f>H8/I8</f>
        <v>1.3053726287262872</v>
      </c>
    </row>
    <row r="9" spans="3:14" ht="16" thickBot="1" x14ac:dyDescent="0.25">
      <c r="C9" s="14" t="s">
        <v>36</v>
      </c>
      <c r="D9" s="15">
        <v>74000</v>
      </c>
      <c r="E9" s="15">
        <v>298210</v>
      </c>
      <c r="F9" s="16">
        <v>386</v>
      </c>
      <c r="G9" s="25">
        <f t="shared" ref="G9:G13" si="0">F9/E9</f>
        <v>1.2943898594949869E-3</v>
      </c>
      <c r="H9" s="26">
        <f t="shared" ref="H9:H13" si="1">E9*1%</f>
        <v>2982.1</v>
      </c>
      <c r="I9" s="15">
        <v>4855</v>
      </c>
      <c r="J9" s="15">
        <f t="shared" ref="J9:J21" si="2">I9/D9*1000</f>
        <v>65.608108108108098</v>
      </c>
      <c r="K9" s="42">
        <f t="shared" ref="K9:K21" si="3">F9/I9</f>
        <v>7.950566426364572E-2</v>
      </c>
      <c r="L9" s="18">
        <f t="shared" ref="L9:L14" si="4">I9-F9</f>
        <v>4469</v>
      </c>
      <c r="M9" s="18">
        <f t="shared" ref="M9:M14" si="5">I9-H9</f>
        <v>1872.9</v>
      </c>
      <c r="N9" s="42">
        <f t="shared" ref="N9:N13" si="6">H9/I9</f>
        <v>0.6142327497425335</v>
      </c>
    </row>
    <row r="10" spans="3:14" ht="16" thickBot="1" x14ac:dyDescent="0.25">
      <c r="C10" s="14" t="s">
        <v>162</v>
      </c>
      <c r="D10" s="15">
        <v>40000</v>
      </c>
      <c r="E10" s="15">
        <v>257126</v>
      </c>
      <c r="F10" s="16">
        <v>77</v>
      </c>
      <c r="G10" s="25">
        <f t="shared" si="0"/>
        <v>2.9946407597831413E-4</v>
      </c>
      <c r="H10" s="26">
        <f t="shared" si="1"/>
        <v>2571.2600000000002</v>
      </c>
      <c r="I10" s="15">
        <v>2399</v>
      </c>
      <c r="J10" s="15">
        <f t="shared" si="2"/>
        <v>59.975000000000001</v>
      </c>
      <c r="K10" s="42">
        <f t="shared" si="3"/>
        <v>3.2096706961233845E-2</v>
      </c>
      <c r="L10" s="18">
        <f t="shared" si="4"/>
        <v>2322</v>
      </c>
      <c r="M10" s="18">
        <f t="shared" si="5"/>
        <v>-172.26000000000022</v>
      </c>
      <c r="N10" s="42">
        <f t="shared" si="6"/>
        <v>1.0718049187161318</v>
      </c>
    </row>
    <row r="11" spans="3:14" ht="16" thickBot="1" x14ac:dyDescent="0.25">
      <c r="C11" s="79" t="s">
        <v>148</v>
      </c>
      <c r="D11" s="80">
        <v>1407000</v>
      </c>
      <c r="E11" s="80">
        <v>310076</v>
      </c>
      <c r="F11" s="81">
        <v>2739</v>
      </c>
      <c r="G11" s="82">
        <f t="shared" si="0"/>
        <v>8.8333182832595874E-3</v>
      </c>
      <c r="H11" s="83">
        <f t="shared" si="1"/>
        <v>3100.76</v>
      </c>
      <c r="I11" s="80">
        <v>73773</v>
      </c>
      <c r="J11" s="80">
        <f t="shared" si="2"/>
        <v>52.432835820895519</v>
      </c>
      <c r="K11" s="84">
        <f>F11/I11</f>
        <v>3.7127404334919283E-2</v>
      </c>
      <c r="L11" s="81">
        <f t="shared" si="4"/>
        <v>71034</v>
      </c>
      <c r="M11" s="81">
        <f t="shared" si="5"/>
        <v>70672.240000000005</v>
      </c>
      <c r="N11" s="84">
        <f t="shared" si="6"/>
        <v>4.2031095387201282E-2</v>
      </c>
    </row>
    <row r="12" spans="3:14" ht="16" thickBot="1" x14ac:dyDescent="0.25">
      <c r="C12" s="14" t="s">
        <v>163</v>
      </c>
      <c r="D12" s="15">
        <v>169000</v>
      </c>
      <c r="E12" s="15">
        <v>72204</v>
      </c>
      <c r="F12" s="18">
        <v>1036</v>
      </c>
      <c r="G12" s="25">
        <f t="shared" si="0"/>
        <v>1.4348235554816907E-2</v>
      </c>
      <c r="H12" s="26">
        <f t="shared" si="1"/>
        <v>722.04</v>
      </c>
      <c r="I12" s="15">
        <v>8786</v>
      </c>
      <c r="J12" s="15">
        <f t="shared" si="2"/>
        <v>51.988165680473372</v>
      </c>
      <c r="K12" s="42">
        <f t="shared" si="3"/>
        <v>0.11791486455725017</v>
      </c>
      <c r="L12" s="18">
        <f t="shared" si="4"/>
        <v>7750</v>
      </c>
      <c r="M12" s="18">
        <f t="shared" si="5"/>
        <v>8063.96</v>
      </c>
      <c r="N12" s="42">
        <f t="shared" si="6"/>
        <v>8.2180742089688133E-2</v>
      </c>
    </row>
    <row r="13" spans="3:14" ht="16" thickBot="1" x14ac:dyDescent="0.25">
      <c r="C13" s="14" t="s">
        <v>40</v>
      </c>
      <c r="D13" s="15">
        <v>7000</v>
      </c>
      <c r="E13" s="15">
        <v>130832</v>
      </c>
      <c r="F13" s="16">
        <v>4.4000000000000004</v>
      </c>
      <c r="G13" s="25">
        <f t="shared" si="0"/>
        <v>3.3630915983857165E-5</v>
      </c>
      <c r="H13" s="26">
        <f t="shared" si="1"/>
        <v>1308.32</v>
      </c>
      <c r="I13" s="17">
        <v>480</v>
      </c>
      <c r="J13" s="15">
        <f t="shared" si="2"/>
        <v>68.571428571428569</v>
      </c>
      <c r="K13" s="42">
        <f t="shared" si="3"/>
        <v>9.1666666666666667E-3</v>
      </c>
      <c r="L13" s="18">
        <f t="shared" si="4"/>
        <v>475.6</v>
      </c>
      <c r="M13" s="18">
        <f t="shared" si="5"/>
        <v>-828.31999999999994</v>
      </c>
      <c r="N13" s="42">
        <f t="shared" si="6"/>
        <v>2.7256666666666667</v>
      </c>
    </row>
    <row r="14" spans="3:14" ht="16" thickBot="1" x14ac:dyDescent="0.25">
      <c r="C14" s="19" t="s">
        <v>32</v>
      </c>
      <c r="D14" s="20">
        <f>SUM(D8:D13)</f>
        <v>1720000</v>
      </c>
      <c r="E14" s="20">
        <f t="shared" ref="E14:I14" si="7">SUM(E8:E13)</f>
        <v>1261121</v>
      </c>
      <c r="F14" s="20">
        <f t="shared" si="7"/>
        <v>4377.3999999999996</v>
      </c>
      <c r="G14" s="20">
        <f t="shared" si="7"/>
        <v>2.5509707698683874E-2</v>
      </c>
      <c r="H14" s="20">
        <f t="shared" si="7"/>
        <v>12611.21</v>
      </c>
      <c r="I14" s="20">
        <f t="shared" si="7"/>
        <v>91769</v>
      </c>
      <c r="J14" s="20">
        <f t="shared" si="2"/>
        <v>53.354069767441857</v>
      </c>
      <c r="K14" s="43">
        <f t="shared" si="3"/>
        <v>4.770020377251577E-2</v>
      </c>
      <c r="L14" s="21">
        <f t="shared" si="4"/>
        <v>87391.6</v>
      </c>
      <c r="M14" s="21">
        <f t="shared" si="5"/>
        <v>79157.790000000008</v>
      </c>
      <c r="N14" s="44">
        <f>H14/I14</f>
        <v>0.13742342185269535</v>
      </c>
    </row>
    <row r="15" spans="3:14" ht="16" thickBot="1" x14ac:dyDescent="0.25">
      <c r="C15" s="22">
        <v>2050</v>
      </c>
      <c r="D15" s="23"/>
      <c r="E15" s="23" t="s">
        <v>164</v>
      </c>
      <c r="F15" s="23"/>
      <c r="G15" s="23"/>
      <c r="H15" s="23"/>
      <c r="I15" s="23"/>
      <c r="J15" s="23"/>
      <c r="K15" s="23"/>
      <c r="L15" s="24"/>
      <c r="M15" s="24"/>
      <c r="N15" s="23"/>
    </row>
    <row r="16" spans="3:14" ht="16" thickBot="1" x14ac:dyDescent="0.25">
      <c r="C16" s="14" t="s">
        <v>34</v>
      </c>
      <c r="D16" s="15">
        <v>22000</v>
      </c>
      <c r="E16" s="15">
        <v>167625</v>
      </c>
      <c r="F16" s="16">
        <v>135</v>
      </c>
      <c r="G16" s="16"/>
      <c r="H16" s="26">
        <f t="shared" ref="H16:H21" si="8">E16*1%</f>
        <v>1676.25</v>
      </c>
      <c r="I16" s="15">
        <v>1467</v>
      </c>
      <c r="J16" s="15">
        <f t="shared" si="2"/>
        <v>66.681818181818173</v>
      </c>
      <c r="K16" s="42">
        <f t="shared" si="3"/>
        <v>9.202453987730061E-2</v>
      </c>
      <c r="L16" s="18">
        <f t="shared" ref="L16:L21" si="9">I16-F16</f>
        <v>1332</v>
      </c>
      <c r="M16" s="18">
        <f t="shared" ref="M16:M21" si="10">I16-H16</f>
        <v>-209.25</v>
      </c>
      <c r="N16" s="42">
        <f t="shared" ref="N16:N21" si="11">H16/I16</f>
        <v>1.1426380368098159</v>
      </c>
    </row>
    <row r="17" spans="3:14" ht="16" thickBot="1" x14ac:dyDescent="0.25">
      <c r="C17" s="14" t="s">
        <v>36</v>
      </c>
      <c r="D17" s="15">
        <v>96000</v>
      </c>
      <c r="E17" s="15">
        <v>273727</v>
      </c>
      <c r="F17" s="16">
        <v>386</v>
      </c>
      <c r="G17" s="16"/>
      <c r="H17" s="26">
        <f t="shared" si="8"/>
        <v>2737.27</v>
      </c>
      <c r="I17" s="15">
        <v>6399</v>
      </c>
      <c r="J17" s="15">
        <f t="shared" si="2"/>
        <v>66.65625</v>
      </c>
      <c r="K17" s="42">
        <f t="shared" si="3"/>
        <v>6.0321925300828257E-2</v>
      </c>
      <c r="L17" s="18">
        <f t="shared" si="9"/>
        <v>6013</v>
      </c>
      <c r="M17" s="18">
        <f t="shared" si="10"/>
        <v>3661.73</v>
      </c>
      <c r="N17" s="42">
        <f t="shared" si="11"/>
        <v>0.42776527582434754</v>
      </c>
    </row>
    <row r="18" spans="3:14" ht="16" thickBot="1" x14ac:dyDescent="0.25">
      <c r="C18" s="14" t="s">
        <v>162</v>
      </c>
      <c r="D18" s="15">
        <v>39000</v>
      </c>
      <c r="E18" s="15">
        <v>255326</v>
      </c>
      <c r="F18" s="16">
        <v>77</v>
      </c>
      <c r="G18" s="16"/>
      <c r="H18" s="26">
        <f t="shared" si="8"/>
        <v>2553.2600000000002</v>
      </c>
      <c r="I18" s="15">
        <v>2390</v>
      </c>
      <c r="J18" s="15">
        <f t="shared" si="2"/>
        <v>61.282051282051285</v>
      </c>
      <c r="K18" s="42">
        <f t="shared" si="3"/>
        <v>3.221757322175732E-2</v>
      </c>
      <c r="L18" s="18">
        <f t="shared" si="9"/>
        <v>2313</v>
      </c>
      <c r="M18" s="18">
        <f t="shared" si="10"/>
        <v>-163.26000000000022</v>
      </c>
      <c r="N18" s="42">
        <f t="shared" si="11"/>
        <v>1.0683096234309624</v>
      </c>
    </row>
    <row r="19" spans="3:14" ht="16" thickBot="1" x14ac:dyDescent="0.25">
      <c r="C19" s="79" t="s">
        <v>148</v>
      </c>
      <c r="D19" s="80">
        <v>1962000</v>
      </c>
      <c r="E19" s="80">
        <v>207441</v>
      </c>
      <c r="F19" s="81">
        <v>2739</v>
      </c>
      <c r="G19" s="81"/>
      <c r="H19" s="83">
        <f t="shared" si="8"/>
        <v>2074.41</v>
      </c>
      <c r="I19" s="80">
        <v>104763</v>
      </c>
      <c r="J19" s="80">
        <f t="shared" si="2"/>
        <v>53.396024464831804</v>
      </c>
      <c r="K19" s="84">
        <f t="shared" si="3"/>
        <v>2.6144726668766646E-2</v>
      </c>
      <c r="L19" s="81">
        <f t="shared" si="9"/>
        <v>102024</v>
      </c>
      <c r="M19" s="81">
        <f t="shared" si="10"/>
        <v>102688.59</v>
      </c>
      <c r="N19" s="84">
        <f t="shared" si="11"/>
        <v>1.9800979353397669E-2</v>
      </c>
    </row>
    <row r="20" spans="3:14" ht="16" thickBot="1" x14ac:dyDescent="0.25">
      <c r="C20" s="14" t="s">
        <v>163</v>
      </c>
      <c r="D20" s="15">
        <v>253000</v>
      </c>
      <c r="E20" s="15">
        <v>53507</v>
      </c>
      <c r="F20" s="18">
        <v>1036</v>
      </c>
      <c r="G20" s="18"/>
      <c r="H20" s="26">
        <f t="shared" si="8"/>
        <v>535.07000000000005</v>
      </c>
      <c r="I20" s="15">
        <v>13528</v>
      </c>
      <c r="J20" s="15">
        <f t="shared" si="2"/>
        <v>53.470355731225297</v>
      </c>
      <c r="K20" s="42">
        <f t="shared" si="3"/>
        <v>7.6581904198698994E-2</v>
      </c>
      <c r="L20" s="18">
        <f t="shared" si="9"/>
        <v>12492</v>
      </c>
      <c r="M20" s="18">
        <f t="shared" si="10"/>
        <v>12992.93</v>
      </c>
      <c r="N20" s="42">
        <f t="shared" si="11"/>
        <v>3.9552779420461266E-2</v>
      </c>
    </row>
    <row r="21" spans="3:14" ht="16" thickBot="1" x14ac:dyDescent="0.25">
      <c r="C21" s="14" t="s">
        <v>40</v>
      </c>
      <c r="D21" s="15">
        <v>7000</v>
      </c>
      <c r="E21" s="15">
        <v>100217</v>
      </c>
      <c r="F21" s="16">
        <v>4.4000000000000004</v>
      </c>
      <c r="G21" s="16"/>
      <c r="H21" s="26">
        <f t="shared" si="8"/>
        <v>1002.1700000000001</v>
      </c>
      <c r="I21" s="17">
        <v>493</v>
      </c>
      <c r="J21" s="15">
        <f t="shared" si="2"/>
        <v>70.428571428571431</v>
      </c>
      <c r="K21" s="42">
        <f t="shared" si="3"/>
        <v>8.9249492900608518E-3</v>
      </c>
      <c r="L21" s="18">
        <f t="shared" si="9"/>
        <v>488.6</v>
      </c>
      <c r="M21" s="18">
        <f t="shared" si="10"/>
        <v>-509.17000000000007</v>
      </c>
      <c r="N21" s="42">
        <f t="shared" si="11"/>
        <v>2.0327991886409738</v>
      </c>
    </row>
    <row r="22" spans="3:14" ht="16" thickBot="1" x14ac:dyDescent="0.25">
      <c r="C22" s="19" t="s">
        <v>32</v>
      </c>
      <c r="D22" s="20">
        <f>SUM(D16:D21)</f>
        <v>2379000</v>
      </c>
      <c r="E22" s="20">
        <f t="shared" ref="E22:M22" si="12">SUM(E16:E21)</f>
        <v>1057843</v>
      </c>
      <c r="F22" s="20">
        <f t="shared" si="12"/>
        <v>4377.3999999999996</v>
      </c>
      <c r="G22" s="20">
        <f t="shared" si="12"/>
        <v>0</v>
      </c>
      <c r="H22" s="20">
        <f t="shared" si="12"/>
        <v>10578.43</v>
      </c>
      <c r="I22" s="20">
        <f t="shared" si="12"/>
        <v>129040</v>
      </c>
      <c r="J22" s="20">
        <f t="shared" si="12"/>
        <v>371.915071088498</v>
      </c>
      <c r="K22" s="20">
        <f t="shared" si="12"/>
        <v>0.29621561855741263</v>
      </c>
      <c r="L22" s="20">
        <f t="shared" si="12"/>
        <v>124662.6</v>
      </c>
      <c r="M22" s="20">
        <f t="shared" si="12"/>
        <v>118461.56999999999</v>
      </c>
      <c r="N22" s="44">
        <f>H22/I22</f>
        <v>8.1977913825170487E-2</v>
      </c>
    </row>
  </sheetData>
  <mergeCells count="1">
    <mergeCell ref="C4:N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7F89D-C07B-48E2-A362-9C5DB2CE8490}">
  <dimension ref="B4:S22"/>
  <sheetViews>
    <sheetView tabSelected="1" workbookViewId="0">
      <selection activeCell="B11" sqref="B11"/>
    </sheetView>
  </sheetViews>
  <sheetFormatPr baseColWidth="10" defaultColWidth="8.83203125" defaultRowHeight="15" x14ac:dyDescent="0.2"/>
  <sheetData>
    <row r="4" spans="2:19" x14ac:dyDescent="0.2">
      <c r="C4" s="27" t="s">
        <v>165</v>
      </c>
    </row>
    <row r="5" spans="2:19" ht="16" thickBot="1" x14ac:dyDescent="0.25">
      <c r="C5" s="27"/>
    </row>
    <row r="6" spans="2:19" ht="78" x14ac:dyDescent="0.2">
      <c r="C6" s="241" t="s">
        <v>140</v>
      </c>
      <c r="D6" s="28" t="s">
        <v>166</v>
      </c>
      <c r="E6" s="28" t="s">
        <v>167</v>
      </c>
      <c r="F6" s="28" t="s">
        <v>168</v>
      </c>
      <c r="G6" s="28" t="s">
        <v>169</v>
      </c>
      <c r="H6" s="238" t="s">
        <v>170</v>
      </c>
      <c r="I6" s="238" t="s">
        <v>171</v>
      </c>
      <c r="J6" s="238" t="s">
        <v>172</v>
      </c>
      <c r="K6" s="28" t="s">
        <v>173</v>
      </c>
      <c r="L6" s="28" t="s">
        <v>174</v>
      </c>
      <c r="M6" s="28" t="s">
        <v>175</v>
      </c>
      <c r="N6" s="238" t="s">
        <v>176</v>
      </c>
      <c r="O6" s="238" t="s">
        <v>177</v>
      </c>
      <c r="P6" s="28" t="s">
        <v>178</v>
      </c>
      <c r="Q6" s="28" t="s">
        <v>179</v>
      </c>
      <c r="R6" s="28" t="s">
        <v>180</v>
      </c>
      <c r="S6" s="238" t="s">
        <v>181</v>
      </c>
    </row>
    <row r="7" spans="2:19" ht="16" thickBot="1" x14ac:dyDescent="0.25">
      <c r="C7" s="242"/>
      <c r="D7" s="29" t="s">
        <v>182</v>
      </c>
      <c r="E7" s="29" t="s">
        <v>183</v>
      </c>
      <c r="F7" s="29" t="s">
        <v>183</v>
      </c>
      <c r="G7" s="29" t="s">
        <v>183</v>
      </c>
      <c r="H7" s="239"/>
      <c r="I7" s="239"/>
      <c r="J7" s="239"/>
      <c r="K7" s="29" t="s">
        <v>184</v>
      </c>
      <c r="L7" s="29" t="s">
        <v>184</v>
      </c>
      <c r="M7" s="29" t="s">
        <v>184</v>
      </c>
      <c r="N7" s="239"/>
      <c r="O7" s="239"/>
      <c r="P7" s="29" t="s">
        <v>185</v>
      </c>
      <c r="Q7" s="29" t="s">
        <v>186</v>
      </c>
      <c r="R7" s="29" t="s">
        <v>187</v>
      </c>
      <c r="S7" s="239"/>
    </row>
    <row r="8" spans="2:19" ht="16" thickBot="1" x14ac:dyDescent="0.25">
      <c r="C8" s="30" t="s">
        <v>34</v>
      </c>
      <c r="D8" s="31">
        <v>23000</v>
      </c>
      <c r="E8" s="32">
        <v>36</v>
      </c>
      <c r="F8" s="32">
        <v>36</v>
      </c>
      <c r="G8" s="32">
        <v>29</v>
      </c>
      <c r="H8" s="31">
        <v>8165</v>
      </c>
      <c r="I8" s="31">
        <v>8165</v>
      </c>
      <c r="J8" s="31">
        <v>6670</v>
      </c>
      <c r="K8" s="33">
        <v>81</v>
      </c>
      <c r="L8" s="33">
        <v>80</v>
      </c>
      <c r="M8" s="33">
        <v>42</v>
      </c>
      <c r="N8" s="31">
        <v>1594705</v>
      </c>
      <c r="O8" s="31">
        <v>1116294</v>
      </c>
      <c r="P8" s="31">
        <v>558147</v>
      </c>
      <c r="Q8" s="31">
        <v>2427</v>
      </c>
      <c r="R8" s="31">
        <v>4045</v>
      </c>
      <c r="S8" s="31">
        <v>1476</v>
      </c>
    </row>
    <row r="9" spans="2:19" ht="16" thickBot="1" x14ac:dyDescent="0.25">
      <c r="C9" s="30" t="s">
        <v>36</v>
      </c>
      <c r="D9" s="31">
        <v>74000</v>
      </c>
      <c r="E9" s="32">
        <v>35</v>
      </c>
      <c r="F9" s="32">
        <v>35</v>
      </c>
      <c r="G9" s="32">
        <v>31</v>
      </c>
      <c r="H9" s="31">
        <v>25530</v>
      </c>
      <c r="I9" s="31">
        <v>25530</v>
      </c>
      <c r="J9" s="31">
        <v>22940</v>
      </c>
      <c r="K9" s="33">
        <v>84</v>
      </c>
      <c r="L9" s="33">
        <v>81</v>
      </c>
      <c r="M9" s="33">
        <v>45</v>
      </c>
      <c r="N9" s="31">
        <v>5244791</v>
      </c>
      <c r="O9" s="31">
        <v>3671354</v>
      </c>
      <c r="P9" s="31">
        <v>1835677</v>
      </c>
      <c r="Q9" s="31">
        <v>7981</v>
      </c>
      <c r="R9" s="31">
        <v>13302</v>
      </c>
      <c r="S9" s="31">
        <v>4855</v>
      </c>
    </row>
    <row r="10" spans="2:19" ht="16" thickBot="1" x14ac:dyDescent="0.25">
      <c r="C10" s="30" t="s">
        <v>162</v>
      </c>
      <c r="D10" s="31">
        <v>40000</v>
      </c>
      <c r="E10" s="32">
        <v>34</v>
      </c>
      <c r="F10" s="32">
        <v>34</v>
      </c>
      <c r="G10" s="32">
        <v>32</v>
      </c>
      <c r="H10" s="31">
        <v>13600</v>
      </c>
      <c r="I10" s="31">
        <v>13600</v>
      </c>
      <c r="J10" s="31">
        <v>12800</v>
      </c>
      <c r="K10" s="33">
        <v>79</v>
      </c>
      <c r="L10" s="33">
        <v>73</v>
      </c>
      <c r="M10" s="33">
        <v>41</v>
      </c>
      <c r="N10" s="31">
        <v>2591989</v>
      </c>
      <c r="O10" s="31">
        <v>1814392</v>
      </c>
      <c r="P10" s="31">
        <v>907196</v>
      </c>
      <c r="Q10" s="31">
        <v>3944</v>
      </c>
      <c r="R10" s="31">
        <v>6574</v>
      </c>
      <c r="S10" s="31">
        <v>2399</v>
      </c>
    </row>
    <row r="11" spans="2:19" ht="16" thickBot="1" x14ac:dyDescent="0.25">
      <c r="B11" s="88"/>
      <c r="C11" s="85" t="s">
        <v>148</v>
      </c>
      <c r="D11" s="86">
        <v>1407000</v>
      </c>
      <c r="E11" s="87">
        <v>32</v>
      </c>
      <c r="F11" s="87">
        <v>32</v>
      </c>
      <c r="G11" s="87">
        <v>36</v>
      </c>
      <c r="H11" s="86">
        <v>450240</v>
      </c>
      <c r="I11" s="86">
        <v>450240</v>
      </c>
      <c r="J11" s="86">
        <v>506520</v>
      </c>
      <c r="K11" s="87">
        <v>68</v>
      </c>
      <c r="L11" s="87">
        <v>64</v>
      </c>
      <c r="M11" s="87">
        <v>40</v>
      </c>
      <c r="N11" s="86">
        <v>79692487</v>
      </c>
      <c r="O11" s="86">
        <v>55784741</v>
      </c>
      <c r="P11" s="86">
        <v>27892370</v>
      </c>
      <c r="Q11" s="86">
        <v>121271</v>
      </c>
      <c r="R11" s="86">
        <v>202119</v>
      </c>
      <c r="S11" s="86">
        <v>73773</v>
      </c>
    </row>
    <row r="12" spans="2:19" ht="16" thickBot="1" x14ac:dyDescent="0.25">
      <c r="C12" s="30" t="s">
        <v>163</v>
      </c>
      <c r="D12" s="31">
        <v>169000</v>
      </c>
      <c r="E12" s="32">
        <v>31</v>
      </c>
      <c r="F12" s="32">
        <v>31</v>
      </c>
      <c r="G12" s="32">
        <v>37</v>
      </c>
      <c r="H12" s="31">
        <v>53235</v>
      </c>
      <c r="I12" s="31">
        <v>53235</v>
      </c>
      <c r="J12" s="31">
        <v>62530</v>
      </c>
      <c r="K12" s="33">
        <v>69</v>
      </c>
      <c r="L12" s="33">
        <v>67</v>
      </c>
      <c r="M12" s="33">
        <v>36</v>
      </c>
      <c r="N12" s="31">
        <v>9491030</v>
      </c>
      <c r="O12" s="31">
        <v>6643721</v>
      </c>
      <c r="P12" s="31">
        <v>3321860</v>
      </c>
      <c r="Q12" s="31">
        <v>14443</v>
      </c>
      <c r="R12" s="31">
        <v>24071</v>
      </c>
      <c r="S12" s="31">
        <v>8786</v>
      </c>
    </row>
    <row r="13" spans="2:19" ht="16" thickBot="1" x14ac:dyDescent="0.25">
      <c r="C13" s="34" t="s">
        <v>40</v>
      </c>
      <c r="D13" s="35">
        <v>7000</v>
      </c>
      <c r="E13" s="36">
        <v>34</v>
      </c>
      <c r="F13" s="36">
        <v>34</v>
      </c>
      <c r="G13" s="36">
        <v>33</v>
      </c>
      <c r="H13" s="35">
        <v>2345</v>
      </c>
      <c r="I13" s="35">
        <v>2345</v>
      </c>
      <c r="J13" s="35">
        <v>2310</v>
      </c>
      <c r="K13" s="37">
        <v>89</v>
      </c>
      <c r="L13" s="37">
        <v>85</v>
      </c>
      <c r="M13" s="37">
        <v>48</v>
      </c>
      <c r="N13" s="35">
        <v>518952</v>
      </c>
      <c r="O13" s="35">
        <v>363266</v>
      </c>
      <c r="P13" s="35">
        <v>181633</v>
      </c>
      <c r="Q13" s="36">
        <v>790</v>
      </c>
      <c r="R13" s="35">
        <v>1316</v>
      </c>
      <c r="S13" s="36">
        <v>480</v>
      </c>
    </row>
    <row r="14" spans="2:19" ht="16" thickBot="1" x14ac:dyDescent="0.25">
      <c r="C14" s="38" t="s">
        <v>32</v>
      </c>
      <c r="D14" s="39">
        <v>1720000</v>
      </c>
      <c r="E14" s="40"/>
      <c r="F14" s="40"/>
      <c r="G14" s="40"/>
      <c r="H14" s="39">
        <v>553115</v>
      </c>
      <c r="I14" s="39">
        <v>553115</v>
      </c>
      <c r="J14" s="39">
        <v>613771</v>
      </c>
      <c r="K14" s="41"/>
      <c r="L14" s="41"/>
      <c r="M14" s="41"/>
      <c r="N14" s="39">
        <v>99133953</v>
      </c>
      <c r="O14" s="39">
        <v>69393767</v>
      </c>
      <c r="P14" s="39">
        <v>34696884</v>
      </c>
      <c r="Q14" s="39">
        <v>150856</v>
      </c>
      <c r="R14" s="39">
        <v>251427</v>
      </c>
      <c r="S14" s="39">
        <v>91771</v>
      </c>
    </row>
    <row r="15" spans="2:19" x14ac:dyDescent="0.2">
      <c r="C15" s="240"/>
      <c r="D15" s="240"/>
      <c r="E15" s="240"/>
      <c r="F15" s="240"/>
      <c r="G15" s="240"/>
      <c r="H15" s="240"/>
      <c r="I15" s="240"/>
      <c r="J15" s="240"/>
      <c r="K15" s="240"/>
      <c r="L15" s="240"/>
      <c r="M15" s="240"/>
      <c r="N15" s="240"/>
      <c r="O15" s="240"/>
      <c r="P15" s="240"/>
      <c r="Q15" s="240"/>
      <c r="R15" s="240"/>
      <c r="S15" s="240"/>
    </row>
    <row r="16" spans="2:19" x14ac:dyDescent="0.2">
      <c r="C16" s="236" t="s">
        <v>188</v>
      </c>
      <c r="D16" s="236"/>
      <c r="E16" s="236"/>
      <c r="F16" s="236"/>
      <c r="G16" s="236"/>
      <c r="H16" s="236"/>
      <c r="I16" s="236"/>
      <c r="J16" s="236"/>
      <c r="K16" s="236"/>
      <c r="L16" s="236"/>
      <c r="M16" s="236"/>
      <c r="N16" s="236"/>
      <c r="O16" s="236"/>
      <c r="P16" s="236"/>
      <c r="Q16" s="236"/>
      <c r="R16" s="236"/>
      <c r="S16" s="236"/>
    </row>
    <row r="17" spans="3:19" x14ac:dyDescent="0.2">
      <c r="C17" s="237" t="s">
        <v>189</v>
      </c>
      <c r="D17" s="237"/>
      <c r="E17" s="237"/>
      <c r="F17" s="237"/>
      <c r="G17" s="237"/>
      <c r="H17" s="237"/>
      <c r="I17" s="237"/>
      <c r="J17" s="237"/>
      <c r="K17" s="237"/>
      <c r="L17" s="237"/>
      <c r="M17" s="237"/>
      <c r="N17" s="237"/>
      <c r="O17" s="237"/>
      <c r="P17" s="237"/>
      <c r="Q17" s="237"/>
      <c r="R17" s="237"/>
      <c r="S17" s="237"/>
    </row>
    <row r="18" spans="3:19" x14ac:dyDescent="0.2">
      <c r="C18" s="236" t="s">
        <v>190</v>
      </c>
      <c r="D18" s="236"/>
      <c r="E18" s="236"/>
      <c r="F18" s="236"/>
      <c r="G18" s="236"/>
      <c r="H18" s="236"/>
      <c r="I18" s="236"/>
      <c r="J18" s="236"/>
      <c r="K18" s="236"/>
      <c r="L18" s="236"/>
      <c r="M18" s="236"/>
      <c r="N18" s="236"/>
      <c r="O18" s="236"/>
      <c r="P18" s="236"/>
      <c r="Q18" s="236"/>
      <c r="R18" s="236"/>
      <c r="S18" s="236"/>
    </row>
    <row r="19" spans="3:19" x14ac:dyDescent="0.2">
      <c r="C19" s="237" t="s">
        <v>191</v>
      </c>
      <c r="D19" s="237"/>
      <c r="E19" s="237"/>
      <c r="F19" s="237"/>
      <c r="G19" s="237"/>
      <c r="H19" s="237"/>
      <c r="I19" s="237"/>
      <c r="J19" s="237"/>
      <c r="K19" s="237"/>
      <c r="L19" s="237"/>
      <c r="M19" s="237"/>
      <c r="N19" s="237"/>
      <c r="O19" s="237"/>
      <c r="P19" s="237"/>
      <c r="Q19" s="237"/>
      <c r="R19" s="237"/>
      <c r="S19" s="237"/>
    </row>
    <row r="20" spans="3:19" x14ac:dyDescent="0.2">
      <c r="C20" s="236" t="s">
        <v>192</v>
      </c>
      <c r="D20" s="236"/>
      <c r="E20" s="236"/>
      <c r="F20" s="236"/>
      <c r="G20" s="236"/>
      <c r="H20" s="236"/>
      <c r="I20" s="236"/>
      <c r="J20" s="236"/>
      <c r="K20" s="236"/>
      <c r="L20" s="236"/>
      <c r="M20" s="236"/>
      <c r="N20" s="236"/>
      <c r="O20" s="236"/>
      <c r="P20" s="236"/>
      <c r="Q20" s="236"/>
      <c r="R20" s="236"/>
      <c r="S20" s="236"/>
    </row>
    <row r="21" spans="3:19" x14ac:dyDescent="0.2">
      <c r="C21" s="237" t="s">
        <v>193</v>
      </c>
      <c r="D21" s="237"/>
      <c r="E21" s="237"/>
      <c r="F21" s="237"/>
      <c r="G21" s="237"/>
      <c r="H21" s="237"/>
      <c r="I21" s="237"/>
      <c r="J21" s="237"/>
      <c r="K21" s="237"/>
      <c r="L21" s="237"/>
      <c r="M21" s="237"/>
      <c r="N21" s="237"/>
      <c r="O21" s="237"/>
      <c r="P21" s="237"/>
      <c r="Q21" s="237"/>
      <c r="R21" s="237"/>
      <c r="S21" s="237"/>
    </row>
    <row r="22" spans="3:19" x14ac:dyDescent="0.2">
      <c r="C22" s="237" t="s">
        <v>194</v>
      </c>
      <c r="D22" s="237"/>
      <c r="E22" s="237"/>
      <c r="F22" s="237"/>
      <c r="G22" s="237"/>
      <c r="H22" s="237"/>
      <c r="I22" s="237"/>
      <c r="J22" s="237"/>
      <c r="K22" s="237"/>
      <c r="L22" s="237"/>
      <c r="M22" s="237"/>
      <c r="N22" s="237"/>
      <c r="O22" s="237"/>
      <c r="P22" s="237"/>
      <c r="Q22" s="237"/>
      <c r="R22" s="237"/>
      <c r="S22" s="237"/>
    </row>
  </sheetData>
  <mergeCells count="15">
    <mergeCell ref="C20:S20"/>
    <mergeCell ref="C21:S21"/>
    <mergeCell ref="C22:S22"/>
    <mergeCell ref="S6:S7"/>
    <mergeCell ref="C15:S15"/>
    <mergeCell ref="C16:S16"/>
    <mergeCell ref="C17:S17"/>
    <mergeCell ref="C18:S18"/>
    <mergeCell ref="C19:S19"/>
    <mergeCell ref="C6:C7"/>
    <mergeCell ref="H6:H7"/>
    <mergeCell ref="I6:I7"/>
    <mergeCell ref="J6:J7"/>
    <mergeCell ref="N6:N7"/>
    <mergeCell ref="O6:O7"/>
  </mergeCells>
  <hyperlinks>
    <hyperlink ref="C16" r:id="rId1" display="https://stats.pacificdata.org/" xr:uid="{A2435408-F24F-40A8-9376-7044BF3B1ED4}"/>
    <hyperlink ref="C18" r:id="rId2" display="https://www.ncdrisc.org/data-downloads.html" xr:uid="{319C7B73-4362-4E2B-91CE-8A6B7C3FA8C1}"/>
    <hyperlink ref="C20" r:id="rId3" display="https://pacificdata.org/data/dataset/oai-www-spc-int-ced24e95-7e0a-401a-9f0b-d79316c49cb0" xr:uid="{82130CEE-335B-4DE0-8D82-390BFC706D97}"/>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7C036A91C4175499EBEF36E3B0FEA2A" ma:contentTypeVersion="14" ma:contentTypeDescription="Create a new document." ma:contentTypeScope="" ma:versionID="dcd3af65d8a10df1b33f9aaa4e0a7927">
  <xsd:schema xmlns:xsd="http://www.w3.org/2001/XMLSchema" xmlns:xs="http://www.w3.org/2001/XMLSchema" xmlns:p="http://schemas.microsoft.com/office/2006/metadata/properties" xmlns:ns2="505ccb20-7403-45a6-b481-ca1dd862337d" xmlns:ns3="e5565b3b-de73-408f-92ec-2a950ff896c8" targetNamespace="http://schemas.microsoft.com/office/2006/metadata/properties" ma:root="true" ma:fieldsID="3c82aef621d8e4eb77d4e0fd2c947e6a" ns2:_="" ns3:_="">
    <xsd:import namespace="505ccb20-7403-45a6-b481-ca1dd862337d"/>
    <xsd:import namespace="e5565b3b-de73-408f-92ec-2a950ff896c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Dateand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5ccb20-7403-45a6-b481-ca1dd86233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Dateandtime" ma:index="21" nillable="true" ma:displayName="Date and time" ma:format="DateOnly" ma:internalName="Dateand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e5565b3b-de73-408f-92ec-2a950ff896c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a2e2747-e17c-42bb-aa81-38a2638568af}" ma:internalName="TaxCatchAll" ma:showField="CatchAllData" ma:web="e5565b3b-de73-408f-92ec-2a950ff896c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05ccb20-7403-45a6-b481-ca1dd862337d">
      <Terms xmlns="http://schemas.microsoft.com/office/infopath/2007/PartnerControls"/>
    </lcf76f155ced4ddcb4097134ff3c332f>
    <TaxCatchAll xmlns="e5565b3b-de73-408f-92ec-2a950ff896c8" xsi:nil="true"/>
    <Dateandtime xmlns="505ccb20-7403-45a6-b481-ca1dd862337d" xsi:nil="true"/>
  </documentManagement>
</p:properties>
</file>

<file path=customXml/itemProps1.xml><?xml version="1.0" encoding="utf-8"?>
<ds:datastoreItem xmlns:ds="http://schemas.openxmlformats.org/officeDocument/2006/customXml" ds:itemID="{7398CDB4-40A1-4A24-AEBD-2B44C6C395B7}">
  <ds:schemaRefs>
    <ds:schemaRef ds:uri="http://schemas.microsoft.com/sharepoint/v3/contenttype/forms"/>
  </ds:schemaRefs>
</ds:datastoreItem>
</file>

<file path=customXml/itemProps2.xml><?xml version="1.0" encoding="utf-8"?>
<ds:datastoreItem xmlns:ds="http://schemas.openxmlformats.org/officeDocument/2006/customXml" ds:itemID="{39429C0E-BE97-49EE-A54E-1DC1EF9E895E}"/>
</file>

<file path=customXml/itemProps3.xml><?xml version="1.0" encoding="utf-8"?>
<ds:datastoreItem xmlns:ds="http://schemas.openxmlformats.org/officeDocument/2006/customXml" ds:itemID="{98F41BBA-06B7-4CA1-9D48-26A4541D23EC}">
  <ds:schemaRefs>
    <ds:schemaRef ds:uri="cd15f4be-4c84-43e0-9533-8b612df0f21c"/>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schemas.microsoft.com/sharepoint/v3"/>
    <ds:schemaRef ds:uri="f57df1ab-6810-4fa8-9caa-de92a9b262c5"/>
    <ds:schemaRef ds:uri="http://purl.org/dc/terms/"/>
    <ds:schemaRef ds:uri="http://schemas.openxmlformats.org/package/2006/metadata/core-properties"/>
    <ds:schemaRef ds:uri="cd70a8df-fc1c-4d74-973c-c6c37511b536"/>
    <ds:schemaRef ds:uri="http://www.w3.org/XML/1998/namespace"/>
  </ds:schemaRefs>
</ds:datastoreItem>
</file>

<file path=docMetadata/LabelInfo.xml><?xml version="1.0" encoding="utf-8"?>
<clbl:labelList xmlns:clbl="http://schemas.microsoft.com/office/2020/mipLabelMetadata">
  <clbl:label id="{c4de61a9-99b4-4c6a-962e-bd856602e8be}" enabled="0" method="" siteId="{c4de61a9-99b4-4c6a-962e-bd856602e8be}" removed="1"/>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Assumptions &amp; Methodology</vt:lpstr>
      <vt:lpstr>Summary of EA</vt:lpstr>
      <vt:lpstr>BYCATCH economic analysis</vt:lpstr>
      <vt:lpstr>GFC Costs</vt:lpstr>
      <vt:lpstr>Comp A Cost Summary (old)</vt:lpstr>
      <vt:lpstr>Bycatch +50%</vt:lpstr>
      <vt:lpstr>Fish meals </vt:lpstr>
      <vt:lpstr>By catch needed</vt:lpstr>
      <vt:lpstr>Fish needed 2030</vt:lpstr>
      <vt:lpstr>Fish needed 2050</vt:lpstr>
      <vt:lpstr>PICs </vt:lpstr>
      <vt:lpstr>'By catch needed'!_Ref118374221</vt:lpstr>
      <vt:lpstr>'Bycatch +50%'!_Ref118374221</vt:lpstr>
      <vt:lpstr>'Fish needed 2030'!_Toc146030745</vt:lpstr>
      <vt:lpstr>'Fish needed 2050'!_Toc146030746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Ray Greer</dc:creator>
  <cp:keywords/>
  <dc:description/>
  <cp:lastModifiedBy>Robert Merritt</cp:lastModifiedBy>
  <cp:revision/>
  <dcterms:created xsi:type="dcterms:W3CDTF">2024-01-10T03:33:20Z</dcterms:created>
  <dcterms:modified xsi:type="dcterms:W3CDTF">2024-11-11T01:15:27Z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0x01010067C036A91C4175499EBEF36E3B0FEA2A</vt:lpwstr>
  </property>
  <property fmtid="{D5CDD505-2E9C-101B-9397-08002B2CF9AE}" pid="3" name="MediaServiceImageTags">
    <vt:lpwstr/>
  </property>
</Properties>
</file>