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olors9.xml" ContentType="application/vnd.ms-office.chartcolorsty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worksheets/sheet3.xml" ContentType="application/vnd.openxmlformats-officedocument.spreadsheetml.worksheet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/>
  <mc:AlternateContent xmlns:mc="http://schemas.openxmlformats.org/markup-compatibility/2006">
    <mc:Choice Requires="x15">
      <x15ac:absPath xmlns:x15ac="http://schemas.microsoft.com/office/spreadsheetml/2010/11/ac" url="https://d.docs.live.net/7d954ae4e76618c3/OECI/PROJECTS/PROJECTS (ongoing)/FAO - Kenya/FP and FS/QAR Package - MAY 2023/"/>
    </mc:Choice>
  </mc:AlternateContent>
  <xr:revisionPtr revIDLastSave="34" documentId="11_076CD2CE612A948713F9AE489CD6AD1841D1F0DF" xr6:coauthVersionLast="47" xr6:coauthVersionMax="47" xr10:uidLastSave="{9514D231-CF39-FE45-B1BE-CC9F7552CFF6}"/>
  <bookViews>
    <workbookView xWindow="0" yWindow="500" windowWidth="33440" windowHeight="19260" activeTab="1" xr2:uid="{00000000-000D-0000-FFFF-FFFF00000000}"/>
  </bookViews>
  <sheets>
    <sheet name="Cattle (Dairy)" sheetId="2" r:id="rId1"/>
    <sheet name="Poutry" sheetId="3" r:id="rId2"/>
    <sheet name="Summary tables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4" l="1"/>
  <c r="F24" i="4"/>
  <c r="E24" i="4"/>
  <c r="D25" i="4"/>
  <c r="D24" i="4"/>
  <c r="N54" i="3" l="1"/>
  <c r="N55" i="3" s="1"/>
  <c r="E32" i="3" l="1"/>
  <c r="E21" i="3" l="1"/>
  <c r="E33" i="3" l="1"/>
  <c r="E34" i="3" s="1"/>
  <c r="E22" i="3"/>
  <c r="E23" i="3" s="1"/>
  <c r="E24" i="3" s="1"/>
  <c r="E25" i="3" s="1"/>
  <c r="E26" i="3" s="1"/>
  <c r="E27" i="3" s="1"/>
  <c r="E35" i="3"/>
  <c r="B64" i="2"/>
  <c r="B53" i="2"/>
  <c r="C53" i="2" s="1"/>
  <c r="B77" i="3"/>
  <c r="B78" i="3" s="1"/>
  <c r="B79" i="3" s="1"/>
  <c r="B66" i="3"/>
  <c r="D66" i="3" s="1"/>
  <c r="B55" i="3"/>
  <c r="E36" i="3" l="1"/>
  <c r="C77" i="3"/>
  <c r="D77" i="3"/>
  <c r="C87" i="3"/>
  <c r="B67" i="3"/>
  <c r="D67" i="3" s="1"/>
  <c r="B54" i="2"/>
  <c r="B55" i="2" s="1"/>
  <c r="B56" i="2" s="1"/>
  <c r="B65" i="2"/>
  <c r="C65" i="2" s="1"/>
  <c r="C64" i="2"/>
  <c r="C55" i="3"/>
  <c r="B87" i="3"/>
  <c r="D55" i="3"/>
  <c r="C66" i="3"/>
  <c r="B80" i="3"/>
  <c r="C79" i="3"/>
  <c r="D79" i="3"/>
  <c r="D78" i="3"/>
  <c r="C78" i="3"/>
  <c r="B56" i="3"/>
  <c r="B42" i="2"/>
  <c r="B74" i="2" s="1"/>
  <c r="B44" i="3"/>
  <c r="B45" i="3" s="1"/>
  <c r="B46" i="3" s="1"/>
  <c r="B47" i="3" s="1"/>
  <c r="B48" i="3" s="1"/>
  <c r="B49" i="3" s="1"/>
  <c r="B50" i="3" s="1"/>
  <c r="B31" i="2"/>
  <c r="B32" i="2" s="1"/>
  <c r="B33" i="2" s="1"/>
  <c r="N39" i="3"/>
  <c r="N35" i="3"/>
  <c r="V20" i="3"/>
  <c r="C15" i="3" s="1"/>
  <c r="V19" i="3"/>
  <c r="C14" i="3" s="1"/>
  <c r="V18" i="3"/>
  <c r="C13" i="3" s="1"/>
  <c r="V17" i="3"/>
  <c r="C12" i="3" s="1"/>
  <c r="V16" i="3"/>
  <c r="C11" i="3" s="1"/>
  <c r="V15" i="3"/>
  <c r="C10" i="3" s="1"/>
  <c r="V14" i="3"/>
  <c r="C9" i="3" s="1"/>
  <c r="V11" i="3"/>
  <c r="D8" i="3" s="1"/>
  <c r="V10" i="3"/>
  <c r="D7" i="3" s="1"/>
  <c r="V9" i="3"/>
  <c r="C6" i="3" s="1"/>
  <c r="V8" i="3"/>
  <c r="D5" i="3" s="1"/>
  <c r="V7" i="3"/>
  <c r="D4" i="3" s="1"/>
  <c r="V6" i="3"/>
  <c r="C3" i="3" s="1"/>
  <c r="V5" i="3"/>
  <c r="D2" i="3" s="1"/>
  <c r="L38" i="2"/>
  <c r="F21" i="3" l="1"/>
  <c r="G21" i="3"/>
  <c r="C67" i="3"/>
  <c r="E37" i="3"/>
  <c r="B68" i="3"/>
  <c r="B69" i="3" s="1"/>
  <c r="B70" i="3" s="1"/>
  <c r="B71" i="3" s="1"/>
  <c r="B72" i="3" s="1"/>
  <c r="D72" i="3" s="1"/>
  <c r="C55" i="2"/>
  <c r="C54" i="2"/>
  <c r="B66" i="2"/>
  <c r="B67" i="2" s="1"/>
  <c r="B43" i="2"/>
  <c r="B57" i="2"/>
  <c r="C56" i="2"/>
  <c r="B81" i="3"/>
  <c r="C80" i="3"/>
  <c r="D80" i="3"/>
  <c r="B88" i="3"/>
  <c r="C88" i="3"/>
  <c r="B57" i="3"/>
  <c r="C56" i="3"/>
  <c r="D56" i="3"/>
  <c r="C8" i="3"/>
  <c r="B34" i="2"/>
  <c r="C4" i="3"/>
  <c r="C2" i="3"/>
  <c r="D3" i="3"/>
  <c r="C5" i="3"/>
  <c r="D6" i="3"/>
  <c r="C7" i="3"/>
  <c r="L36" i="2"/>
  <c r="E20" i="2" s="1"/>
  <c r="T11" i="2"/>
  <c r="C8" i="2" s="1"/>
  <c r="T6" i="2"/>
  <c r="C3" i="2" s="1"/>
  <c r="T7" i="2"/>
  <c r="C4" i="2" s="1"/>
  <c r="T8" i="2"/>
  <c r="C5" i="2" s="1"/>
  <c r="T9" i="2"/>
  <c r="C6" i="2" s="1"/>
  <c r="T10" i="2"/>
  <c r="C7" i="2" s="1"/>
  <c r="T5" i="2"/>
  <c r="C2" i="2" s="1"/>
  <c r="T14" i="2"/>
  <c r="C9" i="2" s="1"/>
  <c r="D9" i="2" s="1"/>
  <c r="T20" i="2"/>
  <c r="C15" i="2" s="1"/>
  <c r="D15" i="2" s="1"/>
  <c r="T15" i="2"/>
  <c r="C10" i="2" s="1"/>
  <c r="D10" i="2" s="1"/>
  <c r="T16" i="2"/>
  <c r="C11" i="2" s="1"/>
  <c r="D11" i="2" s="1"/>
  <c r="T17" i="2"/>
  <c r="C12" i="2" s="1"/>
  <c r="D12" i="2" s="1"/>
  <c r="T18" i="2"/>
  <c r="C13" i="2" s="1"/>
  <c r="D13" i="2" s="1"/>
  <c r="T19" i="2"/>
  <c r="C14" i="2" s="1"/>
  <c r="D14" i="2" s="1"/>
  <c r="L54" i="2" l="1"/>
  <c r="L55" i="2" s="1"/>
  <c r="C23" i="2" s="1"/>
  <c r="N59" i="3"/>
  <c r="F22" i="3"/>
  <c r="F23" i="3" s="1"/>
  <c r="N56" i="3"/>
  <c r="G22" i="3"/>
  <c r="F45" i="3" s="1"/>
  <c r="N57" i="3"/>
  <c r="F44" i="3"/>
  <c r="E44" i="3"/>
  <c r="E38" i="3"/>
  <c r="C66" i="2"/>
  <c r="B44" i="2"/>
  <c r="H5" i="4" s="1"/>
  <c r="B75" i="2"/>
  <c r="B68" i="2"/>
  <c r="C67" i="2"/>
  <c r="B58" i="2"/>
  <c r="C57" i="2"/>
  <c r="B82" i="3"/>
  <c r="C81" i="3"/>
  <c r="D81" i="3"/>
  <c r="B89" i="3"/>
  <c r="C89" i="3"/>
  <c r="C68" i="3"/>
  <c r="D68" i="3"/>
  <c r="B58" i="3"/>
  <c r="C57" i="3"/>
  <c r="D57" i="3"/>
  <c r="E45" i="3"/>
  <c r="G23" i="3"/>
  <c r="E31" i="2"/>
  <c r="L53" i="2" s="1"/>
  <c r="B35" i="2"/>
  <c r="E21" i="2"/>
  <c r="C26" i="2" l="1"/>
  <c r="C25" i="2"/>
  <c r="D24" i="2"/>
  <c r="D26" i="2"/>
  <c r="D22" i="2"/>
  <c r="C33" i="2" s="1"/>
  <c r="C24" i="2"/>
  <c r="C22" i="2"/>
  <c r="D33" i="2" s="1"/>
  <c r="D23" i="2"/>
  <c r="C34" i="2" s="1"/>
  <c r="D34" i="2" s="1"/>
  <c r="D25" i="2"/>
  <c r="C21" i="2"/>
  <c r="D20" i="2"/>
  <c r="C31" i="2" s="1"/>
  <c r="D21" i="2"/>
  <c r="C32" i="2" s="1"/>
  <c r="C20" i="2"/>
  <c r="F20" i="2" s="1"/>
  <c r="D53" i="2" s="1"/>
  <c r="N58" i="3"/>
  <c r="N60" i="3" s="1"/>
  <c r="B45" i="2"/>
  <c r="B76" i="2"/>
  <c r="B69" i="2"/>
  <c r="C68" i="2"/>
  <c r="B59" i="2"/>
  <c r="C58" i="2"/>
  <c r="D82" i="3"/>
  <c r="B83" i="3"/>
  <c r="C82" i="3"/>
  <c r="B90" i="3"/>
  <c r="C90" i="3"/>
  <c r="C69" i="3"/>
  <c r="D69" i="3"/>
  <c r="B59" i="3"/>
  <c r="C58" i="3"/>
  <c r="D58" i="3"/>
  <c r="F46" i="3"/>
  <c r="G24" i="3"/>
  <c r="E46" i="3"/>
  <c r="F24" i="3"/>
  <c r="E32" i="2"/>
  <c r="B36" i="2"/>
  <c r="C35" i="2"/>
  <c r="D35" i="2" s="1"/>
  <c r="E22" i="2"/>
  <c r="E33" i="2" s="1"/>
  <c r="F33" i="2" s="1"/>
  <c r="D32" i="2" l="1"/>
  <c r="F21" i="2"/>
  <c r="F32" i="2"/>
  <c r="D31" i="2"/>
  <c r="F31" i="2" s="1"/>
  <c r="C25" i="3"/>
  <c r="C36" i="3" s="1"/>
  <c r="D26" i="3"/>
  <c r="D21" i="3"/>
  <c r="C22" i="3"/>
  <c r="D23" i="3"/>
  <c r="D24" i="3"/>
  <c r="D27" i="3"/>
  <c r="C27" i="3"/>
  <c r="C24" i="3"/>
  <c r="H24" i="3" s="1"/>
  <c r="C23" i="3"/>
  <c r="C26" i="3"/>
  <c r="D25" i="3"/>
  <c r="C21" i="3"/>
  <c r="D22" i="3"/>
  <c r="E53" i="2"/>
  <c r="E6" i="4" s="1"/>
  <c r="B6" i="4"/>
  <c r="D64" i="2"/>
  <c r="B77" i="2"/>
  <c r="B46" i="2"/>
  <c r="I5" i="4" s="1"/>
  <c r="G31" i="2"/>
  <c r="C74" i="2"/>
  <c r="G20" i="2"/>
  <c r="C59" i="2"/>
  <c r="G33" i="2"/>
  <c r="C76" i="2"/>
  <c r="G32" i="2"/>
  <c r="H32" i="2" s="1"/>
  <c r="C75" i="2"/>
  <c r="D75" i="2" s="1"/>
  <c r="B70" i="2"/>
  <c r="C70" i="2" s="1"/>
  <c r="C69" i="2"/>
  <c r="D65" i="2"/>
  <c r="E65" i="2" s="1"/>
  <c r="D54" i="2"/>
  <c r="E54" i="2" s="1"/>
  <c r="C83" i="3"/>
  <c r="D83" i="3"/>
  <c r="B91" i="3"/>
  <c r="C91" i="3"/>
  <c r="D70" i="3"/>
  <c r="C70" i="3"/>
  <c r="B60" i="3"/>
  <c r="C59" i="3"/>
  <c r="D59" i="3"/>
  <c r="G25" i="3"/>
  <c r="G36" i="3" s="1"/>
  <c r="F47" i="3"/>
  <c r="I24" i="3"/>
  <c r="F25" i="3"/>
  <c r="F36" i="3" s="1"/>
  <c r="E47" i="3"/>
  <c r="G21" i="2"/>
  <c r="B37" i="2"/>
  <c r="C37" i="2" s="1"/>
  <c r="D37" i="2" s="1"/>
  <c r="C36" i="2"/>
  <c r="D36" i="2" s="1"/>
  <c r="E23" i="2"/>
  <c r="E34" i="2" s="1"/>
  <c r="F34" i="2" s="1"/>
  <c r="F22" i="2"/>
  <c r="D33" i="3" l="1"/>
  <c r="C45" i="3"/>
  <c r="D45" i="3" s="1"/>
  <c r="D35" i="3"/>
  <c r="C47" i="3"/>
  <c r="D47" i="3" s="1"/>
  <c r="I21" i="3"/>
  <c r="C32" i="3"/>
  <c r="H21" i="3"/>
  <c r="D34" i="3"/>
  <c r="C46" i="3"/>
  <c r="D46" i="3" s="1"/>
  <c r="D36" i="3"/>
  <c r="C48" i="3"/>
  <c r="D48" i="3" s="1"/>
  <c r="C33" i="3"/>
  <c r="I22" i="3"/>
  <c r="H22" i="3"/>
  <c r="C37" i="3"/>
  <c r="D32" i="3"/>
  <c r="C44" i="3"/>
  <c r="D44" i="3" s="1"/>
  <c r="C34" i="3"/>
  <c r="H23" i="3"/>
  <c r="I23" i="3"/>
  <c r="D37" i="3"/>
  <c r="C49" i="3"/>
  <c r="D49" i="3" s="1"/>
  <c r="C35" i="3"/>
  <c r="D38" i="3"/>
  <c r="C50" i="3"/>
  <c r="C38" i="3"/>
  <c r="D50" i="3"/>
  <c r="H33" i="2"/>
  <c r="F4" i="4" s="1"/>
  <c r="C4" i="4"/>
  <c r="H20" i="2"/>
  <c r="E3" i="4" s="1"/>
  <c r="B3" i="4"/>
  <c r="F64" i="2"/>
  <c r="D74" i="2"/>
  <c r="E8" i="4" s="1"/>
  <c r="B8" i="4"/>
  <c r="H31" i="2"/>
  <c r="E4" i="4" s="1"/>
  <c r="B4" i="4"/>
  <c r="E64" i="2"/>
  <c r="E7" i="4" s="1"/>
  <c r="B7" i="4"/>
  <c r="D76" i="2"/>
  <c r="F8" i="4" s="1"/>
  <c r="C8" i="4"/>
  <c r="H36" i="3"/>
  <c r="C42" i="2"/>
  <c r="E75" i="2"/>
  <c r="E74" i="2"/>
  <c r="F53" i="2"/>
  <c r="B47" i="2"/>
  <c r="B78" i="2"/>
  <c r="I31" i="2"/>
  <c r="G34" i="2"/>
  <c r="H34" i="2" s="1"/>
  <c r="C77" i="2"/>
  <c r="D77" i="2" s="1"/>
  <c r="G22" i="2"/>
  <c r="D66" i="2"/>
  <c r="D55" i="2"/>
  <c r="F54" i="2"/>
  <c r="C43" i="2"/>
  <c r="D43" i="2" s="1"/>
  <c r="F65" i="2"/>
  <c r="B92" i="3"/>
  <c r="C92" i="3"/>
  <c r="E80" i="3"/>
  <c r="F80" i="3" s="1"/>
  <c r="D71" i="3"/>
  <c r="C71" i="3"/>
  <c r="E69" i="3"/>
  <c r="F69" i="3" s="1"/>
  <c r="B61" i="3"/>
  <c r="C60" i="3"/>
  <c r="D60" i="3"/>
  <c r="E58" i="3"/>
  <c r="F58" i="3" s="1"/>
  <c r="G26" i="3"/>
  <c r="F48" i="3"/>
  <c r="I25" i="3"/>
  <c r="J24" i="3"/>
  <c r="F26" i="3"/>
  <c r="E48" i="3"/>
  <c r="H25" i="3"/>
  <c r="I32" i="2"/>
  <c r="H21" i="2"/>
  <c r="F23" i="2"/>
  <c r="E24" i="2"/>
  <c r="E35" i="2" s="1"/>
  <c r="F35" i="2" s="1"/>
  <c r="G47" i="3" l="1"/>
  <c r="D90" i="3"/>
  <c r="H47" i="3"/>
  <c r="I47" i="3" s="1"/>
  <c r="J47" i="3" s="1"/>
  <c r="E90" i="3"/>
  <c r="E67" i="3"/>
  <c r="F67" i="3" s="1"/>
  <c r="E78" i="3"/>
  <c r="F78" i="3" s="1"/>
  <c r="J22" i="3"/>
  <c r="E56" i="3"/>
  <c r="F56" i="3" s="1"/>
  <c r="G32" i="3"/>
  <c r="F32" i="3"/>
  <c r="H32" i="3" s="1"/>
  <c r="G37" i="3"/>
  <c r="E68" i="3"/>
  <c r="E57" i="3"/>
  <c r="J23" i="3"/>
  <c r="E79" i="3"/>
  <c r="G44" i="3"/>
  <c r="I44" i="3" s="1"/>
  <c r="B15" i="4" s="1"/>
  <c r="E87" i="3"/>
  <c r="H44" i="3"/>
  <c r="D87" i="3"/>
  <c r="F87" i="3" s="1"/>
  <c r="D89" i="3"/>
  <c r="H46" i="3"/>
  <c r="G46" i="3"/>
  <c r="E89" i="3"/>
  <c r="F33" i="3"/>
  <c r="G33" i="3"/>
  <c r="F34" i="3"/>
  <c r="G34" i="3"/>
  <c r="E77" i="3"/>
  <c r="E66" i="3"/>
  <c r="J21" i="3"/>
  <c r="E55" i="3"/>
  <c r="F35" i="3"/>
  <c r="G35" i="3"/>
  <c r="D88" i="3"/>
  <c r="H45" i="3"/>
  <c r="E88" i="3"/>
  <c r="G45" i="3"/>
  <c r="F37" i="3"/>
  <c r="I36" i="3"/>
  <c r="G14" i="4" s="1"/>
  <c r="D14" i="4"/>
  <c r="D42" i="2"/>
  <c r="E5" i="4" s="1"/>
  <c r="B5" i="4"/>
  <c r="E55" i="2"/>
  <c r="F6" i="4" s="1"/>
  <c r="C6" i="4"/>
  <c r="E66" i="2"/>
  <c r="F7" i="4" s="1"/>
  <c r="C7" i="4"/>
  <c r="E76" i="2"/>
  <c r="H8" i="4" s="1"/>
  <c r="C3" i="4"/>
  <c r="H48" i="3"/>
  <c r="E91" i="3"/>
  <c r="G48" i="3"/>
  <c r="D91" i="3"/>
  <c r="B79" i="2"/>
  <c r="B48" i="2"/>
  <c r="G35" i="2"/>
  <c r="C78" i="2"/>
  <c r="I33" i="2"/>
  <c r="H4" i="4" s="1"/>
  <c r="F66" i="2"/>
  <c r="H7" i="4" s="1"/>
  <c r="F55" i="2"/>
  <c r="H6" i="4" s="1"/>
  <c r="G23" i="2"/>
  <c r="D67" i="2"/>
  <c r="E67" i="2" s="1"/>
  <c r="D56" i="2"/>
  <c r="E56" i="2" s="1"/>
  <c r="C44" i="2"/>
  <c r="H22" i="2"/>
  <c r="F3" i="4" s="1"/>
  <c r="D61" i="3"/>
  <c r="B93" i="3"/>
  <c r="C93" i="3"/>
  <c r="E81" i="3"/>
  <c r="G80" i="3"/>
  <c r="C72" i="3"/>
  <c r="E70" i="3"/>
  <c r="K24" i="3"/>
  <c r="G58" i="3"/>
  <c r="G69" i="3"/>
  <c r="C61" i="3"/>
  <c r="E59" i="3"/>
  <c r="J25" i="3"/>
  <c r="G27" i="3"/>
  <c r="G38" i="3" s="1"/>
  <c r="F49" i="3"/>
  <c r="I26" i="3"/>
  <c r="E49" i="3"/>
  <c r="F27" i="3"/>
  <c r="F38" i="3" s="1"/>
  <c r="H26" i="3"/>
  <c r="F24" i="2"/>
  <c r="E25" i="2"/>
  <c r="E36" i="2" s="1"/>
  <c r="F36" i="2" s="1"/>
  <c r="H33" i="3" l="1"/>
  <c r="I33" i="3" s="1"/>
  <c r="F90" i="3"/>
  <c r="G90" i="3" s="1"/>
  <c r="H37" i="3"/>
  <c r="I37" i="3" s="1"/>
  <c r="I46" i="3"/>
  <c r="C15" i="4" s="1"/>
  <c r="I45" i="3"/>
  <c r="F55" i="3"/>
  <c r="E16" i="4" s="1"/>
  <c r="B16" i="4"/>
  <c r="C18" i="4"/>
  <c r="F79" i="3"/>
  <c r="F18" i="4" s="1"/>
  <c r="G67" i="3"/>
  <c r="G56" i="3"/>
  <c r="G78" i="3"/>
  <c r="J33" i="3"/>
  <c r="K22" i="3"/>
  <c r="J45" i="3"/>
  <c r="G77" i="3"/>
  <c r="K21" i="3"/>
  <c r="G66" i="3"/>
  <c r="G55" i="3"/>
  <c r="B13" i="4"/>
  <c r="J44" i="3"/>
  <c r="H87" i="3"/>
  <c r="G79" i="3"/>
  <c r="H18" i="4" s="1"/>
  <c r="J46" i="3"/>
  <c r="H15" i="4" s="1"/>
  <c r="G68" i="3"/>
  <c r="H17" i="4" s="1"/>
  <c r="K23" i="3"/>
  <c r="C13" i="4"/>
  <c r="G57" i="3"/>
  <c r="H16" i="4" s="1"/>
  <c r="F66" i="3"/>
  <c r="E17" i="4" s="1"/>
  <c r="B17" i="4"/>
  <c r="F57" i="3"/>
  <c r="F16" i="4" s="1"/>
  <c r="C16" i="4"/>
  <c r="B18" i="4"/>
  <c r="F77" i="3"/>
  <c r="E18" i="4" s="1"/>
  <c r="F89" i="3"/>
  <c r="F68" i="3"/>
  <c r="F17" i="4" s="1"/>
  <c r="C17" i="4"/>
  <c r="F88" i="3"/>
  <c r="G88" i="3" s="1"/>
  <c r="B19" i="4"/>
  <c r="G87" i="3"/>
  <c r="E19" i="4" s="1"/>
  <c r="H34" i="3"/>
  <c r="J32" i="3"/>
  <c r="I32" i="3"/>
  <c r="E14" i="4" s="1"/>
  <c r="B14" i="4"/>
  <c r="H35" i="3"/>
  <c r="J36" i="3"/>
  <c r="I14" i="4" s="1"/>
  <c r="D13" i="4"/>
  <c r="I48" i="3"/>
  <c r="D15" i="4" s="1"/>
  <c r="F70" i="3"/>
  <c r="G17" i="4" s="1"/>
  <c r="D17" i="4"/>
  <c r="F59" i="3"/>
  <c r="G16" i="4" s="1"/>
  <c r="D16" i="4"/>
  <c r="F81" i="3"/>
  <c r="G18" i="4" s="1"/>
  <c r="D18" i="4"/>
  <c r="F91" i="3"/>
  <c r="H91" i="3" s="1"/>
  <c r="I19" i="4" s="1"/>
  <c r="H35" i="2"/>
  <c r="G4" i="4" s="1"/>
  <c r="D4" i="4"/>
  <c r="D78" i="2"/>
  <c r="G8" i="4" s="1"/>
  <c r="D8" i="4"/>
  <c r="D44" i="2"/>
  <c r="F5" i="4" s="1"/>
  <c r="C5" i="4"/>
  <c r="B80" i="2"/>
  <c r="H38" i="3"/>
  <c r="H90" i="3"/>
  <c r="G49" i="3"/>
  <c r="D92" i="3"/>
  <c r="H49" i="3"/>
  <c r="E92" i="3"/>
  <c r="G36" i="2"/>
  <c r="H36" i="2" s="1"/>
  <c r="C79" i="2"/>
  <c r="D79" i="2" s="1"/>
  <c r="I34" i="2"/>
  <c r="E77" i="2"/>
  <c r="C45" i="2"/>
  <c r="D45" i="2" s="1"/>
  <c r="H23" i="2"/>
  <c r="F56" i="2"/>
  <c r="G24" i="2"/>
  <c r="D68" i="2"/>
  <c r="D57" i="2"/>
  <c r="F67" i="2"/>
  <c r="G81" i="3"/>
  <c r="I18" i="4" s="1"/>
  <c r="E82" i="3"/>
  <c r="F82" i="3" s="1"/>
  <c r="K25" i="3"/>
  <c r="G15" i="4" s="1"/>
  <c r="G59" i="3"/>
  <c r="I16" i="4" s="1"/>
  <c r="G70" i="3"/>
  <c r="I17" i="4" s="1"/>
  <c r="E71" i="3"/>
  <c r="F71" i="3" s="1"/>
  <c r="E60" i="3"/>
  <c r="F60" i="3" s="1"/>
  <c r="F50" i="3"/>
  <c r="I27" i="3"/>
  <c r="J26" i="3"/>
  <c r="J37" i="3" s="1"/>
  <c r="E50" i="3"/>
  <c r="H27" i="3"/>
  <c r="E26" i="2"/>
  <c r="F25" i="2"/>
  <c r="E78" i="2" l="1"/>
  <c r="I8" i="4" s="1"/>
  <c r="D3" i="4"/>
  <c r="C14" i="4"/>
  <c r="I34" i="3"/>
  <c r="F14" i="4" s="1"/>
  <c r="F15" i="4"/>
  <c r="F13" i="4"/>
  <c r="E13" i="4"/>
  <c r="E15" i="4"/>
  <c r="I35" i="3"/>
  <c r="J35" i="3"/>
  <c r="J34" i="3"/>
  <c r="H14" i="4" s="1"/>
  <c r="H88" i="3"/>
  <c r="G89" i="3"/>
  <c r="F19" i="4" s="1"/>
  <c r="C19" i="4"/>
  <c r="H89" i="3"/>
  <c r="H19" i="4" s="1"/>
  <c r="J48" i="3"/>
  <c r="I15" i="4" s="1"/>
  <c r="I49" i="3"/>
  <c r="J49" i="3" s="1"/>
  <c r="G91" i="3"/>
  <c r="G19" i="4" s="1"/>
  <c r="D19" i="4"/>
  <c r="E57" i="2"/>
  <c r="G6" i="4" s="1"/>
  <c r="D6" i="4"/>
  <c r="E68" i="2"/>
  <c r="G7" i="4" s="1"/>
  <c r="D7" i="4"/>
  <c r="I38" i="3"/>
  <c r="H50" i="3"/>
  <c r="E93" i="3"/>
  <c r="G50" i="3"/>
  <c r="D93" i="3"/>
  <c r="F92" i="3"/>
  <c r="G92" i="3" s="1"/>
  <c r="F68" i="2"/>
  <c r="I7" i="4" s="1"/>
  <c r="I35" i="2"/>
  <c r="I4" i="4" s="1"/>
  <c r="F57" i="2"/>
  <c r="I6" i="4" s="1"/>
  <c r="G25" i="2"/>
  <c r="E79" i="2" s="1"/>
  <c r="D69" i="2"/>
  <c r="E69" i="2" s="1"/>
  <c r="D58" i="2"/>
  <c r="E58" i="2" s="1"/>
  <c r="C46" i="2"/>
  <c r="H24" i="2"/>
  <c r="E83" i="3"/>
  <c r="G82" i="3"/>
  <c r="E72" i="3"/>
  <c r="G60" i="3"/>
  <c r="G71" i="3"/>
  <c r="E61" i="3"/>
  <c r="K26" i="3"/>
  <c r="J27" i="3"/>
  <c r="F26" i="2"/>
  <c r="E37" i="2"/>
  <c r="F37" i="2" s="1"/>
  <c r="I50" i="3" l="1"/>
  <c r="J50" i="3" s="1"/>
  <c r="D46" i="2"/>
  <c r="G5" i="4" s="1"/>
  <c r="D5" i="4"/>
  <c r="J38" i="3"/>
  <c r="H92" i="3"/>
  <c r="F93" i="3"/>
  <c r="F72" i="3"/>
  <c r="F61" i="3"/>
  <c r="F83" i="3"/>
  <c r="G37" i="2"/>
  <c r="C80" i="2"/>
  <c r="H25" i="2"/>
  <c r="F69" i="2"/>
  <c r="I36" i="2"/>
  <c r="G26" i="2"/>
  <c r="D70" i="2"/>
  <c r="D59" i="2"/>
  <c r="C47" i="2"/>
  <c r="D47" i="2" s="1"/>
  <c r="F58" i="2"/>
  <c r="G72" i="3"/>
  <c r="G83" i="3"/>
  <c r="K27" i="3"/>
  <c r="G61" i="3"/>
  <c r="H37" i="2" l="1"/>
  <c r="E59" i="2"/>
  <c r="D80" i="2"/>
  <c r="G13" i="4"/>
  <c r="E70" i="2"/>
  <c r="H93" i="3"/>
  <c r="G93" i="3"/>
  <c r="E80" i="2"/>
  <c r="F59" i="2"/>
  <c r="F70" i="2"/>
  <c r="I37" i="2"/>
  <c r="C48" i="2"/>
  <c r="H26" i="2"/>
  <c r="G3" i="4" s="1"/>
  <c r="D48" i="2" l="1"/>
</calcChain>
</file>

<file path=xl/sharedStrings.xml><?xml version="1.0" encoding="utf-8"?>
<sst xmlns="http://schemas.openxmlformats.org/spreadsheetml/2006/main" count="635" uniqueCount="159">
  <si>
    <t>Kenya</t>
  </si>
  <si>
    <t>Market</t>
  </si>
  <si>
    <t>Commodity balances, volume</t>
  </si>
  <si>
    <t>1000 tonnes</t>
  </si>
  <si>
    <t>Eggs</t>
  </si>
  <si>
    <t>Business-As-Usual</t>
  </si>
  <si>
    <t>RegionName</t>
  </si>
  <si>
    <t>DomainName</t>
  </si>
  <si>
    <t>Indicator.Name</t>
  </si>
  <si>
    <t>units</t>
  </si>
  <si>
    <t>ElementName</t>
  </si>
  <si>
    <t>ItemName</t>
  </si>
  <si>
    <t>ScenarioName</t>
  </si>
  <si>
    <t>Year</t>
  </si>
  <si>
    <t>V1</t>
  </si>
  <si>
    <t>Poultry meat</t>
  </si>
  <si>
    <t>Beef and veal</t>
  </si>
  <si>
    <t>Raw milk</t>
  </si>
  <si>
    <t>Domestic production</t>
  </si>
  <si>
    <t>Domain Code</t>
  </si>
  <si>
    <t>Domain</t>
  </si>
  <si>
    <t>Area Code (M49)</t>
  </si>
  <si>
    <t>Area</t>
  </si>
  <si>
    <t>Element Code</t>
  </si>
  <si>
    <t>Element</t>
  </si>
  <si>
    <t>Item Code (CPC)</t>
  </si>
  <si>
    <t>Item</t>
  </si>
  <si>
    <t>Year Code</t>
  </si>
  <si>
    <t>Unit</t>
  </si>
  <si>
    <t>Value</t>
  </si>
  <si>
    <t>Flag</t>
  </si>
  <si>
    <t>Flag Description</t>
  </si>
  <si>
    <t>FBS</t>
  </si>
  <si>
    <t>Food Balances (2010-)</t>
  </si>
  <si>
    <t>Production</t>
  </si>
  <si>
    <t>S2744</t>
  </si>
  <si>
    <t>I</t>
  </si>
  <si>
    <t>Imputed value</t>
  </si>
  <si>
    <t>Losses</t>
  </si>
  <si>
    <t>FAOSTAT</t>
  </si>
  <si>
    <t>S2734</t>
  </si>
  <si>
    <t>Poultry Meat</t>
  </si>
  <si>
    <t>S2731</t>
  </si>
  <si>
    <t>Bovine Meat</t>
  </si>
  <si>
    <t>S2848</t>
  </si>
  <si>
    <t>Milk - Excluding Butter</t>
  </si>
  <si>
    <t>QCL</t>
  </si>
  <si>
    <t>Crops and livestock products</t>
  </si>
  <si>
    <t>Raw milk of cattle</t>
  </si>
  <si>
    <t>tonnes</t>
  </si>
  <si>
    <t>A</t>
  </si>
  <si>
    <t>Official figure</t>
  </si>
  <si>
    <t>GLEAM</t>
  </si>
  <si>
    <t>Chickens</t>
  </si>
  <si>
    <t>Cattle</t>
  </si>
  <si>
    <t>Protein</t>
  </si>
  <si>
    <t>Protein Yield (t / head)</t>
  </si>
  <si>
    <t>Heads</t>
  </si>
  <si>
    <t>Emissions per head (kg CO2eq/head)</t>
  </si>
  <si>
    <t>Annual protein yield increase</t>
  </si>
  <si>
    <t>Share of protein output from Dairy</t>
  </si>
  <si>
    <t>Total protein production from Dairy (t)</t>
  </si>
  <si>
    <t>Total Dairy herd size (heads)</t>
  </si>
  <si>
    <t>Emissions (Mt CO2eq)</t>
  </si>
  <si>
    <t>Total protein production (t) - Extensive</t>
  </si>
  <si>
    <t>Total flock size (heads)  - Extensive</t>
  </si>
  <si>
    <t>Protein Yield (t / head)  - Extensive</t>
  </si>
  <si>
    <t>Total protein production (t) - Intensive</t>
  </si>
  <si>
    <t>Total flock size (heads)  - Intensive</t>
  </si>
  <si>
    <t>Protein Yield (t / head)  - Intensive</t>
  </si>
  <si>
    <t>Emissions per head (kg CO2eq/head) - Extensive</t>
  </si>
  <si>
    <t>Emissions per head (kg CO2eq/head) - Intensive</t>
  </si>
  <si>
    <t>Emission Source</t>
  </si>
  <si>
    <t>DirectOnFarmEnergy</t>
  </si>
  <si>
    <t>EmbeddedOnFarmEnergy</t>
  </si>
  <si>
    <t>EntericFermentation</t>
  </si>
  <si>
    <t>Feed-CO2</t>
  </si>
  <si>
    <t>Feed-N2O</t>
  </si>
  <si>
    <t>LandUseChange</t>
  </si>
  <si>
    <t>Manure-CH4</t>
  </si>
  <si>
    <t>Manure-N2O</t>
  </si>
  <si>
    <t>PastureExpansion</t>
  </si>
  <si>
    <t>Postfarm</t>
  </si>
  <si>
    <t>Emissions [ %]</t>
  </si>
  <si>
    <t>Emissions - Extensive[ %]</t>
  </si>
  <si>
    <t>Feed-CH4</t>
  </si>
  <si>
    <t>Emissions - Intensive[ %]</t>
  </si>
  <si>
    <t>Losses reduction</t>
  </si>
  <si>
    <t>Losses reduction by 2050</t>
  </si>
  <si>
    <t>Avoided losses</t>
  </si>
  <si>
    <t>Protein production (1000 tonnes)</t>
  </si>
  <si>
    <t>EI (kg CO2eq/kg protein)</t>
  </si>
  <si>
    <t>Realized mitigation potential</t>
  </si>
  <si>
    <t>MITIGATON: Reduction of Production losses</t>
  </si>
  <si>
    <t>MITIGATON: Improved herd management</t>
  </si>
  <si>
    <t>Average mitigation potential: East Africa</t>
  </si>
  <si>
    <t>MITIGATON: On-farm and Post-farm energy consumption</t>
  </si>
  <si>
    <t>Reducton of energy emissions by 2050</t>
  </si>
  <si>
    <t>Protein Yield - ext. (t / head)</t>
  </si>
  <si>
    <t>Protein Yield - int. (t / head)</t>
  </si>
  <si>
    <t>Extensive heads</t>
  </si>
  <si>
    <t>Intensive heads</t>
  </si>
  <si>
    <t>EF (kg CO2eq/head) - Extensive</t>
  </si>
  <si>
    <t>EF (kg CO2eq/head) - intensive</t>
  </si>
  <si>
    <t>MITIGATON: Energy consumption for feed</t>
  </si>
  <si>
    <t>MITIGATON: Land-use change</t>
  </si>
  <si>
    <t>LUC reduction by 2050</t>
  </si>
  <si>
    <t>Energy emissions savings</t>
  </si>
  <si>
    <t>Reduction of LUC emissions</t>
  </si>
  <si>
    <t>MITIGATON: Combined interventions</t>
  </si>
  <si>
    <t>Share of product from Intensive</t>
  </si>
  <si>
    <t>Bone Free Meat (fraction)</t>
  </si>
  <si>
    <t>Production from Intensive systems by 2050</t>
  </si>
  <si>
    <t>EF (kg CO2eq/head)</t>
  </si>
  <si>
    <t>MITIGATON: Enteric fermentation</t>
  </si>
  <si>
    <t>Enteric CH4 reduction by 2050</t>
  </si>
  <si>
    <t>Reduction of Enteric CH4</t>
  </si>
  <si>
    <t>BASELINE PROJECTIONS</t>
  </si>
  <si>
    <t>Production (1000 tonnes)</t>
  </si>
  <si>
    <t>Losses (1000 tonnes)</t>
  </si>
  <si>
    <t>GLOBAL PERSPECTIVE STUDIES</t>
  </si>
  <si>
    <t xml:space="preserve">https://www.fao.org/global-perspectives-studies/food-agriculture-projections-to-2050/en </t>
  </si>
  <si>
    <t xml:space="preserve">https://www.fao.org/3/i7669e/i7669e.pdf  </t>
  </si>
  <si>
    <t xml:space="preserve">https://link.springer.com/article/10.1007/s10113-016-0986-3 </t>
  </si>
  <si>
    <t>Mitigation potential</t>
  </si>
  <si>
    <t>MEATprot (kg protein / kg CW)</t>
  </si>
  <si>
    <t>EGGprot (kg protein / kg eggs)</t>
  </si>
  <si>
    <t>MILKprot (kg proten / kg milk)</t>
  </si>
  <si>
    <t>DAIRY CATTLE</t>
  </si>
  <si>
    <t>POULTRY</t>
  </si>
  <si>
    <t>Baseline</t>
  </si>
  <si>
    <t>Reduction of Production losses</t>
  </si>
  <si>
    <t>Improved herd management</t>
  </si>
  <si>
    <t>Reduction of land-use change</t>
  </si>
  <si>
    <t>Combined interventions</t>
  </si>
  <si>
    <t>Total emissions (Mt CO2-eq)</t>
  </si>
  <si>
    <t>Mititagion potential (%)</t>
  </si>
  <si>
    <t>Reduction of on-farm and post-farm energy emissions</t>
  </si>
  <si>
    <t>Reduction of energy emissions for feed production</t>
  </si>
  <si>
    <t>INTENSIFICATION OF PRODUCTION</t>
  </si>
  <si>
    <t>Intensification of production</t>
  </si>
  <si>
    <t>Emission intensity (kg CO2-eq / kg protein)</t>
  </si>
  <si>
    <t>Reduction of enteric fermentation</t>
  </si>
  <si>
    <t>PROJECT DOWNSCALE</t>
  </si>
  <si>
    <t>HEADS</t>
  </si>
  <si>
    <t>PROTEIN PRODUCTION (tons)</t>
  </si>
  <si>
    <t>NATIONAL PROTEIN PRODUCTION (tons)</t>
  </si>
  <si>
    <t>DOWNSCALE PROPORTION</t>
  </si>
  <si>
    <t>PROTEIN PRODUCTION - EXTENSIVE (tons)</t>
  </si>
  <si>
    <t>PROTEIN PRODUCTION - INTENSIVE (tons)</t>
  </si>
  <si>
    <t>Intensive animals (proportion)</t>
  </si>
  <si>
    <t>Extensive animals (proportion)</t>
  </si>
  <si>
    <t>PROTEIN PRODUCTION - TOTAL (tons)</t>
  </si>
  <si>
    <t>TOTAL MITIGATED 2040</t>
  </si>
  <si>
    <t>TOTAL MITIGATED 2030 (in project)</t>
  </si>
  <si>
    <t>LIVESTOCK</t>
  </si>
  <si>
    <t>AFOLU</t>
  </si>
  <si>
    <t>TCo2Eq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</si>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</sst>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_(* #,##0.000000_);_(* \(#,##0.000000\);_(* &quot;-&quot;??_);_(@_)"/>
    <numFmt numFmtId="167" formatCode="0.0%"/>
    <numFmt numFmtId="168" formatCode="_(* #,##0.0000_);_(* \(#,##0.0000\);_(* &quot;-&quot;??_);_(@_)"/>
    <numFmt numFmtId="169" formatCode="_(* #,##0.0_);_(* \(#,##0.0\);_(* &quot;-&quot;??_);_(@_)"/>
    <numFmt numFmtId="170" formatCode="_(* #,##0.00000000000000000_);_(* \(#,##0.000000000000000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7" fillId="0" borderId="0" applyNumberFormat="0" applyFill="0" applyBorder="0" applyAlignment="0" applyProtection="0"/>
  </cellStyleXfs>
  <cellXfs count="65">
    <xf numFmtId="0" fontId="0" fillId="0" borderId="0" xfId="0"/>
    <xf numFmtId="43" fontId="0" fillId="0" borderId="0" xfId="1" applyFont="1"/>
    <xf numFmtId="4" fontId="0" fillId="0" borderId="0" xfId="0" applyNumberFormat="1"/>
    <xf numFmtId="0" fontId="0" fillId="2" borderId="0" xfId="0" applyFill="1"/>
    <xf numFmtId="43" fontId="0" fillId="0" borderId="0" xfId="0" applyNumberFormat="1"/>
    <xf numFmtId="0" fontId="2" fillId="0" borderId="0" xfId="0" applyFont="1"/>
    <xf numFmtId="43" fontId="2" fillId="0" borderId="0" xfId="0" applyNumberFormat="1" applyFont="1"/>
    <xf numFmtId="164" fontId="0" fillId="0" borderId="0" xfId="1" applyNumberFormat="1" applyFont="1"/>
    <xf numFmtId="43" fontId="2" fillId="0" borderId="0" xfId="1" applyFont="1"/>
    <xf numFmtId="164" fontId="0" fillId="0" borderId="0" xfId="0" applyNumberFormat="1"/>
    <xf numFmtId="0" fontId="2" fillId="2" borderId="0" xfId="0" applyFont="1" applyFill="1"/>
    <xf numFmtId="165" fontId="0" fillId="0" borderId="0" xfId="1" applyNumberFormat="1" applyFont="1"/>
    <xf numFmtId="166" fontId="0" fillId="0" borderId="0" xfId="1" applyNumberFormat="1" applyFont="1"/>
    <xf numFmtId="3" fontId="0" fillId="0" borderId="0" xfId="0" applyNumberFormat="1"/>
    <xf numFmtId="3" fontId="3" fillId="0" borderId="0" xfId="0" applyNumberFormat="1" applyFont="1"/>
    <xf numFmtId="43" fontId="4" fillId="0" borderId="0" xfId="1" applyFont="1"/>
    <xf numFmtId="166" fontId="0" fillId="0" borderId="0" xfId="0" applyNumberFormat="1"/>
    <xf numFmtId="166" fontId="2" fillId="0" borderId="0" xfId="0" applyNumberFormat="1" applyFont="1"/>
    <xf numFmtId="164" fontId="2" fillId="0" borderId="0" xfId="0" applyNumberFormat="1" applyFont="1"/>
    <xf numFmtId="9" fontId="0" fillId="0" borderId="0" xfId="2" applyFont="1"/>
    <xf numFmtId="0" fontId="5" fillId="0" borderId="0" xfId="0" applyFont="1"/>
    <xf numFmtId="9" fontId="6" fillId="0" borderId="0" xfId="2" applyFont="1" applyFill="1" applyBorder="1"/>
    <xf numFmtId="43" fontId="1" fillId="0" borderId="0" xfId="1" applyFont="1"/>
    <xf numFmtId="168" fontId="2" fillId="0" borderId="0" xfId="0" applyNumberFormat="1" applyFont="1"/>
    <xf numFmtId="168" fontId="0" fillId="0" borderId="0" xfId="0" applyNumberFormat="1"/>
    <xf numFmtId="168" fontId="2" fillId="0" borderId="0" xfId="1" applyNumberFormat="1" applyFont="1"/>
    <xf numFmtId="168" fontId="1" fillId="0" borderId="0" xfId="1" applyNumberFormat="1" applyFont="1"/>
    <xf numFmtId="166" fontId="2" fillId="0" borderId="0" xfId="1" applyNumberFormat="1" applyFont="1"/>
    <xf numFmtId="9" fontId="0" fillId="2" borderId="0" xfId="2" applyFont="1" applyFill="1"/>
    <xf numFmtId="43" fontId="0" fillId="2" borderId="0" xfId="1" applyFont="1" applyFill="1"/>
    <xf numFmtId="43" fontId="2" fillId="2" borderId="0" xfId="0" applyNumberFormat="1" applyFont="1" applyFill="1"/>
    <xf numFmtId="167" fontId="0" fillId="2" borderId="0" xfId="2" applyNumberFormat="1" applyFont="1" applyFill="1"/>
    <xf numFmtId="167" fontId="2" fillId="2" borderId="0" xfId="2" applyNumberFormat="1" applyFont="1" applyFill="1"/>
    <xf numFmtId="167" fontId="1" fillId="2" borderId="0" xfId="2" applyNumberFormat="1" applyFont="1" applyFill="1"/>
    <xf numFmtId="0" fontId="2" fillId="3" borderId="0" xfId="0" applyFont="1" applyFill="1"/>
    <xf numFmtId="9" fontId="2" fillId="3" borderId="0" xfId="2" applyFont="1" applyFill="1"/>
    <xf numFmtId="9" fontId="0" fillId="3" borderId="0" xfId="2" applyFont="1" applyFill="1"/>
    <xf numFmtId="0" fontId="7" fillId="0" borderId="0" xfId="4"/>
    <xf numFmtId="43" fontId="0" fillId="2" borderId="0" xfId="0" applyNumberFormat="1" applyFill="1"/>
    <xf numFmtId="9" fontId="2" fillId="2" borderId="0" xfId="2" applyFont="1" applyFill="1"/>
    <xf numFmtId="170" fontId="0" fillId="0" borderId="0" xfId="1" applyNumberFormat="1" applyFont="1"/>
    <xf numFmtId="0" fontId="2" fillId="0" borderId="1" xfId="0" applyFont="1" applyBorder="1"/>
    <xf numFmtId="0" fontId="2" fillId="0" borderId="3" xfId="0" applyFont="1" applyBorder="1"/>
    <xf numFmtId="0" fontId="2" fillId="0" borderId="5" xfId="0" applyFont="1" applyBorder="1"/>
    <xf numFmtId="43" fontId="0" fillId="0" borderId="6" xfId="0" applyNumberFormat="1" applyBorder="1"/>
    <xf numFmtId="43" fontId="0" fillId="0" borderId="2" xfId="0" applyNumberFormat="1" applyBorder="1"/>
    <xf numFmtId="169" fontId="0" fillId="0" borderId="6" xfId="0" applyNumberFormat="1" applyBorder="1"/>
    <xf numFmtId="169" fontId="0" fillId="0" borderId="0" xfId="0" applyNumberFormat="1"/>
    <xf numFmtId="169" fontId="0" fillId="0" borderId="2" xfId="0" applyNumberFormat="1" applyBorder="1"/>
    <xf numFmtId="169" fontId="0" fillId="0" borderId="0" xfId="1" applyNumberFormat="1" applyFont="1"/>
    <xf numFmtId="43" fontId="2" fillId="2" borderId="0" xfId="1" applyFont="1" applyFill="1"/>
    <xf numFmtId="43" fontId="1" fillId="2" borderId="0" xfId="1" applyFont="1" applyFill="1"/>
    <xf numFmtId="168" fontId="0" fillId="0" borderId="0" xfId="1" applyNumberFormat="1" applyFont="1" applyBorder="1"/>
    <xf numFmtId="168" fontId="0" fillId="0" borderId="2" xfId="1" applyNumberFormat="1" applyFont="1" applyBorder="1"/>
    <xf numFmtId="9" fontId="0" fillId="0" borderId="0" xfId="0" applyNumberFormat="1"/>
    <xf numFmtId="168" fontId="2" fillId="2" borderId="0" xfId="0" applyNumberFormat="1" applyFont="1" applyFill="1"/>
    <xf numFmtId="168" fontId="0" fillId="2" borderId="0" xfId="0" applyNumberFormat="1" applyFill="1"/>
    <xf numFmtId="168" fontId="2" fillId="2" borderId="0" xfId="1" applyNumberFormat="1" applyFont="1" applyFill="1"/>
    <xf numFmtId="168" fontId="0" fillId="2" borderId="0" xfId="1" applyNumberFormat="1" applyFont="1" applyFill="1"/>
    <xf numFmtId="168" fontId="1" fillId="2" borderId="0" xfId="1" applyNumberFormat="1" applyFont="1" applyFill="1"/>
    <xf numFmtId="43" fontId="0" fillId="4" borderId="0" xfId="1" applyFont="1" applyFill="1"/>
    <xf numFmtId="43" fontId="0" fillId="4" borderId="0" xfId="1" applyFont="1" applyFill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</cellXfs>
  <cellStyles count="5">
    <cellStyle name="Comma" xfId="1" builtinId="3"/>
    <cellStyle name="Hyperlink" xfId="4" builtinId="8"/>
    <cellStyle name="Normal" xfId="0" builtinId="0"/>
    <cellStyle name="Normal 2" xfId="3" xr:uid="{00000000-0005-0000-0000-000003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Dairy emissions (baseline)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'Cattle (Dairy)'!$B$20:$B$26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'Cattle (Dairy)'!$G$20:$G$26</c:f>
              <c:numCache>
                <c:formatCode>_(* #,##0.00_);_(* \(#,##0.00\);_(* "-"??_);_(@_)</c:formatCode>
                <c:ptCount val="7"/>
                <c:pt idx="0">
                  <c:v>0.16386255600000002</c:v>
                </c:pt>
                <c:pt idx="1">
                  <c:v>0.18596610848152795</c:v>
                </c:pt>
                <c:pt idx="2">
                  <c:v>0.20743134699808899</c:v>
                </c:pt>
                <c:pt idx="3">
                  <c:v>0.2256589579538088</c:v>
                </c:pt>
                <c:pt idx="4">
                  <c:v>0.24072951977081036</c:v>
                </c:pt>
                <c:pt idx="5">
                  <c:v>0.25135908910915961</c:v>
                </c:pt>
                <c:pt idx="6">
                  <c:v>0.25634087499523228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81-4389-9B1B-B15DD4D2BC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098088"/>
        <c:axId val="359094808"/>
      </c:scatterChart>
      <c:valAx>
        <c:axId val="359098088"/>
        <c:scaling>
          <c:orientation val="minMax"/>
          <c:max val="2050"/>
          <c:min val="20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4808"/>
        <c:crosses val="autoZero"/>
        <c:crossBetween val="midCat"/>
      </c:valAx>
      <c:valAx>
        <c:axId val="359094808"/>
        <c:scaling>
          <c:orientation val="minMax"/>
          <c:min val="0.1600000000000000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Emissions (Mt CO2eq)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8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Poultry emissions (Feed energy mitigation)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Poutry!$A$66:$A$72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Poutry!$E$66:$E$72</c:f>
              <c:numCache>
                <c:formatCode>_(* #,##0.0000_);_(* \(#,##0.0000\);_(* "-"??_);_(@_)</c:formatCode>
                <c:ptCount val="7"/>
                <c:pt idx="0">
                  <c:v>2.7534378457444407E-3</c:v>
                </c:pt>
                <c:pt idx="1">
                  <c:v>3.2471428386234686E-3</c:v>
                </c:pt>
                <c:pt idx="2">
                  <c:v>3.7010039978225121E-3</c:v>
                </c:pt>
                <c:pt idx="3">
                  <c:v>4.1115612690042552E-3</c:v>
                </c:pt>
                <c:pt idx="4">
                  <c:v>4.4477881818836421E-3</c:v>
                </c:pt>
                <c:pt idx="5">
                  <c:v>4.6660799382239543E-3</c:v>
                </c:pt>
                <c:pt idx="6">
                  <c:v>4.721782607011251E-3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7D-4E19-A11C-E907E4D78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098088"/>
        <c:axId val="359094808"/>
      </c:scatterChart>
      <c:valAx>
        <c:axId val="359098088"/>
        <c:scaling>
          <c:orientation val="minMax"/>
          <c:max val="2050"/>
          <c:min val="20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4808"/>
        <c:crosses val="autoZero"/>
        <c:crossBetween val="midCat"/>
      </c:valAx>
      <c:valAx>
        <c:axId val="359094808"/>
        <c:scaling>
          <c:orientation val="minMax"/>
          <c:min val="2.5000000000000005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Emissions</a:t>
                </a:r>
                <a:r>
                  <a:rPr lang="en-US" baseline="0"/>
                  <a:t> (Mt CO2-eq)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00_);_(* \(#,##0.00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8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Poultry emissions (Combined interventions)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Poutry!$A$87:$A$93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Poutry!$F$87:$F$93</c:f>
              <c:numCache>
                <c:formatCode>_(* #,##0.0000_);_(* \(#,##0.0000\);_(* "-"??_);_(@_)</c:formatCode>
                <c:ptCount val="7"/>
                <c:pt idx="0">
                  <c:v>2.7534378457444403E-3</c:v>
                </c:pt>
                <c:pt idx="1">
                  <c:v>3.1356017463662427E-3</c:v>
                </c:pt>
                <c:pt idx="2">
                  <c:v>3.4081188108821435E-3</c:v>
                </c:pt>
                <c:pt idx="3">
                  <c:v>3.5566544522454479E-3</c:v>
                </c:pt>
                <c:pt idx="4">
                  <c:v>3.5471662390593739E-3</c:v>
                </c:pt>
                <c:pt idx="5">
                  <c:v>3.3482233199070457E-3</c:v>
                </c:pt>
                <c:pt idx="6">
                  <c:v>2.9482390386893031E-3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1AB-4B48-B7EC-758F85C25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098088"/>
        <c:axId val="359094808"/>
      </c:scatterChart>
      <c:valAx>
        <c:axId val="359098088"/>
        <c:scaling>
          <c:orientation val="minMax"/>
          <c:max val="2050"/>
          <c:min val="20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4808"/>
        <c:crosses val="autoZero"/>
        <c:crossBetween val="midCat"/>
      </c:valAx>
      <c:valAx>
        <c:axId val="359094808"/>
        <c:scaling>
          <c:orientation val="minMax"/>
          <c:min val="2.5000000000000005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Emissions</a:t>
                </a:r>
                <a:r>
                  <a:rPr lang="en-US" baseline="0"/>
                  <a:t> (Mt CO2-eq)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00_);_(* \(#,##0.00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8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Poultry emissions (land-use change mitigation)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Poutry!$A$77:$A$83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Poutry!$E$77:$E$83</c:f>
              <c:numCache>
                <c:formatCode>_(* #,##0.0000_);_(* \(#,##0.0000\);_(* "-"??_);_(@_)</c:formatCode>
                <c:ptCount val="7"/>
                <c:pt idx="0">
                  <c:v>2.7534378457444407E-3</c:v>
                </c:pt>
                <c:pt idx="1">
                  <c:v>3.2880378037254188E-3</c:v>
                </c:pt>
                <c:pt idx="2">
                  <c:v>3.796548246964869E-3</c:v>
                </c:pt>
                <c:pt idx="3">
                  <c:v>4.2748435975142659E-3</c:v>
                </c:pt>
                <c:pt idx="4">
                  <c:v>4.6894761216344253E-3</c:v>
                </c:pt>
                <c:pt idx="5">
                  <c:v>4.9915502901005278E-3</c:v>
                </c:pt>
                <c:pt idx="6">
                  <c:v>5.1279450790947152E-3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72-449D-8FE6-DBC035C71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098088"/>
        <c:axId val="359094808"/>
      </c:scatterChart>
      <c:valAx>
        <c:axId val="359098088"/>
        <c:scaling>
          <c:orientation val="minMax"/>
          <c:max val="2050"/>
          <c:min val="20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4808"/>
        <c:crosses val="autoZero"/>
        <c:crossBetween val="midCat"/>
      </c:valAx>
      <c:valAx>
        <c:axId val="359094808"/>
        <c:scaling>
          <c:orientation val="minMax"/>
          <c:min val="2.5000000000000005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Emissions</a:t>
                </a:r>
                <a:r>
                  <a:rPr lang="en-US" baseline="0"/>
                  <a:t> (Mt CO2-eq)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00_);_(* \(#,##0.00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8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Poultry emissions (Production</a:t>
            </a:r>
            <a:r>
              <a:rPr lang="en-US" baseline="0"/>
              <a:t> intensification</a:t>
            </a:r>
            <a:r>
              <a:rPr lang="en-US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Poutry!$B$32:$B$38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Poutry!$H$32:$H$38</c:f>
              <c:numCache>
                <c:formatCode>_(* #,##0.0000_);_(* \(#,##0.0000\);_(* "-"??_);_(@_)</c:formatCode>
                <c:ptCount val="7"/>
                <c:pt idx="0">
                  <c:v>2.7534378457444407E-3</c:v>
                </c:pt>
                <c:pt idx="1">
                  <c:v>3.3215518029628146E-3</c:v>
                </c:pt>
                <c:pt idx="2">
                  <c:v>3.8748481033142219E-3</c:v>
                </c:pt>
                <c:pt idx="3">
                  <c:v>4.4086557628877426E-3</c:v>
                </c:pt>
                <c:pt idx="4">
                  <c:v>4.8875427884796617E-3</c:v>
                </c:pt>
                <c:pt idx="5">
                  <c:v>5.2582778223870461E-3</c:v>
                </c:pt>
                <c:pt idx="6">
                  <c:v>5.4608009391187854E-3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3B-4C05-B3A6-D3453ED2B7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098088"/>
        <c:axId val="359094808"/>
      </c:scatterChart>
      <c:valAx>
        <c:axId val="359098088"/>
        <c:scaling>
          <c:orientation val="minMax"/>
          <c:max val="2050"/>
          <c:min val="20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4808"/>
        <c:crosses val="autoZero"/>
        <c:crossBetween val="midCat"/>
      </c:valAx>
      <c:valAx>
        <c:axId val="359094808"/>
        <c:scaling>
          <c:orientation val="minMax"/>
          <c:min val="2.5000000000000005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Emissions</a:t>
                </a:r>
                <a:r>
                  <a:rPr lang="en-US" baseline="0"/>
                  <a:t> (Mt CO2-eq)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00_);_(* \(#,##0.00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8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Dairy emissions (reduced losses)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'Cattle (Dairy)'!$A$31:$A$37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'Cattle (Dairy)'!$G$31:$G$37</c:f>
              <c:numCache>
                <c:formatCode>_(* #,##0.00_);_(* \(#,##0.00\);_(* "-"??_);_(@_)</c:formatCode>
                <c:ptCount val="7"/>
                <c:pt idx="0">
                  <c:v>0.16386255600000002</c:v>
                </c:pt>
                <c:pt idx="1">
                  <c:v>0.18470976279330867</c:v>
                </c:pt>
                <c:pt idx="2">
                  <c:v>0.2046146672980842</c:v>
                </c:pt>
                <c:pt idx="3">
                  <c:v>0.22104484080563114</c:v>
                </c:pt>
                <c:pt idx="4">
                  <c:v>0.23414102530293288</c:v>
                </c:pt>
                <c:pt idx="5">
                  <c:v>0.24272603843778842</c:v>
                </c:pt>
                <c:pt idx="6">
                  <c:v>0.24573184615952456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8BA-4FC3-82A5-2D9EE5794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098088"/>
        <c:axId val="359094808"/>
      </c:scatterChart>
      <c:valAx>
        <c:axId val="359098088"/>
        <c:scaling>
          <c:orientation val="minMax"/>
          <c:max val="2050"/>
          <c:min val="20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4808"/>
        <c:crosses val="autoZero"/>
        <c:crossBetween val="midCat"/>
      </c:valAx>
      <c:valAx>
        <c:axId val="359094808"/>
        <c:scaling>
          <c:orientation val="minMax"/>
          <c:min val="0.1600000000000000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Emissions (Mt CO2eq)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8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Dairy emissions (improved herd management)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'Cattle (Dairy)'!$A$42:$A$48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'Cattle (Dairy)'!$C$42:$C$48</c:f>
              <c:numCache>
                <c:formatCode>_(* #,##0.00_);_(* \(#,##0.00\);_(* "-"??_);_(@_)</c:formatCode>
                <c:ptCount val="7"/>
                <c:pt idx="0">
                  <c:v>0.16386255600000002</c:v>
                </c:pt>
                <c:pt idx="1">
                  <c:v>0.18379650388257679</c:v>
                </c:pt>
                <c:pt idx="2">
                  <c:v>0.20259128223480025</c:v>
                </c:pt>
                <c:pt idx="3">
                  <c:v>0.21776089442542548</c:v>
                </c:pt>
                <c:pt idx="4">
                  <c:v>0.22949547551483923</c:v>
                </c:pt>
                <c:pt idx="5">
                  <c:v>0.23669647557779197</c:v>
                </c:pt>
                <c:pt idx="6">
                  <c:v>0.23839701374556602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88C-4B38-9405-4D30A4FAEE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098088"/>
        <c:axId val="359094808"/>
      </c:scatterChart>
      <c:valAx>
        <c:axId val="359098088"/>
        <c:scaling>
          <c:orientation val="minMax"/>
          <c:max val="2050"/>
          <c:min val="20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4808"/>
        <c:crosses val="autoZero"/>
        <c:crossBetween val="midCat"/>
      </c:valAx>
      <c:valAx>
        <c:axId val="359094808"/>
        <c:scaling>
          <c:orientation val="minMax"/>
          <c:min val="0.1600000000000000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Emissions (Mt CO2eq)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8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Dairy emissions (Land-use change mitigation)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'Cattle (Dairy)'!$A$53:$A$59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'Cattle (Dairy)'!$D$53:$D$59</c:f>
              <c:numCache>
                <c:formatCode>_(* #,##0.00_);_(* \(#,##0.00\);_(* "-"??_);_(@_)</c:formatCode>
                <c:ptCount val="7"/>
                <c:pt idx="0">
                  <c:v>0.16386255600000002</c:v>
                </c:pt>
                <c:pt idx="1">
                  <c:v>0.18394302151128061</c:v>
                </c:pt>
                <c:pt idx="2">
                  <c:v>0.2029181412450701</c:v>
                </c:pt>
                <c:pt idx="3">
                  <c:v>0.21829426605456498</c:v>
                </c:pt>
                <c:pt idx="4">
                  <c:v>0.2302541324267644</c:v>
                </c:pt>
                <c:pt idx="5">
                  <c:v>0.23768667045765879</c:v>
                </c:pt>
                <c:pt idx="6">
                  <c:v>0.23960879768138676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D09-4925-AEC8-5D7260CB2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098088"/>
        <c:axId val="359094808"/>
      </c:scatterChart>
      <c:valAx>
        <c:axId val="359098088"/>
        <c:scaling>
          <c:orientation val="minMax"/>
          <c:max val="2050"/>
          <c:min val="20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4808"/>
        <c:crosses val="autoZero"/>
        <c:crossBetween val="midCat"/>
      </c:valAx>
      <c:valAx>
        <c:axId val="359094808"/>
        <c:scaling>
          <c:orientation val="minMax"/>
          <c:min val="0.1600000000000000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Emissions (Mt CO2eq)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8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Dairy emissions (Enteric CH4</a:t>
            </a:r>
            <a:r>
              <a:rPr lang="en-US" baseline="0"/>
              <a:t> </a:t>
            </a:r>
            <a:r>
              <a:rPr lang="en-US"/>
              <a:t>mitigation)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'Cattle (Dairy)'!$A$64:$A$70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'Cattle (Dairy)'!$D$64:$D$70</c:f>
              <c:numCache>
                <c:formatCode>_(* #,##0.00_);_(* \(#,##0.00\);_(* "-"??_);_(@_)</c:formatCode>
                <c:ptCount val="7"/>
                <c:pt idx="0">
                  <c:v>0.16386255600000002</c:v>
                </c:pt>
                <c:pt idx="1">
                  <c:v>0.18144666780182017</c:v>
                </c:pt>
                <c:pt idx="2">
                  <c:v>0.1973491478756304</c:v>
                </c:pt>
                <c:pt idx="3">
                  <c:v>0.20920672992186792</c:v>
                </c:pt>
                <c:pt idx="4">
                  <c:v>0.21732820663171667</c:v>
                </c:pt>
                <c:pt idx="5">
                  <c:v>0.22081582233302346</c:v>
                </c:pt>
                <c:pt idx="6">
                  <c:v>0.21896253586284922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46D-4058-8F30-A79DBF5DE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098088"/>
        <c:axId val="359094808"/>
      </c:scatterChart>
      <c:valAx>
        <c:axId val="359098088"/>
        <c:scaling>
          <c:orientation val="minMax"/>
          <c:max val="2050"/>
          <c:min val="20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4808"/>
        <c:crosses val="autoZero"/>
        <c:crossBetween val="midCat"/>
      </c:valAx>
      <c:valAx>
        <c:axId val="359094808"/>
        <c:scaling>
          <c:orientation val="minMax"/>
          <c:min val="0.1600000000000000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Emissions (Mt CO2eq)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8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Dairy emissions (Combined</a:t>
            </a:r>
            <a:r>
              <a:rPr lang="en-US" baseline="0"/>
              <a:t> interventions</a:t>
            </a:r>
            <a:r>
              <a:rPr lang="en-US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'Cattle (Dairy)'!$A$74:$A$80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'Cattle (Dairy)'!$C$74:$C$80</c:f>
              <c:numCache>
                <c:formatCode>_(* #,##0.00_);_(* \(#,##0.00\);_(* "-"??_);_(@_)</c:formatCode>
                <c:ptCount val="7"/>
                <c:pt idx="0">
                  <c:v>0.16386255600000002</c:v>
                </c:pt>
                <c:pt idx="1">
                  <c:v>0.17613230159733784</c:v>
                </c:pt>
                <c:pt idx="2">
                  <c:v>0.18577904407865006</c:v>
                </c:pt>
                <c:pt idx="3">
                  <c:v>0.19079489071609243</c:v>
                </c:pt>
                <c:pt idx="4">
                  <c:v>0.19180255548364758</c:v>
                </c:pt>
                <c:pt idx="5">
                  <c:v>0.18836060618440431</c:v>
                </c:pt>
                <c:pt idx="6">
                  <c:v>0.18029060505769162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D5-467C-BBB6-8BBF8A93FA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098088"/>
        <c:axId val="359094808"/>
      </c:scatterChart>
      <c:valAx>
        <c:axId val="359098088"/>
        <c:scaling>
          <c:orientation val="minMax"/>
          <c:max val="2050"/>
          <c:min val="20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4808"/>
        <c:crosses val="autoZero"/>
        <c:crossBetween val="midCat"/>
      </c:valAx>
      <c:valAx>
        <c:axId val="359094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Emissions (Mt CO2eq)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8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Poultry emissions (Baseline)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Poutry!$B$21:$B$27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Poutry!$J$21:$J$27</c:f>
              <c:numCache>
                <c:formatCode>_(* #,##0.0000_);_(* \(#,##0.0000\);_(* "-"??_);_(@_)</c:formatCode>
                <c:ptCount val="7"/>
                <c:pt idx="0">
                  <c:v>2.7534378457444407E-3</c:v>
                </c:pt>
                <c:pt idx="1">
                  <c:v>3.3260692604196117E-3</c:v>
                </c:pt>
                <c:pt idx="2">
                  <c:v>3.8854023874337041E-3</c:v>
                </c:pt>
                <c:pt idx="3">
                  <c:v>4.4266927258892249E-3</c:v>
                </c:pt>
                <c:pt idx="4">
                  <c:v>4.9142408180029374E-3</c:v>
                </c:pt>
                <c:pt idx="5">
                  <c:v>5.2942308661024758E-3</c:v>
                </c:pt>
                <c:pt idx="6">
                  <c:v>5.5056676282970408E-3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FF9-4E5B-977F-359985BCAD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098088"/>
        <c:axId val="359094808"/>
      </c:scatterChart>
      <c:valAx>
        <c:axId val="359098088"/>
        <c:scaling>
          <c:orientation val="minMax"/>
          <c:max val="2050"/>
          <c:min val="20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4808"/>
        <c:crosses val="autoZero"/>
        <c:crossBetween val="midCat"/>
      </c:valAx>
      <c:valAx>
        <c:axId val="359094808"/>
        <c:scaling>
          <c:orientation val="minMax"/>
          <c:min val="2.5000000000000005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Emissions</a:t>
                </a:r>
                <a:r>
                  <a:rPr lang="en-US" baseline="0"/>
                  <a:t> (Mt CO2-eq)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00_);_(* \(#,##0.00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8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Poultry emissions (reduced losses)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Poutry!$A$44:$A$50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Poutry!$I$44:$I$50</c:f>
              <c:numCache>
                <c:formatCode>_(* #,##0.0000_);_(* \(#,##0.0000\);_(* "-"??_);_(@_)</c:formatCode>
                <c:ptCount val="7"/>
                <c:pt idx="0">
                  <c:v>2.7534378457444407E-3</c:v>
                </c:pt>
                <c:pt idx="1">
                  <c:v>3.3013320442460982E-3</c:v>
                </c:pt>
                <c:pt idx="2">
                  <c:v>3.8278162689951781E-3</c:v>
                </c:pt>
                <c:pt idx="3">
                  <c:v>4.3285636319664042E-3</c:v>
                </c:pt>
                <c:pt idx="4">
                  <c:v>4.7693393626735059E-3</c:v>
                </c:pt>
                <c:pt idx="5">
                  <c:v>5.0995321172953674E-3</c:v>
                </c:pt>
                <c:pt idx="6">
                  <c:v>5.2631761378523967E-3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21C-4404-9E64-B6D6425A4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098088"/>
        <c:axId val="359094808"/>
      </c:scatterChart>
      <c:valAx>
        <c:axId val="359098088"/>
        <c:scaling>
          <c:orientation val="minMax"/>
          <c:max val="2050"/>
          <c:min val="20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4808"/>
        <c:crosses val="autoZero"/>
        <c:crossBetween val="midCat"/>
      </c:valAx>
      <c:valAx>
        <c:axId val="359094808"/>
        <c:scaling>
          <c:orientation val="minMax"/>
          <c:min val="2.5000000000000005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Emissions</a:t>
                </a:r>
                <a:r>
                  <a:rPr lang="en-US" baseline="0"/>
                  <a:t> (Mt CO2-eq)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00_);_(* \(#,##0.00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8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Poultry emissions (On-farm and Post-farm energy mitigation)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Poutry!$A$55:$A$61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Poutry!$E$55:$E$61</c:f>
              <c:numCache>
                <c:formatCode>_(* #,##0.0000_);_(* \(#,##0.0000\);_(* "-"??_);_(@_)</c:formatCode>
                <c:ptCount val="7"/>
                <c:pt idx="0">
                  <c:v>2.7534378457444403E-3</c:v>
                </c:pt>
                <c:pt idx="1">
                  <c:v>3.2959422629412856E-3</c:v>
                </c:pt>
                <c:pt idx="2">
                  <c:v>3.8150156944556208E-3</c:v>
                </c:pt>
                <c:pt idx="3">
                  <c:v>4.3064039253727588E-3</c:v>
                </c:pt>
                <c:pt idx="4">
                  <c:v>4.7361912235538029E-3</c:v>
                </c:pt>
                <c:pt idx="5">
                  <c:v>5.0544594310172322E-3</c:v>
                </c:pt>
                <c:pt idx="6">
                  <c:v>5.2064509462007458E-3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99-4AB1-B64F-174665FAF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098088"/>
        <c:axId val="359094808"/>
      </c:scatterChart>
      <c:valAx>
        <c:axId val="359098088"/>
        <c:scaling>
          <c:orientation val="minMax"/>
          <c:max val="2050"/>
          <c:min val="20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4808"/>
        <c:crosses val="autoZero"/>
        <c:crossBetween val="midCat"/>
      </c:valAx>
      <c:valAx>
        <c:axId val="359094808"/>
        <c:scaling>
          <c:orientation val="minMax"/>
          <c:min val="2.5000000000000005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Emissions</a:t>
                </a:r>
                <a:r>
                  <a:rPr lang="en-US" baseline="0"/>
                  <a:t> (Mt CO2-eq)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00_);_(* \(#,##0.00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8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343111</xdr:colOff>
      <xdr:row>1</xdr:row>
      <xdr:rowOff>177128</xdr:rowOff>
    </xdr:from>
    <xdr:to>
      <xdr:col>7</xdr:col>
      <xdr:colOff>1553587</xdr:colOff>
      <xdr:row>17</xdr:row>
      <xdr:rowOff>1868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718352</xdr:colOff>
      <xdr:row>80</xdr:row>
      <xdr:rowOff>126053</xdr:rowOff>
    </xdr:from>
    <xdr:to>
      <xdr:col>1</xdr:col>
      <xdr:colOff>2027971</xdr:colOff>
      <xdr:row>95</xdr:row>
      <xdr:rowOff>141293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12474</xdr:colOff>
      <xdr:row>80</xdr:row>
      <xdr:rowOff>180861</xdr:rowOff>
    </xdr:from>
    <xdr:to>
      <xdr:col>4</xdr:col>
      <xdr:colOff>424590</xdr:colOff>
      <xdr:row>96</xdr:row>
      <xdr:rowOff>5600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693965</xdr:colOff>
      <xdr:row>96</xdr:row>
      <xdr:rowOff>183697</xdr:rowOff>
    </xdr:from>
    <xdr:to>
      <xdr:col>1</xdr:col>
      <xdr:colOff>1983738</xdr:colOff>
      <xdr:row>112</xdr:row>
      <xdr:rowOff>8436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95252</xdr:colOff>
      <xdr:row>97</xdr:row>
      <xdr:rowOff>140608</xdr:rowOff>
    </xdr:from>
    <xdr:to>
      <xdr:col>4</xdr:col>
      <xdr:colOff>496027</xdr:colOff>
      <xdr:row>112</xdr:row>
      <xdr:rowOff>155847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925287</xdr:colOff>
      <xdr:row>89</xdr:row>
      <xdr:rowOff>66336</xdr:rowOff>
    </xdr:from>
    <xdr:to>
      <xdr:col>7</xdr:col>
      <xdr:colOff>277178</xdr:colOff>
      <xdr:row>104</xdr:row>
      <xdr:rowOff>81575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2323925</xdr:colOff>
      <xdr:row>1</xdr:row>
      <xdr:rowOff>110034</xdr:rowOff>
    </xdr:from>
    <xdr:to>
      <xdr:col>7</xdr:col>
      <xdr:colOff>862583</xdr:colOff>
      <xdr:row>17</xdr:row>
      <xdr:rowOff>94794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745335</xdr:colOff>
      <xdr:row>94</xdr:row>
      <xdr:rowOff>102392</xdr:rowOff>
    </xdr:from>
    <xdr:to>
      <xdr:col>4</xdr:col>
      <xdr:colOff>813440</xdr:colOff>
      <xdr:row>110</xdr:row>
      <xdr:rowOff>77627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1138920</xdr:colOff>
      <xdr:row>94</xdr:row>
      <xdr:rowOff>62139</xdr:rowOff>
    </xdr:from>
    <xdr:to>
      <xdr:col>6</xdr:col>
      <xdr:colOff>1660074</xdr:colOff>
      <xdr:row>110</xdr:row>
      <xdr:rowOff>37374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1104907</xdr:colOff>
      <xdr:row>111</xdr:row>
      <xdr:rowOff>27212</xdr:rowOff>
    </xdr:from>
    <xdr:to>
      <xdr:col>2</xdr:col>
      <xdr:colOff>421896</xdr:colOff>
      <xdr:row>127</xdr:row>
      <xdr:rowOff>2447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1409705</xdr:colOff>
      <xdr:row>111</xdr:row>
      <xdr:rowOff>46264</xdr:rowOff>
    </xdr:from>
    <xdr:to>
      <xdr:col>7</xdr:col>
      <xdr:colOff>65389</xdr:colOff>
      <xdr:row>127</xdr:row>
      <xdr:rowOff>21500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782415</xdr:colOff>
      <xdr:row>111</xdr:row>
      <xdr:rowOff>87629</xdr:rowOff>
    </xdr:from>
    <xdr:to>
      <xdr:col>4</xdr:col>
      <xdr:colOff>982440</xdr:colOff>
      <xdr:row>127</xdr:row>
      <xdr:rowOff>70484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1208314</xdr:colOff>
      <xdr:row>94</xdr:row>
      <xdr:rowOff>119744</xdr:rowOff>
    </xdr:from>
    <xdr:to>
      <xdr:col>2</xdr:col>
      <xdr:colOff>541629</xdr:colOff>
      <xdr:row>110</xdr:row>
      <xdr:rowOff>104503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F0AE91A-7FD5-422E-8505-5F65EEF246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link.springer.com/article/10.1007/s10113-016-0986-3" TargetMode="External"/><Relationship Id="rId2" Type="http://schemas.openxmlformats.org/officeDocument/2006/relationships/hyperlink" Target="https://www.fao.org/3/i7669e/i7669e.pdf" TargetMode="External"/><Relationship Id="rId1" Type="http://schemas.openxmlformats.org/officeDocument/2006/relationships/hyperlink" Target="https://www.fao.org/global-perspectives-studies/food-agriculture-projections-to-2050/en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fao.org/global-perspectives-studies/food-agriculture-projections-to-2050/en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0"/>
  <sheetViews>
    <sheetView topLeftCell="A44" zoomScale="109" zoomScaleNormal="60" workbookViewId="0">
      <selection activeCell="E13" sqref="E13"/>
    </sheetView>
  </sheetViews>
  <sheetFormatPr baseColWidth="10" defaultColWidth="8.83203125" defaultRowHeight="15" x14ac:dyDescent="0.2"/>
  <cols>
    <col min="1" max="1" width="53" bestFit="1" customWidth="1"/>
    <col min="2" max="2" width="34.5" bestFit="1" customWidth="1"/>
    <col min="3" max="3" width="26.6640625" bestFit="1" customWidth="1"/>
    <col min="4" max="4" width="39.6640625" bestFit="1" customWidth="1"/>
    <col min="5" max="6" width="27.6640625" bestFit="1" customWidth="1"/>
    <col min="7" max="7" width="26.6640625" bestFit="1" customWidth="1"/>
    <col min="8" max="9" width="29.6640625" bestFit="1" customWidth="1"/>
    <col min="11" max="11" width="39.33203125" bestFit="1" customWidth="1"/>
    <col min="12" max="12" width="20.5" bestFit="1" customWidth="1"/>
    <col min="13" max="13" width="21.33203125" bestFit="1" customWidth="1"/>
    <col min="14" max="14" width="8.33203125" bestFit="1" customWidth="1"/>
    <col min="15" max="15" width="13.5" bestFit="1" customWidth="1"/>
    <col min="16" max="16" width="10.6640625" bestFit="1" customWidth="1"/>
    <col min="17" max="17" width="15.5" bestFit="1" customWidth="1"/>
    <col min="18" max="18" width="21.1640625" bestFit="1" customWidth="1"/>
    <col min="19" max="19" width="9.83203125" bestFit="1" customWidth="1"/>
    <col min="20" max="20" width="6.5" bestFit="1" customWidth="1"/>
    <col min="21" max="22" width="11.5" bestFit="1" customWidth="1"/>
    <col min="23" max="23" width="4.5" bestFit="1" customWidth="1"/>
    <col min="24" max="24" width="15.33203125" bestFit="1" customWidth="1"/>
  </cols>
  <sheetData>
    <row r="1" spans="1:20" x14ac:dyDescent="0.2">
      <c r="A1" s="5" t="s">
        <v>26</v>
      </c>
      <c r="B1" s="5" t="s">
        <v>13</v>
      </c>
      <c r="C1" s="5" t="s">
        <v>118</v>
      </c>
      <c r="D1" s="5" t="s">
        <v>119</v>
      </c>
      <c r="F1" s="34" t="s">
        <v>59</v>
      </c>
      <c r="G1" s="35">
        <v>0.01</v>
      </c>
      <c r="K1" s="10" t="s">
        <v>120</v>
      </c>
      <c r="L1" s="37" t="s">
        <v>121</v>
      </c>
    </row>
    <row r="2" spans="1:20" x14ac:dyDescent="0.2">
      <c r="A2" s="5" t="s">
        <v>43</v>
      </c>
      <c r="B2" s="5">
        <v>2020</v>
      </c>
      <c r="C2" s="6">
        <f>$V$24*T5</f>
        <v>244</v>
      </c>
      <c r="D2" s="8">
        <v>0</v>
      </c>
      <c r="K2" t="s">
        <v>6</v>
      </c>
      <c r="L2" t="s">
        <v>7</v>
      </c>
      <c r="M2" t="s">
        <v>8</v>
      </c>
      <c r="N2" t="s">
        <v>9</v>
      </c>
      <c r="O2" t="s">
        <v>10</v>
      </c>
      <c r="P2" t="s">
        <v>11</v>
      </c>
      <c r="Q2" t="s">
        <v>12</v>
      </c>
      <c r="R2" t="s">
        <v>13</v>
      </c>
      <c r="S2" t="s">
        <v>14</v>
      </c>
    </row>
    <row r="3" spans="1:20" x14ac:dyDescent="0.2">
      <c r="A3" t="s">
        <v>43</v>
      </c>
      <c r="B3">
        <v>2025</v>
      </c>
      <c r="C3" s="4">
        <f t="shared" ref="C3:C8" si="0">$V$24*T6</f>
        <v>287.47793717406194</v>
      </c>
      <c r="D3" s="1">
        <v>0</v>
      </c>
      <c r="K3" t="s">
        <v>0</v>
      </c>
      <c r="L3" t="s">
        <v>1</v>
      </c>
      <c r="M3" t="s">
        <v>2</v>
      </c>
      <c r="N3" t="s">
        <v>3</v>
      </c>
      <c r="O3" t="s">
        <v>18</v>
      </c>
      <c r="P3" t="s">
        <v>16</v>
      </c>
      <c r="Q3" t="s">
        <v>5</v>
      </c>
      <c r="R3">
        <v>2012</v>
      </c>
      <c r="S3">
        <v>431.2</v>
      </c>
    </row>
    <row r="4" spans="1:20" x14ac:dyDescent="0.2">
      <c r="A4" t="s">
        <v>43</v>
      </c>
      <c r="B4">
        <v>2030</v>
      </c>
      <c r="C4" s="4">
        <f t="shared" si="0"/>
        <v>330.59170163825047</v>
      </c>
      <c r="D4" s="1">
        <v>0</v>
      </c>
      <c r="K4" t="s">
        <v>0</v>
      </c>
      <c r="L4" t="s">
        <v>1</v>
      </c>
      <c r="M4" t="s">
        <v>2</v>
      </c>
      <c r="N4" t="s">
        <v>3</v>
      </c>
      <c r="O4" t="s">
        <v>18</v>
      </c>
      <c r="P4" t="s">
        <v>16</v>
      </c>
      <c r="Q4" t="s">
        <v>5</v>
      </c>
      <c r="R4">
        <v>2015</v>
      </c>
      <c r="S4">
        <v>481.66</v>
      </c>
      <c r="T4" s="1"/>
    </row>
    <row r="5" spans="1:20" x14ac:dyDescent="0.2">
      <c r="A5" t="s">
        <v>43</v>
      </c>
      <c r="B5">
        <v>2035</v>
      </c>
      <c r="C5" s="4">
        <f t="shared" si="0"/>
        <v>372.23592210847926</v>
      </c>
      <c r="D5" s="1">
        <v>0</v>
      </c>
      <c r="K5" t="s">
        <v>0</v>
      </c>
      <c r="L5" t="s">
        <v>1</v>
      </c>
      <c r="M5" t="s">
        <v>2</v>
      </c>
      <c r="N5" t="s">
        <v>3</v>
      </c>
      <c r="O5" t="s">
        <v>18</v>
      </c>
      <c r="P5" t="s">
        <v>16</v>
      </c>
      <c r="Q5" t="s">
        <v>5</v>
      </c>
      <c r="R5">
        <v>2020</v>
      </c>
      <c r="S5">
        <v>569.51</v>
      </c>
      <c r="T5" s="1">
        <f t="shared" ref="T5:T11" si="1">S5/$S$5</f>
        <v>1</v>
      </c>
    </row>
    <row r="6" spans="1:20" x14ac:dyDescent="0.2">
      <c r="A6" t="s">
        <v>43</v>
      </c>
      <c r="B6">
        <v>2040</v>
      </c>
      <c r="C6" s="4">
        <f t="shared" si="0"/>
        <v>410.87678881845801</v>
      </c>
      <c r="D6" s="1">
        <v>0</v>
      </c>
      <c r="K6" t="s">
        <v>0</v>
      </c>
      <c r="L6" t="s">
        <v>1</v>
      </c>
      <c r="M6" t="s">
        <v>2</v>
      </c>
      <c r="N6" t="s">
        <v>3</v>
      </c>
      <c r="O6" t="s">
        <v>18</v>
      </c>
      <c r="P6" t="s">
        <v>16</v>
      </c>
      <c r="Q6" t="s">
        <v>5</v>
      </c>
      <c r="R6">
        <v>2025</v>
      </c>
      <c r="S6">
        <v>670.99</v>
      </c>
      <c r="T6" s="1">
        <f t="shared" si="1"/>
        <v>1.1781882671068111</v>
      </c>
    </row>
    <row r="7" spans="1:20" x14ac:dyDescent="0.2">
      <c r="A7" t="s">
        <v>43</v>
      </c>
      <c r="B7">
        <v>2045</v>
      </c>
      <c r="C7" s="4">
        <f t="shared" si="0"/>
        <v>443.68232340081823</v>
      </c>
      <c r="D7" s="1">
        <v>0</v>
      </c>
      <c r="K7" t="s">
        <v>0</v>
      </c>
      <c r="L7" t="s">
        <v>1</v>
      </c>
      <c r="M7" t="s">
        <v>2</v>
      </c>
      <c r="N7" t="s">
        <v>3</v>
      </c>
      <c r="O7" t="s">
        <v>18</v>
      </c>
      <c r="P7" t="s">
        <v>16</v>
      </c>
      <c r="Q7" t="s">
        <v>5</v>
      </c>
      <c r="R7">
        <v>2030</v>
      </c>
      <c r="S7">
        <v>771.62</v>
      </c>
      <c r="T7" s="1">
        <f t="shared" si="1"/>
        <v>1.3548840231075838</v>
      </c>
    </row>
    <row r="8" spans="1:20" x14ac:dyDescent="0.2">
      <c r="A8" t="s">
        <v>43</v>
      </c>
      <c r="B8">
        <v>2050</v>
      </c>
      <c r="C8" s="4">
        <f t="shared" si="0"/>
        <v>467.31070569436883</v>
      </c>
      <c r="D8" s="1">
        <v>0</v>
      </c>
      <c r="K8" t="s">
        <v>0</v>
      </c>
      <c r="L8" t="s">
        <v>1</v>
      </c>
      <c r="M8" t="s">
        <v>2</v>
      </c>
      <c r="N8" t="s">
        <v>3</v>
      </c>
      <c r="O8" t="s">
        <v>18</v>
      </c>
      <c r="P8" t="s">
        <v>16</v>
      </c>
      <c r="Q8" t="s">
        <v>5</v>
      </c>
      <c r="R8">
        <v>2035</v>
      </c>
      <c r="S8">
        <v>868.82</v>
      </c>
      <c r="T8" s="1">
        <f t="shared" si="1"/>
        <v>1.5255570578216362</v>
      </c>
    </row>
    <row r="9" spans="1:20" x14ac:dyDescent="0.2">
      <c r="A9" s="5" t="s">
        <v>48</v>
      </c>
      <c r="B9" s="5">
        <v>2020</v>
      </c>
      <c r="C9" s="6">
        <f t="shared" ref="C9:C15" si="2">$V$27/1000*T14</f>
        <v>4048.1165899999996</v>
      </c>
      <c r="D9" s="6">
        <f t="shared" ref="D9:D15" si="3">$V$26/$V$25 * C9</f>
        <v>413.91184857868012</v>
      </c>
      <c r="K9" t="s">
        <v>0</v>
      </c>
      <c r="L9" t="s">
        <v>1</v>
      </c>
      <c r="M9" t="s">
        <v>2</v>
      </c>
      <c r="N9" t="s">
        <v>3</v>
      </c>
      <c r="O9" t="s">
        <v>18</v>
      </c>
      <c r="P9" t="s">
        <v>16</v>
      </c>
      <c r="Q9" t="s">
        <v>5</v>
      </c>
      <c r="R9">
        <v>2040</v>
      </c>
      <c r="S9">
        <v>959.01</v>
      </c>
      <c r="T9" s="1">
        <f t="shared" si="1"/>
        <v>1.683921265649418</v>
      </c>
    </row>
    <row r="10" spans="1:20" x14ac:dyDescent="0.2">
      <c r="A10" t="s">
        <v>48</v>
      </c>
      <c r="B10">
        <v>2025</v>
      </c>
      <c r="C10" s="4">
        <f t="shared" si="2"/>
        <v>4844.1940636884374</v>
      </c>
      <c r="D10" s="4">
        <f t="shared" si="3"/>
        <v>495.30918272666401</v>
      </c>
      <c r="K10" t="s">
        <v>0</v>
      </c>
      <c r="L10" t="s">
        <v>1</v>
      </c>
      <c r="M10" t="s">
        <v>2</v>
      </c>
      <c r="N10" t="s">
        <v>3</v>
      </c>
      <c r="O10" t="s">
        <v>18</v>
      </c>
      <c r="P10" t="s">
        <v>16</v>
      </c>
      <c r="Q10" t="s">
        <v>5</v>
      </c>
      <c r="R10">
        <v>2045</v>
      </c>
      <c r="S10" s="2">
        <v>1035.58</v>
      </c>
      <c r="T10" s="1">
        <f t="shared" si="1"/>
        <v>1.8183701778722059</v>
      </c>
    </row>
    <row r="11" spans="1:20" x14ac:dyDescent="0.2">
      <c r="A11" t="s">
        <v>48</v>
      </c>
      <c r="B11">
        <v>2030</v>
      </c>
      <c r="C11" s="4">
        <f t="shared" si="2"/>
        <v>5707.247632062802</v>
      </c>
      <c r="D11" s="4">
        <f t="shared" si="3"/>
        <v>583.55468899264326</v>
      </c>
      <c r="K11" t="s">
        <v>0</v>
      </c>
      <c r="L11" t="s">
        <v>1</v>
      </c>
      <c r="M11" t="s">
        <v>2</v>
      </c>
      <c r="N11" t="s">
        <v>3</v>
      </c>
      <c r="O11" t="s">
        <v>18</v>
      </c>
      <c r="P11" t="s">
        <v>16</v>
      </c>
      <c r="Q11" t="s">
        <v>5</v>
      </c>
      <c r="R11">
        <v>2050</v>
      </c>
      <c r="S11" s="2">
        <v>1090.73</v>
      </c>
      <c r="T11" s="1">
        <f t="shared" si="1"/>
        <v>1.9152078102228232</v>
      </c>
    </row>
    <row r="12" spans="1:20" x14ac:dyDescent="0.2">
      <c r="A12" t="s">
        <v>48</v>
      </c>
      <c r="B12">
        <v>2035</v>
      </c>
      <c r="C12" s="4">
        <f t="shared" si="2"/>
        <v>6550.7870120834505</v>
      </c>
      <c r="D12" s="4">
        <f t="shared" si="3"/>
        <v>669.80490841462404</v>
      </c>
      <c r="K12" t="s">
        <v>0</v>
      </c>
      <c r="L12" t="s">
        <v>1</v>
      </c>
      <c r="M12" t="s">
        <v>2</v>
      </c>
      <c r="N12" t="s">
        <v>3</v>
      </c>
      <c r="O12" t="s">
        <v>18</v>
      </c>
      <c r="P12" t="s">
        <v>17</v>
      </c>
      <c r="Q12" t="s">
        <v>5</v>
      </c>
      <c r="R12">
        <v>2012</v>
      </c>
      <c r="S12" s="2">
        <v>4030.93</v>
      </c>
    </row>
    <row r="13" spans="1:20" x14ac:dyDescent="0.2">
      <c r="A13" t="s">
        <v>48</v>
      </c>
      <c r="B13">
        <v>2040</v>
      </c>
      <c r="C13" s="4">
        <f t="shared" si="2"/>
        <v>7373.2537530947002</v>
      </c>
      <c r="D13" s="4">
        <f t="shared" si="3"/>
        <v>753.90049252092285</v>
      </c>
      <c r="K13" t="s">
        <v>0</v>
      </c>
      <c r="L13" t="s">
        <v>1</v>
      </c>
      <c r="M13" t="s">
        <v>2</v>
      </c>
      <c r="N13" t="s">
        <v>3</v>
      </c>
      <c r="O13" t="s">
        <v>18</v>
      </c>
      <c r="P13" t="s">
        <v>17</v>
      </c>
      <c r="Q13" t="s">
        <v>5</v>
      </c>
      <c r="R13">
        <v>2015</v>
      </c>
      <c r="S13" s="2">
        <v>4538.41</v>
      </c>
      <c r="T13" s="1"/>
    </row>
    <row r="14" spans="1:20" x14ac:dyDescent="0.2">
      <c r="A14" t="s">
        <v>48</v>
      </c>
      <c r="B14">
        <v>2045</v>
      </c>
      <c r="C14" s="4">
        <f t="shared" si="2"/>
        <v>8123.3308339844862</v>
      </c>
      <c r="D14" s="4">
        <f t="shared" si="3"/>
        <v>830.5943782391679</v>
      </c>
      <c r="K14" t="s">
        <v>0</v>
      </c>
      <c r="L14" t="s">
        <v>1</v>
      </c>
      <c r="M14" t="s">
        <v>2</v>
      </c>
      <c r="N14" t="s">
        <v>3</v>
      </c>
      <c r="O14" t="s">
        <v>18</v>
      </c>
      <c r="P14" t="s">
        <v>17</v>
      </c>
      <c r="Q14" t="s">
        <v>5</v>
      </c>
      <c r="R14">
        <v>2020</v>
      </c>
      <c r="S14" s="2">
        <v>5428.83</v>
      </c>
      <c r="T14" s="1">
        <f t="shared" ref="T14:T20" si="4">S14/$S$14</f>
        <v>1</v>
      </c>
    </row>
    <row r="15" spans="1:20" x14ac:dyDescent="0.2">
      <c r="A15" t="s">
        <v>48</v>
      </c>
      <c r="B15">
        <v>2050</v>
      </c>
      <c r="C15" s="4">
        <f t="shared" si="2"/>
        <v>8743.2139031601455</v>
      </c>
      <c r="D15" s="4">
        <f t="shared" si="3"/>
        <v>893.97618589237163</v>
      </c>
      <c r="K15" t="s">
        <v>0</v>
      </c>
      <c r="L15" t="s">
        <v>1</v>
      </c>
      <c r="M15" t="s">
        <v>2</v>
      </c>
      <c r="N15" t="s">
        <v>3</v>
      </c>
      <c r="O15" t="s">
        <v>18</v>
      </c>
      <c r="P15" t="s">
        <v>17</v>
      </c>
      <c r="Q15" t="s">
        <v>5</v>
      </c>
      <c r="R15">
        <v>2025</v>
      </c>
      <c r="S15" s="2">
        <v>6496.43</v>
      </c>
      <c r="T15" s="1">
        <f t="shared" si="4"/>
        <v>1.1966537909641672</v>
      </c>
    </row>
    <row r="16" spans="1:20" x14ac:dyDescent="0.2">
      <c r="K16" t="s">
        <v>0</v>
      </c>
      <c r="L16" t="s">
        <v>1</v>
      </c>
      <c r="M16" t="s">
        <v>2</v>
      </c>
      <c r="N16" t="s">
        <v>3</v>
      </c>
      <c r="O16" t="s">
        <v>18</v>
      </c>
      <c r="P16" t="s">
        <v>17</v>
      </c>
      <c r="Q16" t="s">
        <v>5</v>
      </c>
      <c r="R16">
        <v>2030</v>
      </c>
      <c r="S16" s="2">
        <v>7653.85</v>
      </c>
      <c r="T16" s="1">
        <f t="shared" si="4"/>
        <v>1.409852583337478</v>
      </c>
    </row>
    <row r="17" spans="1:24" x14ac:dyDescent="0.2">
      <c r="K17" t="s">
        <v>0</v>
      </c>
      <c r="L17" t="s">
        <v>1</v>
      </c>
      <c r="M17" t="s">
        <v>2</v>
      </c>
      <c r="N17" t="s">
        <v>3</v>
      </c>
      <c r="O17" t="s">
        <v>18</v>
      </c>
      <c r="P17" t="s">
        <v>17</v>
      </c>
      <c r="Q17" t="s">
        <v>5</v>
      </c>
      <c r="R17">
        <v>2035</v>
      </c>
      <c r="S17" s="2">
        <v>8785.1</v>
      </c>
      <c r="T17" s="1">
        <f t="shared" si="4"/>
        <v>1.6182308158479821</v>
      </c>
    </row>
    <row r="18" spans="1:24" x14ac:dyDescent="0.2">
      <c r="A18" s="10" t="s">
        <v>117</v>
      </c>
      <c r="K18" t="s">
        <v>0</v>
      </c>
      <c r="L18" t="s">
        <v>1</v>
      </c>
      <c r="M18" t="s">
        <v>2</v>
      </c>
      <c r="N18" t="s">
        <v>3</v>
      </c>
      <c r="O18" t="s">
        <v>18</v>
      </c>
      <c r="P18" t="s">
        <v>17</v>
      </c>
      <c r="Q18" t="s">
        <v>5</v>
      </c>
      <c r="R18">
        <v>2040</v>
      </c>
      <c r="S18" s="2">
        <v>9888.09</v>
      </c>
      <c r="T18" s="1">
        <f t="shared" si="4"/>
        <v>1.8214035068329641</v>
      </c>
    </row>
    <row r="19" spans="1:24" x14ac:dyDescent="0.2">
      <c r="A19" s="5" t="s">
        <v>26</v>
      </c>
      <c r="B19" s="5" t="s">
        <v>13</v>
      </c>
      <c r="C19" s="5" t="s">
        <v>118</v>
      </c>
      <c r="D19" s="5" t="s">
        <v>119</v>
      </c>
      <c r="E19" s="5" t="s">
        <v>56</v>
      </c>
      <c r="F19" s="5" t="s">
        <v>57</v>
      </c>
      <c r="G19" s="10" t="s">
        <v>63</v>
      </c>
      <c r="H19" s="10" t="s">
        <v>91</v>
      </c>
      <c r="K19" t="s">
        <v>0</v>
      </c>
      <c r="L19" t="s">
        <v>1</v>
      </c>
      <c r="M19" t="s">
        <v>2</v>
      </c>
      <c r="N19" t="s">
        <v>3</v>
      </c>
      <c r="O19" t="s">
        <v>18</v>
      </c>
      <c r="P19" t="s">
        <v>17</v>
      </c>
      <c r="Q19" t="s">
        <v>5</v>
      </c>
      <c r="R19">
        <v>2045</v>
      </c>
      <c r="S19" s="2">
        <v>10894</v>
      </c>
      <c r="T19" s="1">
        <f t="shared" si="4"/>
        <v>2.0066938916856856</v>
      </c>
    </row>
    <row r="20" spans="1:24" x14ac:dyDescent="0.2">
      <c r="A20" s="5" t="s">
        <v>55</v>
      </c>
      <c r="B20" s="5">
        <v>2020</v>
      </c>
      <c r="C20" s="6">
        <f>(C2*$L$31*$L$32 + C9*$L$33)*$L$38*$L$55</f>
        <v>0.99606323880570047</v>
      </c>
      <c r="D20" s="6">
        <f>(D2*$L$31*$L$32 + D9*$L$33)*$L$38*$L$55</f>
        <v>8.0488889369395036E-2</v>
      </c>
      <c r="E20" s="23">
        <f>L36*(1+$G$1)^5</f>
        <v>1.1609128657409096E-2</v>
      </c>
      <c r="F20" s="18">
        <f>C20*1000/E20</f>
        <v>85800.000000000015</v>
      </c>
      <c r="G20" s="30">
        <f t="shared" ref="G20:G26" si="5">F20*$L$37/10^9</f>
        <v>0.16386255600000002</v>
      </c>
      <c r="H20" s="29">
        <f t="shared" ref="H20:H26" si="6">G20/(C20/1000)</f>
        <v>164.51019334522823</v>
      </c>
      <c r="K20" t="s">
        <v>0</v>
      </c>
      <c r="L20" t="s">
        <v>1</v>
      </c>
      <c r="M20" t="s">
        <v>2</v>
      </c>
      <c r="N20" t="s">
        <v>3</v>
      </c>
      <c r="O20" t="s">
        <v>18</v>
      </c>
      <c r="P20" t="s">
        <v>17</v>
      </c>
      <c r="Q20" t="s">
        <v>5</v>
      </c>
      <c r="R20">
        <v>2050</v>
      </c>
      <c r="S20" s="2">
        <v>11725.31</v>
      </c>
      <c r="T20" s="1">
        <f t="shared" si="4"/>
        <v>2.1598226505526972</v>
      </c>
    </row>
    <row r="21" spans="1:24" x14ac:dyDescent="0.2">
      <c r="A21" t="s">
        <v>55</v>
      </c>
      <c r="B21">
        <v>2025</v>
      </c>
      <c r="C21" s="4">
        <f t="shared" ref="C21:D26" si="7">(C3*$L$31*$L$32 + C10*$L$33)*$L$38*$L$55</f>
        <v>1.188085947853164</v>
      </c>
      <c r="D21" s="4">
        <f t="shared" si="7"/>
        <v>9.6317334594382076E-2</v>
      </c>
      <c r="E21" s="24">
        <f t="shared" ref="E21:E26" si="8">E20*(1+$G$1)^5</f>
        <v>1.2201310891840879E-2</v>
      </c>
      <c r="F21" s="9">
        <f t="shared" ref="F21:F26" si="9">C21*1000/E21</f>
        <v>97373.631274951549</v>
      </c>
      <c r="G21" s="38">
        <f t="shared" si="5"/>
        <v>0.18596610848152795</v>
      </c>
      <c r="H21" s="29">
        <f t="shared" si="6"/>
        <v>156.52580422953673</v>
      </c>
    </row>
    <row r="22" spans="1:24" x14ac:dyDescent="0.2">
      <c r="A22" t="s">
        <v>55</v>
      </c>
      <c r="B22">
        <v>2030</v>
      </c>
      <c r="C22" s="4">
        <f t="shared" si="7"/>
        <v>1.3928210206226979</v>
      </c>
      <c r="D22" s="4">
        <f t="shared" si="7"/>
        <v>0.1134774686074061</v>
      </c>
      <c r="E22" s="24">
        <f t="shared" si="8"/>
        <v>1.2823700371719357E-2</v>
      </c>
      <c r="F22" s="9">
        <f t="shared" si="9"/>
        <v>108613.0352588668</v>
      </c>
      <c r="G22" s="38">
        <f t="shared" si="5"/>
        <v>0.20743134699808899</v>
      </c>
      <c r="H22" s="29">
        <f t="shared" si="6"/>
        <v>148.92893194945555</v>
      </c>
      <c r="K22" s="3" t="s">
        <v>39</v>
      </c>
    </row>
    <row r="23" spans="1:24" x14ac:dyDescent="0.2">
      <c r="A23" t="s">
        <v>55</v>
      </c>
      <c r="B23">
        <v>2035</v>
      </c>
      <c r="C23" s="4">
        <f t="shared" si="7"/>
        <v>1.5925034148840778</v>
      </c>
      <c r="D23" s="4">
        <f t="shared" si="7"/>
        <v>0.13024960111093414</v>
      </c>
      <c r="E23" s="24">
        <f t="shared" si="8"/>
        <v>1.3477837970148149E-2</v>
      </c>
      <c r="F23" s="9">
        <f t="shared" si="9"/>
        <v>118157.18651695387</v>
      </c>
      <c r="G23" s="38">
        <f t="shared" si="5"/>
        <v>0.2256589579538088</v>
      </c>
      <c r="H23" s="29">
        <f t="shared" si="6"/>
        <v>141.70076864182741</v>
      </c>
      <c r="K23" t="s">
        <v>19</v>
      </c>
      <c r="L23" t="s">
        <v>20</v>
      </c>
      <c r="M23" t="s">
        <v>21</v>
      </c>
      <c r="N23" t="s">
        <v>22</v>
      </c>
      <c r="O23" t="s">
        <v>23</v>
      </c>
      <c r="P23" t="s">
        <v>24</v>
      </c>
      <c r="Q23" t="s">
        <v>25</v>
      </c>
      <c r="R23" t="s">
        <v>26</v>
      </c>
      <c r="S23" t="s">
        <v>27</v>
      </c>
      <c r="T23" t="s">
        <v>13</v>
      </c>
      <c r="U23" t="s">
        <v>28</v>
      </c>
      <c r="V23" t="s">
        <v>29</v>
      </c>
      <c r="W23" t="s">
        <v>30</v>
      </c>
      <c r="X23" t="s">
        <v>31</v>
      </c>
    </row>
    <row r="24" spans="1:24" x14ac:dyDescent="0.2">
      <c r="A24" t="s">
        <v>55</v>
      </c>
      <c r="B24">
        <v>2040</v>
      </c>
      <c r="C24" s="4">
        <f t="shared" si="7"/>
        <v>1.7855170939431639</v>
      </c>
      <c r="D24" s="4">
        <f t="shared" si="7"/>
        <v>0.14660274535850665</v>
      </c>
      <c r="E24" s="24">
        <f t="shared" si="8"/>
        <v>1.4165343160245087E-2</v>
      </c>
      <c r="F24" s="9">
        <f t="shared" si="9"/>
        <v>126048.27668094919</v>
      </c>
      <c r="G24" s="38">
        <f t="shared" si="5"/>
        <v>0.24072951977081036</v>
      </c>
      <c r="H24" s="29">
        <f t="shared" si="6"/>
        <v>134.82341927020119</v>
      </c>
      <c r="K24" t="s">
        <v>32</v>
      </c>
      <c r="L24" t="s">
        <v>33</v>
      </c>
      <c r="M24">
        <v>404</v>
      </c>
      <c r="N24" t="s">
        <v>0</v>
      </c>
      <c r="O24">
        <v>5511</v>
      </c>
      <c r="P24" t="s">
        <v>34</v>
      </c>
      <c r="Q24" t="s">
        <v>42</v>
      </c>
      <c r="R24" t="s">
        <v>43</v>
      </c>
      <c r="S24">
        <v>2020</v>
      </c>
      <c r="T24">
        <v>2020</v>
      </c>
      <c r="U24" t="s">
        <v>3</v>
      </c>
      <c r="V24">
        <v>244</v>
      </c>
      <c r="W24" t="s">
        <v>36</v>
      </c>
      <c r="X24" t="s">
        <v>37</v>
      </c>
    </row>
    <row r="25" spans="1:24" x14ac:dyDescent="0.2">
      <c r="A25" t="s">
        <v>55</v>
      </c>
      <c r="B25">
        <v>2045</v>
      </c>
      <c r="C25" s="4">
        <f t="shared" si="7"/>
        <v>1.9594587518082458</v>
      </c>
      <c r="D25" s="4">
        <f t="shared" si="7"/>
        <v>0.16151656264612996</v>
      </c>
      <c r="E25" s="24">
        <f t="shared" si="8"/>
        <v>1.4887918024532879E-2</v>
      </c>
      <c r="F25" s="9">
        <f t="shared" si="9"/>
        <v>131614.02075020663</v>
      </c>
      <c r="G25" s="38">
        <f t="shared" si="5"/>
        <v>0.25135908910915961</v>
      </c>
      <c r="H25" s="29">
        <f t="shared" si="6"/>
        <v>128.27985732141497</v>
      </c>
      <c r="K25" t="s">
        <v>32</v>
      </c>
      <c r="L25" t="s">
        <v>33</v>
      </c>
      <c r="M25">
        <v>404</v>
      </c>
      <c r="N25" t="s">
        <v>0</v>
      </c>
      <c r="O25">
        <v>5511</v>
      </c>
      <c r="P25" t="s">
        <v>34</v>
      </c>
      <c r="Q25" t="s">
        <v>44</v>
      </c>
      <c r="R25" t="s">
        <v>45</v>
      </c>
      <c r="S25">
        <v>2020</v>
      </c>
      <c r="T25">
        <v>2020</v>
      </c>
      <c r="U25" t="s">
        <v>3</v>
      </c>
      <c r="V25">
        <v>5516</v>
      </c>
      <c r="W25" t="s">
        <v>36</v>
      </c>
      <c r="X25" t="s">
        <v>37</v>
      </c>
    </row>
    <row r="26" spans="1:24" x14ac:dyDescent="0.2">
      <c r="A26" t="s">
        <v>55</v>
      </c>
      <c r="B26">
        <v>2050</v>
      </c>
      <c r="C26" s="4">
        <f t="shared" si="7"/>
        <v>2.1002271244843409</v>
      </c>
      <c r="D26" s="4">
        <f t="shared" si="7"/>
        <v>0.17384172637784967</v>
      </c>
      <c r="E26" s="24">
        <f t="shared" si="8"/>
        <v>1.5647351468848995E-2</v>
      </c>
      <c r="F26" s="9">
        <f t="shared" si="9"/>
        <v>134222.53144025733</v>
      </c>
      <c r="G26" s="38">
        <f t="shared" si="5"/>
        <v>0.25634087499523228</v>
      </c>
      <c r="H26" s="29">
        <f t="shared" si="6"/>
        <v>122.05388265241574</v>
      </c>
      <c r="K26" t="s">
        <v>32</v>
      </c>
      <c r="L26" t="s">
        <v>33</v>
      </c>
      <c r="M26">
        <v>404</v>
      </c>
      <c r="N26" t="s">
        <v>0</v>
      </c>
      <c r="O26">
        <v>5123</v>
      </c>
      <c r="P26" t="s">
        <v>38</v>
      </c>
      <c r="Q26" t="s">
        <v>44</v>
      </c>
      <c r="R26" t="s">
        <v>45</v>
      </c>
      <c r="S26">
        <v>2020</v>
      </c>
      <c r="T26">
        <v>2020</v>
      </c>
      <c r="U26" t="s">
        <v>3</v>
      </c>
      <c r="V26">
        <v>564</v>
      </c>
      <c r="W26" t="s">
        <v>36</v>
      </c>
      <c r="X26" t="s">
        <v>37</v>
      </c>
    </row>
    <row r="27" spans="1:24" x14ac:dyDescent="0.2">
      <c r="K27" t="s">
        <v>46</v>
      </c>
      <c r="L27" t="s">
        <v>47</v>
      </c>
      <c r="M27">
        <v>404</v>
      </c>
      <c r="N27" t="s">
        <v>0</v>
      </c>
      <c r="O27">
        <v>5510</v>
      </c>
      <c r="P27" t="s">
        <v>34</v>
      </c>
      <c r="Q27">
        <v>2211</v>
      </c>
      <c r="R27" t="s">
        <v>48</v>
      </c>
      <c r="S27">
        <v>2020</v>
      </c>
      <c r="T27">
        <v>2020</v>
      </c>
      <c r="U27" t="s">
        <v>49</v>
      </c>
      <c r="V27" s="7">
        <v>4048116.59</v>
      </c>
      <c r="W27" t="s">
        <v>50</v>
      </c>
      <c r="X27" t="s">
        <v>51</v>
      </c>
    </row>
    <row r="28" spans="1:24" x14ac:dyDescent="0.2">
      <c r="A28" s="10" t="s">
        <v>93</v>
      </c>
    </row>
    <row r="29" spans="1:24" x14ac:dyDescent="0.2">
      <c r="A29" s="34" t="s">
        <v>88</v>
      </c>
      <c r="B29" s="35">
        <v>0.5</v>
      </c>
    </row>
    <row r="30" spans="1:24" x14ac:dyDescent="0.2">
      <c r="A30" s="5" t="s">
        <v>13</v>
      </c>
      <c r="B30" s="5" t="s">
        <v>87</v>
      </c>
      <c r="C30" s="5" t="s">
        <v>89</v>
      </c>
      <c r="D30" s="5" t="s">
        <v>90</v>
      </c>
      <c r="E30" s="5" t="s">
        <v>56</v>
      </c>
      <c r="F30" s="5" t="s">
        <v>57</v>
      </c>
      <c r="G30" s="10" t="s">
        <v>63</v>
      </c>
      <c r="H30" s="10" t="s">
        <v>91</v>
      </c>
      <c r="I30" s="10" t="s">
        <v>124</v>
      </c>
      <c r="K30" s="10" t="s">
        <v>52</v>
      </c>
      <c r="L30" t="s">
        <v>54</v>
      </c>
    </row>
    <row r="31" spans="1:24" x14ac:dyDescent="0.2">
      <c r="A31" s="5">
        <v>2020</v>
      </c>
      <c r="B31" s="6">
        <f>0</f>
        <v>0</v>
      </c>
      <c r="C31" s="8">
        <f t="shared" ref="C31:C37" si="10">B31*D20</f>
        <v>0</v>
      </c>
      <c r="D31" s="8">
        <f t="shared" ref="D31:D37" si="11">C20-C31</f>
        <v>0.99606323880570047</v>
      </c>
      <c r="E31" s="25">
        <f t="shared" ref="E31:E37" si="12">E20</f>
        <v>1.1609128657409096E-2</v>
      </c>
      <c r="F31" s="18">
        <f>D31*1000/E31</f>
        <v>85800.000000000015</v>
      </c>
      <c r="G31" s="30">
        <f t="shared" ref="G31:G37" si="13">F31*$L$37/10^9</f>
        <v>0.16386255600000002</v>
      </c>
      <c r="H31" s="29">
        <f>G31/(D31/1000)</f>
        <v>164.51019334522823</v>
      </c>
      <c r="I31" s="28">
        <f t="shared" ref="I31:I37" si="14">(G20-G31)/G20</f>
        <v>0</v>
      </c>
      <c r="K31" t="s">
        <v>111</v>
      </c>
      <c r="L31" s="1">
        <v>0.75</v>
      </c>
    </row>
    <row r="32" spans="1:24" x14ac:dyDescent="0.2">
      <c r="A32">
        <v>2025</v>
      </c>
      <c r="B32" s="19">
        <f t="shared" ref="B32:B37" si="15">$B$29/($A$37-$A$31)*(A32-A31)+B31</f>
        <v>8.3333333333333329E-2</v>
      </c>
      <c r="C32" s="22">
        <f t="shared" si="10"/>
        <v>8.0264445495318391E-3</v>
      </c>
      <c r="D32" s="22">
        <f t="shared" si="11"/>
        <v>1.1800595033036321</v>
      </c>
      <c r="E32" s="26">
        <f t="shared" si="12"/>
        <v>1.2201310891840879E-2</v>
      </c>
      <c r="F32" s="9">
        <f t="shared" ref="F32:F37" si="16">D32*1000/E32</f>
        <v>96715.796668434035</v>
      </c>
      <c r="G32" s="38">
        <f t="shared" si="13"/>
        <v>0.18470976279330867</v>
      </c>
      <c r="H32" s="29">
        <f t="shared" ref="H32:H37" si="17">G32/(D32/1000)</f>
        <v>156.52580422953673</v>
      </c>
      <c r="I32" s="28">
        <f t="shared" si="14"/>
        <v>6.755777697762989E-3</v>
      </c>
      <c r="K32" t="s">
        <v>125</v>
      </c>
      <c r="L32" s="1">
        <v>0.21129999999999999</v>
      </c>
    </row>
    <row r="33" spans="1:13" x14ac:dyDescent="0.2">
      <c r="A33">
        <v>2030</v>
      </c>
      <c r="B33" s="19">
        <f t="shared" si="15"/>
        <v>0.16666666666666666</v>
      </c>
      <c r="C33" s="22">
        <f t="shared" si="10"/>
        <v>1.8912911434567681E-2</v>
      </c>
      <c r="D33" s="22">
        <f t="shared" si="11"/>
        <v>1.3739081091881302</v>
      </c>
      <c r="E33" s="26">
        <f t="shared" si="12"/>
        <v>1.2823700371719357E-2</v>
      </c>
      <c r="F33" s="9">
        <f t="shared" si="16"/>
        <v>107138.1948550566</v>
      </c>
      <c r="G33" s="38">
        <f t="shared" si="13"/>
        <v>0.2046146672980842</v>
      </c>
      <c r="H33" s="29">
        <f t="shared" si="17"/>
        <v>148.92893194945555</v>
      </c>
      <c r="I33" s="28">
        <f t="shared" si="14"/>
        <v>1.3578852669894401E-2</v>
      </c>
      <c r="K33" t="s">
        <v>127</v>
      </c>
      <c r="L33" s="15">
        <v>3.5999924507155126E-2</v>
      </c>
    </row>
    <row r="34" spans="1:13" x14ac:dyDescent="0.2">
      <c r="A34">
        <v>2035</v>
      </c>
      <c r="B34" s="19">
        <f t="shared" si="15"/>
        <v>0.25</v>
      </c>
      <c r="C34" s="22">
        <f t="shared" si="10"/>
        <v>3.2562400277733536E-2</v>
      </c>
      <c r="D34" s="22">
        <f t="shared" si="11"/>
        <v>1.5599410146063442</v>
      </c>
      <c r="E34" s="26">
        <f t="shared" si="12"/>
        <v>1.3477837970148149E-2</v>
      </c>
      <c r="F34" s="9">
        <f t="shared" si="16"/>
        <v>115741.19069107619</v>
      </c>
      <c r="G34" s="38">
        <f t="shared" si="13"/>
        <v>0.22104484080563114</v>
      </c>
      <c r="H34" s="29">
        <f t="shared" si="17"/>
        <v>141.70076864182744</v>
      </c>
      <c r="I34" s="28">
        <f t="shared" si="14"/>
        <v>2.0447303266915514E-2</v>
      </c>
      <c r="K34" t="s">
        <v>61</v>
      </c>
      <c r="L34" s="13">
        <v>186139</v>
      </c>
    </row>
    <row r="35" spans="1:13" x14ac:dyDescent="0.2">
      <c r="A35">
        <v>2040</v>
      </c>
      <c r="B35" s="19">
        <f t="shared" si="15"/>
        <v>0.33333333333333331</v>
      </c>
      <c r="C35" s="22">
        <f t="shared" si="10"/>
        <v>4.886758178616888E-2</v>
      </c>
      <c r="D35" s="22">
        <f t="shared" si="11"/>
        <v>1.7366495121569951</v>
      </c>
      <c r="E35" s="26">
        <f t="shared" si="12"/>
        <v>1.4165343160245087E-2</v>
      </c>
      <c r="F35" s="9">
        <f t="shared" si="16"/>
        <v>122598.47802564267</v>
      </c>
      <c r="G35" s="38">
        <f t="shared" si="13"/>
        <v>0.23414102530293288</v>
      </c>
      <c r="H35" s="29">
        <f t="shared" si="17"/>
        <v>134.82341927020116</v>
      </c>
      <c r="I35" s="28">
        <f t="shared" si="14"/>
        <v>2.7368868072973136E-2</v>
      </c>
      <c r="K35" t="s">
        <v>62</v>
      </c>
      <c r="L35" s="13">
        <v>16851735</v>
      </c>
    </row>
    <row r="36" spans="1:13" x14ac:dyDescent="0.2">
      <c r="A36">
        <v>2045</v>
      </c>
      <c r="B36" s="19">
        <f t="shared" si="15"/>
        <v>0.41666666666666663</v>
      </c>
      <c r="C36" s="22">
        <f t="shared" si="10"/>
        <v>6.7298567769220816E-2</v>
      </c>
      <c r="D36" s="22">
        <f t="shared" si="11"/>
        <v>1.892160184039025</v>
      </c>
      <c r="E36" s="26">
        <f t="shared" si="12"/>
        <v>1.4887918024532879E-2</v>
      </c>
      <c r="F36" s="9">
        <f t="shared" si="16"/>
        <v>127093.67293136967</v>
      </c>
      <c r="G36" s="38">
        <f t="shared" si="13"/>
        <v>0.24272603843778842</v>
      </c>
      <c r="H36" s="29">
        <f t="shared" si="17"/>
        <v>128.27985732141497</v>
      </c>
      <c r="I36" s="28">
        <f t="shared" si="14"/>
        <v>3.4345488368721942E-2</v>
      </c>
      <c r="K36" t="s">
        <v>56</v>
      </c>
      <c r="L36" s="11">
        <f>L34/L35</f>
        <v>1.1045687580536959E-2</v>
      </c>
    </row>
    <row r="37" spans="1:13" x14ac:dyDescent="0.2">
      <c r="A37">
        <v>2050</v>
      </c>
      <c r="B37" s="19">
        <f t="shared" si="15"/>
        <v>0.49999999999999994</v>
      </c>
      <c r="C37" s="22">
        <f t="shared" si="10"/>
        <v>8.6920863188924821E-2</v>
      </c>
      <c r="D37" s="22">
        <f t="shared" si="11"/>
        <v>2.013306261295416</v>
      </c>
      <c r="E37" s="26">
        <f t="shared" si="12"/>
        <v>1.5647351468848995E-2</v>
      </c>
      <c r="F37" s="9">
        <f t="shared" si="16"/>
        <v>128667.54257444396</v>
      </c>
      <c r="G37" s="38">
        <f t="shared" si="13"/>
        <v>0.24573184615952456</v>
      </c>
      <c r="H37" s="29">
        <f t="shared" si="17"/>
        <v>122.05388265241572</v>
      </c>
      <c r="I37" s="28">
        <f t="shared" si="14"/>
        <v>4.1386411105544661E-2</v>
      </c>
      <c r="K37" t="s">
        <v>58</v>
      </c>
      <c r="L37" s="2">
        <v>1909.82</v>
      </c>
      <c r="M37" s="9"/>
    </row>
    <row r="38" spans="1:13" x14ac:dyDescent="0.2">
      <c r="K38" t="s">
        <v>60</v>
      </c>
      <c r="L38" s="11">
        <f>186139/188535</f>
        <v>0.98729148433977776</v>
      </c>
    </row>
    <row r="39" spans="1:13" x14ac:dyDescent="0.2">
      <c r="A39" s="10" t="s">
        <v>94</v>
      </c>
      <c r="B39" s="37" t="s">
        <v>123</v>
      </c>
      <c r="K39" s="20" t="s">
        <v>72</v>
      </c>
      <c r="L39" s="20" t="s">
        <v>83</v>
      </c>
      <c r="M39" s="14"/>
    </row>
    <row r="40" spans="1:13" x14ac:dyDescent="0.2">
      <c r="A40" s="34" t="s">
        <v>95</v>
      </c>
      <c r="B40" s="35">
        <v>7.0000000000000007E-2</v>
      </c>
      <c r="K40" t="s">
        <v>76</v>
      </c>
      <c r="L40" s="19">
        <v>2.1198196258885221E-2</v>
      </c>
      <c r="M40" s="14"/>
    </row>
    <row r="41" spans="1:13" x14ac:dyDescent="0.2">
      <c r="A41" s="5" t="s">
        <v>13</v>
      </c>
      <c r="B41" s="10" t="s">
        <v>92</v>
      </c>
      <c r="C41" s="10" t="s">
        <v>63</v>
      </c>
      <c r="D41" s="10" t="s">
        <v>91</v>
      </c>
      <c r="K41" t="s">
        <v>77</v>
      </c>
      <c r="L41" s="19">
        <v>8.3002659476625745E-2</v>
      </c>
    </row>
    <row r="42" spans="1:13" x14ac:dyDescent="0.2">
      <c r="A42" s="5">
        <v>2020</v>
      </c>
      <c r="B42" s="30">
        <f>0</f>
        <v>0</v>
      </c>
      <c r="C42" s="29">
        <f>G31*(1-B42)</f>
        <v>0.16386255600000002</v>
      </c>
      <c r="D42" s="38">
        <f>C42/(C20/1000)</f>
        <v>164.51019334522823</v>
      </c>
      <c r="K42" t="s">
        <v>78</v>
      </c>
      <c r="L42" s="19">
        <v>1.4105212514529059E-2</v>
      </c>
      <c r="M42" s="19"/>
    </row>
    <row r="43" spans="1:13" x14ac:dyDescent="0.2">
      <c r="A43">
        <v>2025</v>
      </c>
      <c r="B43" s="28">
        <f t="shared" ref="B43:B48" si="18">$B$40/($A$48-$A$42)*(A43-A42)+B42</f>
        <v>1.1666666666666667E-2</v>
      </c>
      <c r="C43" s="29">
        <f t="shared" ref="C43:C48" si="19">G21*(1-B43)</f>
        <v>0.18379650388257679</v>
      </c>
      <c r="D43" s="38">
        <f t="shared" ref="D43:D48" si="20">C43/(C21/1000)</f>
        <v>154.69966984685882</v>
      </c>
      <c r="K43" t="s">
        <v>81</v>
      </c>
      <c r="L43" s="19">
        <v>5.1167551004580696E-2</v>
      </c>
      <c r="M43" s="19"/>
    </row>
    <row r="44" spans="1:13" x14ac:dyDescent="0.2">
      <c r="A44">
        <v>2030</v>
      </c>
      <c r="B44" s="28">
        <f t="shared" si="18"/>
        <v>2.3333333333333334E-2</v>
      </c>
      <c r="C44" s="29">
        <f t="shared" si="19"/>
        <v>0.20259128223480025</v>
      </c>
      <c r="D44" s="38">
        <f t="shared" si="20"/>
        <v>145.45392353730159</v>
      </c>
      <c r="K44" t="s">
        <v>75</v>
      </c>
      <c r="L44" s="19">
        <v>0.72907489164726969</v>
      </c>
      <c r="M44" s="1"/>
    </row>
    <row r="45" spans="1:13" x14ac:dyDescent="0.2">
      <c r="A45">
        <v>2035</v>
      </c>
      <c r="B45" s="28">
        <f t="shared" si="18"/>
        <v>3.5000000000000003E-2</v>
      </c>
      <c r="C45" s="29">
        <f t="shared" si="19"/>
        <v>0.21776089442542548</v>
      </c>
      <c r="D45" s="38">
        <f t="shared" si="20"/>
        <v>136.74124173936346</v>
      </c>
      <c r="K45" t="s">
        <v>79</v>
      </c>
      <c r="L45" s="19">
        <v>2.0584533026826932E-2</v>
      </c>
      <c r="M45" s="19"/>
    </row>
    <row r="46" spans="1:13" x14ac:dyDescent="0.2">
      <c r="A46">
        <v>2040</v>
      </c>
      <c r="B46" s="28">
        <f t="shared" si="18"/>
        <v>4.6666666666666669E-2</v>
      </c>
      <c r="C46" s="29">
        <f t="shared" si="19"/>
        <v>0.22949547551483923</v>
      </c>
      <c r="D46" s="38">
        <f t="shared" si="20"/>
        <v>128.53165970425846</v>
      </c>
      <c r="K46" t="s">
        <v>80</v>
      </c>
      <c r="L46" s="19">
        <v>6.340225584468398E-2</v>
      </c>
      <c r="M46" s="19"/>
    </row>
    <row r="47" spans="1:13" x14ac:dyDescent="0.2">
      <c r="A47">
        <v>2045</v>
      </c>
      <c r="B47" s="28">
        <f t="shared" si="18"/>
        <v>5.8333333333333334E-2</v>
      </c>
      <c r="C47" s="29">
        <f t="shared" si="19"/>
        <v>0.23669647557779197</v>
      </c>
      <c r="D47" s="38">
        <f t="shared" si="20"/>
        <v>120.79686564433243</v>
      </c>
      <c r="F47" s="16"/>
      <c r="K47" t="s">
        <v>73</v>
      </c>
      <c r="L47" s="19">
        <v>5.439697318300997E-3</v>
      </c>
      <c r="M47" s="19"/>
    </row>
    <row r="48" spans="1:13" x14ac:dyDescent="0.2">
      <c r="A48">
        <v>2050</v>
      </c>
      <c r="B48" s="28">
        <f t="shared" si="18"/>
        <v>7.0000000000000007E-2</v>
      </c>
      <c r="C48" s="29">
        <f t="shared" si="19"/>
        <v>0.23839701374556602</v>
      </c>
      <c r="D48" s="38">
        <f t="shared" si="20"/>
        <v>113.51011086674663</v>
      </c>
      <c r="K48" t="s">
        <v>74</v>
      </c>
      <c r="L48" s="19">
        <v>2.8036797173830691E-3</v>
      </c>
      <c r="M48" s="19"/>
    </row>
    <row r="49" spans="1:13" x14ac:dyDescent="0.2">
      <c r="K49" t="s">
        <v>82</v>
      </c>
      <c r="L49" s="19">
        <v>9.2213231909145776E-3</v>
      </c>
      <c r="M49" s="19"/>
    </row>
    <row r="50" spans="1:13" x14ac:dyDescent="0.2">
      <c r="A50" s="10" t="s">
        <v>105</v>
      </c>
      <c r="M50" s="19"/>
    </row>
    <row r="51" spans="1:13" x14ac:dyDescent="0.2">
      <c r="A51" s="34" t="s">
        <v>106</v>
      </c>
      <c r="B51" s="35">
        <v>1</v>
      </c>
      <c r="K51" s="10" t="s">
        <v>143</v>
      </c>
      <c r="M51" s="19"/>
    </row>
    <row r="52" spans="1:13" x14ac:dyDescent="0.2">
      <c r="A52" s="5" t="s">
        <v>13</v>
      </c>
      <c r="B52" s="5" t="s">
        <v>108</v>
      </c>
      <c r="C52" s="5" t="s">
        <v>113</v>
      </c>
      <c r="D52" s="10" t="s">
        <v>63</v>
      </c>
      <c r="E52" s="10" t="s">
        <v>91</v>
      </c>
      <c r="F52" s="10" t="s">
        <v>124</v>
      </c>
      <c r="K52" t="s">
        <v>144</v>
      </c>
      <c r="L52" s="7">
        <v>85800</v>
      </c>
    </row>
    <row r="53" spans="1:13" x14ac:dyDescent="0.2">
      <c r="A53" s="5">
        <v>2020</v>
      </c>
      <c r="B53" s="6">
        <f>0</f>
        <v>0</v>
      </c>
      <c r="C53" s="4">
        <f t="shared" ref="C53:C59" si="21">(1-L$42-L$43)*$L$37+(L$42+L$43)*$L$37*(1-$B53)</f>
        <v>1909.82</v>
      </c>
      <c r="D53" s="50">
        <f t="shared" ref="D53:D59" si="22">F20*C53/10^9</f>
        <v>0.16386255600000002</v>
      </c>
      <c r="E53" s="38">
        <f t="shared" ref="E53:E59" si="23">D53/(C20/1000)</f>
        <v>164.51019334522823</v>
      </c>
      <c r="F53" s="31">
        <f t="shared" ref="F53:F59" si="24">(G20-D53)/G20</f>
        <v>0</v>
      </c>
      <c r="K53" t="s">
        <v>145</v>
      </c>
      <c r="L53" s="1">
        <f>L52*E31</f>
        <v>996.06323880570039</v>
      </c>
    </row>
    <row r="54" spans="1:13" x14ac:dyDescent="0.2">
      <c r="A54">
        <v>2025</v>
      </c>
      <c r="B54" s="19">
        <f t="shared" ref="B54:B59" si="25">$B$51/($A$37-$A$31)*(A54-A53)+B53</f>
        <v>0.16666666666666666</v>
      </c>
      <c r="C54" s="4">
        <f t="shared" si="21"/>
        <v>1889.0434617959888</v>
      </c>
      <c r="D54" s="51">
        <f t="shared" si="22"/>
        <v>0.18394302151128061</v>
      </c>
      <c r="E54" s="38">
        <f t="shared" si="23"/>
        <v>154.82299226218456</v>
      </c>
      <c r="F54" s="31">
        <f t="shared" si="24"/>
        <v>1.0878793919851734E-2</v>
      </c>
      <c r="K54" t="s">
        <v>146</v>
      </c>
      <c r="L54" s="9">
        <f>(C2*$L$31*$L$32 + C9*$L$33)*$L$38*1000</f>
        <v>182056.34399641235</v>
      </c>
    </row>
    <row r="55" spans="1:13" x14ac:dyDescent="0.2">
      <c r="A55">
        <v>2030</v>
      </c>
      <c r="B55" s="19">
        <f t="shared" si="25"/>
        <v>0.33333333333333331</v>
      </c>
      <c r="C55" s="4">
        <f t="shared" si="21"/>
        <v>1868.266923591978</v>
      </c>
      <c r="D55" s="51">
        <f t="shared" si="22"/>
        <v>0.2029181412450701</v>
      </c>
      <c r="E55" s="38">
        <f t="shared" si="23"/>
        <v>145.68859763069207</v>
      </c>
      <c r="F55" s="31">
        <f t="shared" si="24"/>
        <v>2.1757587839703267E-2</v>
      </c>
      <c r="K55" t="s">
        <v>147</v>
      </c>
      <c r="L55" s="1">
        <f>L53/L54</f>
        <v>5.4711811571110597E-3</v>
      </c>
    </row>
    <row r="56" spans="1:13" x14ac:dyDescent="0.2">
      <c r="A56">
        <v>2035</v>
      </c>
      <c r="B56" s="19">
        <f t="shared" si="25"/>
        <v>0.5</v>
      </c>
      <c r="C56" s="4">
        <f t="shared" si="21"/>
        <v>1847.4903853879669</v>
      </c>
      <c r="D56" s="51">
        <f t="shared" si="22"/>
        <v>0.21829426605456498</v>
      </c>
      <c r="E56" s="38">
        <f t="shared" si="23"/>
        <v>137.07616826081039</v>
      </c>
      <c r="F56" s="31">
        <f t="shared" si="24"/>
        <v>3.2636381759554779E-2</v>
      </c>
    </row>
    <row r="57" spans="1:13" x14ac:dyDescent="0.2">
      <c r="A57">
        <v>2040</v>
      </c>
      <c r="B57" s="19">
        <f t="shared" si="25"/>
        <v>0.66666666666666663</v>
      </c>
      <c r="C57" s="4">
        <f t="shared" si="21"/>
        <v>1826.7138471839557</v>
      </c>
      <c r="D57" s="51">
        <f t="shared" si="22"/>
        <v>0.2302541324267644</v>
      </c>
      <c r="E57" s="38">
        <f t="shared" si="23"/>
        <v>128.9565544949601</v>
      </c>
      <c r="F57" s="31">
        <f t="shared" si="24"/>
        <v>4.3515175679406451E-2</v>
      </c>
    </row>
    <row r="58" spans="1:13" x14ac:dyDescent="0.2">
      <c r="A58">
        <v>2045</v>
      </c>
      <c r="B58" s="19">
        <f t="shared" si="25"/>
        <v>0.83333333333333326</v>
      </c>
      <c r="C58" s="4">
        <f t="shared" si="21"/>
        <v>1805.9373089799449</v>
      </c>
      <c r="D58" s="51">
        <f t="shared" si="22"/>
        <v>0.23768667045765879</v>
      </c>
      <c r="E58" s="38">
        <f t="shared" si="23"/>
        <v>121.30220666207676</v>
      </c>
      <c r="F58" s="31">
        <f t="shared" si="24"/>
        <v>5.4393969599258025E-2</v>
      </c>
    </row>
    <row r="59" spans="1:13" x14ac:dyDescent="0.2">
      <c r="A59">
        <v>2050</v>
      </c>
      <c r="B59" s="19">
        <f t="shared" si="25"/>
        <v>0.99999999999999989</v>
      </c>
      <c r="C59" s="4">
        <f t="shared" si="21"/>
        <v>1785.1607707759338</v>
      </c>
      <c r="D59" s="51">
        <f t="shared" si="22"/>
        <v>0.23960879768138676</v>
      </c>
      <c r="E59" s="38">
        <f t="shared" si="23"/>
        <v>114.08708843345541</v>
      </c>
      <c r="F59" s="31">
        <f t="shared" si="24"/>
        <v>6.5272763519109933E-2</v>
      </c>
    </row>
    <row r="61" spans="1:13" x14ac:dyDescent="0.2">
      <c r="A61" s="10" t="s">
        <v>114</v>
      </c>
      <c r="B61" s="37" t="s">
        <v>122</v>
      </c>
    </row>
    <row r="62" spans="1:13" x14ac:dyDescent="0.2">
      <c r="A62" s="34" t="s">
        <v>115</v>
      </c>
      <c r="B62" s="35">
        <v>0.2</v>
      </c>
    </row>
    <row r="63" spans="1:13" x14ac:dyDescent="0.2">
      <c r="A63" s="5" t="s">
        <v>13</v>
      </c>
      <c r="B63" s="5" t="s">
        <v>116</v>
      </c>
      <c r="C63" s="5" t="s">
        <v>113</v>
      </c>
      <c r="D63" s="10" t="s">
        <v>63</v>
      </c>
      <c r="E63" s="10" t="s">
        <v>91</v>
      </c>
      <c r="F63" s="10" t="s">
        <v>124</v>
      </c>
    </row>
    <row r="64" spans="1:13" x14ac:dyDescent="0.2">
      <c r="A64" s="5">
        <v>2020</v>
      </c>
      <c r="B64" s="6">
        <f>0</f>
        <v>0</v>
      </c>
      <c r="C64" s="6">
        <f t="shared" ref="C64:C70" si="26">(1-L$44)*$L$37+L$44*$L$37*(1-$B64)</f>
        <v>1909.8200000000002</v>
      </c>
      <c r="D64" s="50">
        <f t="shared" ref="D64:D70" si="27">F20*C64/10^9</f>
        <v>0.16386255600000002</v>
      </c>
      <c r="E64" s="38">
        <f t="shared" ref="E64:E70" si="28">D64/(C20/1000)</f>
        <v>164.51019334522823</v>
      </c>
      <c r="F64" s="32">
        <f>(G20-D64)/G20</f>
        <v>0</v>
      </c>
      <c r="G64" s="40"/>
    </row>
    <row r="65" spans="1:6" x14ac:dyDescent="0.2">
      <c r="A65">
        <v>2025</v>
      </c>
      <c r="B65" s="19">
        <f t="shared" ref="B65:B70" si="29">$B$62/($A$37-$A$31)*(A65-A64)+B64</f>
        <v>3.3333333333333333E-2</v>
      </c>
      <c r="C65" s="4">
        <f t="shared" si="26"/>
        <v>1863.4066063478072</v>
      </c>
      <c r="D65" s="51">
        <f t="shared" si="27"/>
        <v>0.18144666780182017</v>
      </c>
      <c r="E65" s="38">
        <f t="shared" si="28"/>
        <v>152.72183643758174</v>
      </c>
      <c r="F65" s="33">
        <f t="shared" ref="F65:F70" si="30">(G21-D65)/G21</f>
        <v>2.4302496388242122E-2</v>
      </c>
    </row>
    <row r="66" spans="1:6" x14ac:dyDescent="0.2">
      <c r="A66">
        <v>2030</v>
      </c>
      <c r="B66" s="19">
        <f t="shared" si="29"/>
        <v>6.6666666666666666E-2</v>
      </c>
      <c r="C66" s="4">
        <f t="shared" si="26"/>
        <v>1816.9932126956141</v>
      </c>
      <c r="D66" s="51">
        <f t="shared" si="27"/>
        <v>0.1973491478756304</v>
      </c>
      <c r="E66" s="38">
        <f t="shared" si="28"/>
        <v>141.69024228784269</v>
      </c>
      <c r="F66" s="33">
        <f t="shared" si="30"/>
        <v>4.8604992776484598E-2</v>
      </c>
    </row>
    <row r="67" spans="1:6" x14ac:dyDescent="0.2">
      <c r="A67">
        <v>2035</v>
      </c>
      <c r="B67" s="19">
        <f t="shared" si="29"/>
        <v>0.1</v>
      </c>
      <c r="C67" s="4">
        <f t="shared" si="26"/>
        <v>1770.5798190434211</v>
      </c>
      <c r="D67" s="51">
        <f t="shared" si="27"/>
        <v>0.20920672992186792</v>
      </c>
      <c r="E67" s="38">
        <f t="shared" si="28"/>
        <v>131.36972138743991</v>
      </c>
      <c r="F67" s="33">
        <f t="shared" si="30"/>
        <v>7.2907489164726905E-2</v>
      </c>
    </row>
    <row r="68" spans="1:6" x14ac:dyDescent="0.2">
      <c r="A68">
        <v>2040</v>
      </c>
      <c r="B68" s="19">
        <f t="shared" si="29"/>
        <v>0.13333333333333333</v>
      </c>
      <c r="C68" s="4">
        <f t="shared" si="26"/>
        <v>1724.1664253912281</v>
      </c>
      <c r="D68" s="51">
        <f t="shared" si="27"/>
        <v>0.21732820663171667</v>
      </c>
      <c r="E68" s="38">
        <f t="shared" si="28"/>
        <v>121.717236630743</v>
      </c>
      <c r="F68" s="33">
        <f t="shared" si="30"/>
        <v>9.7209985552969197E-2</v>
      </c>
    </row>
    <row r="69" spans="1:6" x14ac:dyDescent="0.2">
      <c r="A69">
        <v>2045</v>
      </c>
      <c r="B69" s="19">
        <f t="shared" si="29"/>
        <v>0.16666666666666666</v>
      </c>
      <c r="C69" s="4">
        <f t="shared" si="26"/>
        <v>1677.7530317390351</v>
      </c>
      <c r="D69" s="51">
        <f t="shared" si="27"/>
        <v>0.22081582233302346</v>
      </c>
      <c r="E69" s="38">
        <f t="shared" si="28"/>
        <v>112.69225347522533</v>
      </c>
      <c r="F69" s="33">
        <f t="shared" si="30"/>
        <v>0.12151248194121154</v>
      </c>
    </row>
    <row r="70" spans="1:6" x14ac:dyDescent="0.2">
      <c r="A70">
        <v>2050</v>
      </c>
      <c r="B70" s="19">
        <f t="shared" si="29"/>
        <v>0.19999999999999998</v>
      </c>
      <c r="C70" s="4">
        <f t="shared" si="26"/>
        <v>1631.3396380868426</v>
      </c>
      <c r="D70" s="51">
        <f t="shared" si="27"/>
        <v>0.21896253586284922</v>
      </c>
      <c r="E70" s="38">
        <f t="shared" si="28"/>
        <v>104.25659839842803</v>
      </c>
      <c r="F70" s="33">
        <f t="shared" si="30"/>
        <v>0.14581497832945395</v>
      </c>
    </row>
    <row r="72" spans="1:6" x14ac:dyDescent="0.2">
      <c r="A72" s="10" t="s">
        <v>109</v>
      </c>
    </row>
    <row r="73" spans="1:6" x14ac:dyDescent="0.2">
      <c r="A73" s="5" t="s">
        <v>13</v>
      </c>
      <c r="B73" s="5" t="s">
        <v>113</v>
      </c>
      <c r="C73" s="10" t="s">
        <v>63</v>
      </c>
      <c r="D73" s="10" t="s">
        <v>91</v>
      </c>
      <c r="E73" s="10" t="s">
        <v>124</v>
      </c>
    </row>
    <row r="74" spans="1:6" x14ac:dyDescent="0.2">
      <c r="A74" s="5">
        <v>2020</v>
      </c>
      <c r="B74" s="6">
        <f t="shared" ref="B74:B80" si="31">(L$44*(1-B64)+(L$42+L$43)*(1-B53)+(1-L$42-L$43-L$44))*$L$37*(1-B42)</f>
        <v>1909.82</v>
      </c>
      <c r="C74" s="50">
        <f t="shared" ref="C74:C80" si="32">F31*B74/10^9</f>
        <v>0.16386255600000002</v>
      </c>
      <c r="D74" s="38">
        <f t="shared" ref="D74:D80" si="33">C74/(D31/1000)</f>
        <v>164.51019334522823</v>
      </c>
      <c r="E74" s="32">
        <f t="shared" ref="E74:E80" si="34">(G20-C74)/G20</f>
        <v>0</v>
      </c>
    </row>
    <row r="75" spans="1:6" x14ac:dyDescent="0.2">
      <c r="A75">
        <v>2025</v>
      </c>
      <c r="B75" s="4">
        <f t="shared" si="31"/>
        <v>1821.132717348785</v>
      </c>
      <c r="C75" s="51">
        <f t="shared" si="32"/>
        <v>0.17613230159733784</v>
      </c>
      <c r="D75" s="38">
        <f t="shared" si="33"/>
        <v>149.2571358514102</v>
      </c>
      <c r="E75" s="33">
        <f t="shared" si="34"/>
        <v>5.2879564800738438E-2</v>
      </c>
    </row>
    <row r="76" spans="1:6" x14ac:dyDescent="0.2">
      <c r="A76">
        <v>2030</v>
      </c>
      <c r="B76" s="4">
        <f t="shared" si="31"/>
        <v>1734.0131997742151</v>
      </c>
      <c r="C76" s="51">
        <f t="shared" si="32"/>
        <v>0.18577904407865006</v>
      </c>
      <c r="D76" s="38">
        <f t="shared" si="33"/>
        <v>135.2194101164674</v>
      </c>
      <c r="E76" s="33">
        <f t="shared" si="34"/>
        <v>0.10438298373311149</v>
      </c>
    </row>
    <row r="77" spans="1:6" x14ac:dyDescent="0.2">
      <c r="A77">
        <v>2035</v>
      </c>
      <c r="B77" s="4">
        <f t="shared" si="31"/>
        <v>1648.4614472762894</v>
      </c>
      <c r="C77" s="51">
        <f t="shared" si="32"/>
        <v>0.19079489071609243</v>
      </c>
      <c r="D77" s="38">
        <f t="shared" si="33"/>
        <v>122.30904177119805</v>
      </c>
      <c r="E77" s="33">
        <f t="shared" si="34"/>
        <v>0.15449892862153899</v>
      </c>
    </row>
    <row r="78" spans="1:6" x14ac:dyDescent="0.2">
      <c r="A78">
        <v>2040</v>
      </c>
      <c r="B78" s="4">
        <f t="shared" si="31"/>
        <v>1564.4774598550089</v>
      </c>
      <c r="C78" s="51">
        <f t="shared" si="32"/>
        <v>0.19180255548364758</v>
      </c>
      <c r="D78" s="38">
        <f t="shared" si="33"/>
        <v>110.44402116891183</v>
      </c>
      <c r="E78" s="33">
        <f t="shared" si="34"/>
        <v>0.20324455568949054</v>
      </c>
    </row>
    <row r="79" spans="1:6" x14ac:dyDescent="0.2">
      <c r="A79">
        <v>2045</v>
      </c>
      <c r="B79" s="4">
        <f t="shared" si="31"/>
        <v>1482.0612375103728</v>
      </c>
      <c r="C79" s="51">
        <f t="shared" si="32"/>
        <v>0.18836060618440431</v>
      </c>
      <c r="D79" s="38">
        <f t="shared" si="33"/>
        <v>99.547917651627031</v>
      </c>
      <c r="E79" s="33">
        <f t="shared" si="34"/>
        <v>0.25063141001993555</v>
      </c>
    </row>
    <row r="80" spans="1:6" x14ac:dyDescent="0.2">
      <c r="A80">
        <v>2050</v>
      </c>
      <c r="B80" s="4">
        <f t="shared" si="31"/>
        <v>1401.2127802423818</v>
      </c>
      <c r="C80" s="51">
        <f t="shared" si="32"/>
        <v>0.18029060505769162</v>
      </c>
      <c r="D80" s="38">
        <f t="shared" si="33"/>
        <v>89.549517886904965</v>
      </c>
      <c r="E80" s="33">
        <f t="shared" si="34"/>
        <v>0.29667632966827912</v>
      </c>
    </row>
  </sheetData>
  <hyperlinks>
    <hyperlink ref="L1" r:id="rId1" xr:uid="{00000000-0004-0000-0000-000000000000}"/>
    <hyperlink ref="B61" r:id="rId2" xr:uid="{00000000-0004-0000-0000-000001000000}"/>
    <hyperlink ref="B39" r:id="rId3" xr:uid="{00000000-0004-0000-0000-000002000000}"/>
  </hyperlinks>
  <pageMargins left="0.7" right="0.7" top="0.75" bottom="0.75" header="0.3" footer="0.3"/>
  <pageSetup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3"/>
  <sheetViews>
    <sheetView tabSelected="1" topLeftCell="A5" zoomScaleNormal="60" workbookViewId="0">
      <selection activeCell="E38" sqref="E38"/>
    </sheetView>
  </sheetViews>
  <sheetFormatPr baseColWidth="10" defaultColWidth="8.83203125" defaultRowHeight="15" x14ac:dyDescent="0.2"/>
  <cols>
    <col min="1" max="1" width="50.5" customWidth="1"/>
    <col min="2" max="3" width="38.6640625" bestFit="1" customWidth="1"/>
    <col min="4" max="4" width="39.6640625" bestFit="1" customWidth="1"/>
    <col min="5" max="5" width="34.5" bestFit="1" customWidth="1"/>
    <col min="6" max="6" width="39.5" customWidth="1"/>
    <col min="7" max="7" width="26.83203125" bestFit="1" customWidth="1"/>
    <col min="8" max="8" width="26.5" bestFit="1" customWidth="1"/>
    <col min="9" max="10" width="26.6640625" bestFit="1" customWidth="1"/>
    <col min="11" max="11" width="29.6640625" bestFit="1" customWidth="1"/>
    <col min="12" max="12" width="15.5" customWidth="1"/>
    <col min="13" max="13" width="51.1640625" bestFit="1" customWidth="1"/>
    <col min="14" max="15" width="30.33203125" bestFit="1" customWidth="1"/>
    <col min="16" max="16" width="13.5" bestFit="1" customWidth="1"/>
    <col min="17" max="17" width="10.6640625" bestFit="1" customWidth="1"/>
    <col min="18" max="18" width="15.5" bestFit="1" customWidth="1"/>
    <col min="19" max="19" width="5.1640625" bestFit="1" customWidth="1"/>
    <col min="20" max="20" width="9.83203125" bestFit="1" customWidth="1"/>
    <col min="21" max="22" width="11.5" bestFit="1" customWidth="1"/>
    <col min="23" max="23" width="6.1640625" bestFit="1" customWidth="1"/>
    <col min="24" max="24" width="4.5" bestFit="1" customWidth="1"/>
    <col min="25" max="25" width="15.33203125" bestFit="1" customWidth="1"/>
  </cols>
  <sheetData>
    <row r="1" spans="1:22" x14ac:dyDescent="0.2">
      <c r="A1" s="5" t="s">
        <v>26</v>
      </c>
      <c r="B1" s="5" t="s">
        <v>13</v>
      </c>
      <c r="C1" s="5" t="s">
        <v>118</v>
      </c>
      <c r="D1" s="5" t="s">
        <v>119</v>
      </c>
      <c r="F1" s="34" t="s">
        <v>59</v>
      </c>
      <c r="G1" s="36">
        <v>0.01</v>
      </c>
      <c r="M1" s="10" t="s">
        <v>120</v>
      </c>
      <c r="N1" s="37" t="s">
        <v>121</v>
      </c>
    </row>
    <row r="2" spans="1:22" x14ac:dyDescent="0.2">
      <c r="A2" s="5" t="s">
        <v>4</v>
      </c>
      <c r="B2" s="5">
        <v>2020</v>
      </c>
      <c r="C2" s="6">
        <f t="shared" ref="C2:C8" si="0">$X$24*V5</f>
        <v>110</v>
      </c>
      <c r="D2" s="6">
        <f t="shared" ref="D2:D8" si="1">$X$25*V5</f>
        <v>17</v>
      </c>
      <c r="E2" s="4"/>
      <c r="M2" t="s">
        <v>6</v>
      </c>
      <c r="N2" t="s">
        <v>7</v>
      </c>
      <c r="O2" t="s">
        <v>8</v>
      </c>
      <c r="P2" t="s">
        <v>9</v>
      </c>
      <c r="Q2" t="s">
        <v>10</v>
      </c>
      <c r="R2" t="s">
        <v>11</v>
      </c>
      <c r="S2" t="s">
        <v>12</v>
      </c>
      <c r="T2" t="s">
        <v>13</v>
      </c>
      <c r="U2" t="s">
        <v>14</v>
      </c>
    </row>
    <row r="3" spans="1:22" x14ac:dyDescent="0.2">
      <c r="A3" t="s">
        <v>4</v>
      </c>
      <c r="B3">
        <v>2025</v>
      </c>
      <c r="C3" s="4">
        <f t="shared" si="0"/>
        <v>138.78581757806222</v>
      </c>
      <c r="D3" s="4">
        <f t="shared" si="1"/>
        <v>21.448717262064164</v>
      </c>
      <c r="E3" s="4"/>
      <c r="M3" t="s">
        <v>0</v>
      </c>
      <c r="N3" t="s">
        <v>1</v>
      </c>
      <c r="O3" t="s">
        <v>2</v>
      </c>
      <c r="P3" t="s">
        <v>3</v>
      </c>
      <c r="Q3" t="s">
        <v>18</v>
      </c>
      <c r="R3" t="s">
        <v>4</v>
      </c>
      <c r="S3" t="s">
        <v>5</v>
      </c>
      <c r="T3">
        <v>2012</v>
      </c>
      <c r="U3">
        <v>96.16</v>
      </c>
    </row>
    <row r="4" spans="1:22" x14ac:dyDescent="0.2">
      <c r="A4" t="s">
        <v>4</v>
      </c>
      <c r="B4">
        <v>2030</v>
      </c>
      <c r="C4" s="4">
        <f t="shared" si="0"/>
        <v>169.780943709496</v>
      </c>
      <c r="D4" s="4">
        <f t="shared" si="1"/>
        <v>26.23887311874029</v>
      </c>
      <c r="E4" s="4"/>
      <c r="M4" t="s">
        <v>0</v>
      </c>
      <c r="N4" t="s">
        <v>1</v>
      </c>
      <c r="O4" t="s">
        <v>2</v>
      </c>
      <c r="P4" t="s">
        <v>3</v>
      </c>
      <c r="Q4" t="s">
        <v>18</v>
      </c>
      <c r="R4" t="s">
        <v>4</v>
      </c>
      <c r="S4" t="s">
        <v>5</v>
      </c>
      <c r="T4">
        <v>2015</v>
      </c>
      <c r="U4">
        <v>138.49</v>
      </c>
    </row>
    <row r="5" spans="1:22" x14ac:dyDescent="0.2">
      <c r="A5" t="s">
        <v>4</v>
      </c>
      <c r="B5">
        <v>2035</v>
      </c>
      <c r="C5" s="4">
        <f t="shared" si="0"/>
        <v>202.71436987842105</v>
      </c>
      <c r="D5" s="4">
        <f t="shared" si="1"/>
        <v>31.328584435755982</v>
      </c>
      <c r="E5" s="4"/>
      <c r="M5" t="s">
        <v>0</v>
      </c>
      <c r="N5" t="s">
        <v>1</v>
      </c>
      <c r="O5" t="s">
        <v>2</v>
      </c>
      <c r="P5" t="s">
        <v>3</v>
      </c>
      <c r="Q5" t="s">
        <v>18</v>
      </c>
      <c r="R5" t="s">
        <v>4</v>
      </c>
      <c r="S5" t="s">
        <v>5</v>
      </c>
      <c r="T5">
        <v>2020</v>
      </c>
      <c r="U5">
        <v>186.71</v>
      </c>
      <c r="V5" s="1">
        <f t="shared" ref="V5:V11" si="2">U5/U$5</f>
        <v>1</v>
      </c>
    </row>
    <row r="6" spans="1:22" x14ac:dyDescent="0.2">
      <c r="A6" t="s">
        <v>4</v>
      </c>
      <c r="B6">
        <v>2040</v>
      </c>
      <c r="C6" s="4">
        <f t="shared" si="0"/>
        <v>235.95415350008031</v>
      </c>
      <c r="D6" s="4">
        <f t="shared" si="1"/>
        <v>36.465641904557863</v>
      </c>
      <c r="E6" s="4"/>
      <c r="M6" t="s">
        <v>0</v>
      </c>
      <c r="N6" t="s">
        <v>1</v>
      </c>
      <c r="O6" t="s">
        <v>2</v>
      </c>
      <c r="P6" t="s">
        <v>3</v>
      </c>
      <c r="Q6" t="s">
        <v>18</v>
      </c>
      <c r="R6" t="s">
        <v>4</v>
      </c>
      <c r="S6" t="s">
        <v>5</v>
      </c>
      <c r="T6">
        <v>2025</v>
      </c>
      <c r="U6">
        <v>235.57</v>
      </c>
      <c r="V6" s="1">
        <f t="shared" si="2"/>
        <v>1.2616892507096567</v>
      </c>
    </row>
    <row r="7" spans="1:22" x14ac:dyDescent="0.2">
      <c r="A7" t="s">
        <v>4</v>
      </c>
      <c r="B7">
        <v>2045</v>
      </c>
      <c r="C7" s="4">
        <f t="shared" si="0"/>
        <v>266.57222430507204</v>
      </c>
      <c r="D7" s="4">
        <f t="shared" si="1"/>
        <v>41.197525574420226</v>
      </c>
      <c r="E7" s="4"/>
      <c r="M7" t="s">
        <v>0</v>
      </c>
      <c r="N7" t="s">
        <v>1</v>
      </c>
      <c r="O7" t="s">
        <v>2</v>
      </c>
      <c r="P7" t="s">
        <v>3</v>
      </c>
      <c r="Q7" t="s">
        <v>18</v>
      </c>
      <c r="R7" t="s">
        <v>4</v>
      </c>
      <c r="S7" t="s">
        <v>5</v>
      </c>
      <c r="T7">
        <v>2030</v>
      </c>
      <c r="U7">
        <v>288.18</v>
      </c>
      <c r="V7" s="1">
        <f t="shared" si="2"/>
        <v>1.5434631246317818</v>
      </c>
    </row>
    <row r="8" spans="1:22" x14ac:dyDescent="0.2">
      <c r="A8" t="s">
        <v>4</v>
      </c>
      <c r="B8">
        <v>2050</v>
      </c>
      <c r="C8" s="4">
        <f t="shared" si="0"/>
        <v>290.78624605002409</v>
      </c>
      <c r="D8" s="4">
        <f t="shared" si="1"/>
        <v>44.93969257136736</v>
      </c>
      <c r="E8" s="4"/>
      <c r="M8" t="s">
        <v>0</v>
      </c>
      <c r="N8" t="s">
        <v>1</v>
      </c>
      <c r="O8" t="s">
        <v>2</v>
      </c>
      <c r="P8" t="s">
        <v>3</v>
      </c>
      <c r="Q8" t="s">
        <v>18</v>
      </c>
      <c r="R8" t="s">
        <v>4</v>
      </c>
      <c r="S8" t="s">
        <v>5</v>
      </c>
      <c r="T8">
        <v>2035</v>
      </c>
      <c r="U8">
        <v>344.08</v>
      </c>
      <c r="V8" s="1">
        <f t="shared" si="2"/>
        <v>1.842857907985646</v>
      </c>
    </row>
    <row r="9" spans="1:22" x14ac:dyDescent="0.2">
      <c r="A9" s="5" t="s">
        <v>15</v>
      </c>
      <c r="B9" s="5">
        <v>2020</v>
      </c>
      <c r="C9" s="6">
        <f t="shared" ref="C9:C15" si="3">$X$26*V14</f>
        <v>69</v>
      </c>
      <c r="D9" s="8">
        <v>0</v>
      </c>
      <c r="E9" s="4"/>
      <c r="M9" t="s">
        <v>0</v>
      </c>
      <c r="N9" t="s">
        <v>1</v>
      </c>
      <c r="O9" t="s">
        <v>2</v>
      </c>
      <c r="P9" t="s">
        <v>3</v>
      </c>
      <c r="Q9" t="s">
        <v>18</v>
      </c>
      <c r="R9" t="s">
        <v>4</v>
      </c>
      <c r="S9" t="s">
        <v>5</v>
      </c>
      <c r="T9">
        <v>2040</v>
      </c>
      <c r="U9">
        <v>400.5</v>
      </c>
      <c r="V9" s="1">
        <f t="shared" si="2"/>
        <v>2.1450377590916392</v>
      </c>
    </row>
    <row r="10" spans="1:22" x14ac:dyDescent="0.2">
      <c r="A10" t="s">
        <v>15</v>
      </c>
      <c r="B10">
        <v>2025</v>
      </c>
      <c r="C10" s="4">
        <f t="shared" si="3"/>
        <v>88.357668977469686</v>
      </c>
      <c r="D10" s="1">
        <v>0</v>
      </c>
      <c r="M10" t="s">
        <v>0</v>
      </c>
      <c r="N10" t="s">
        <v>1</v>
      </c>
      <c r="O10" t="s">
        <v>2</v>
      </c>
      <c r="P10" t="s">
        <v>3</v>
      </c>
      <c r="Q10" t="s">
        <v>18</v>
      </c>
      <c r="R10" t="s">
        <v>4</v>
      </c>
      <c r="S10" t="s">
        <v>5</v>
      </c>
      <c r="T10">
        <v>2045</v>
      </c>
      <c r="U10">
        <v>452.47</v>
      </c>
      <c r="V10" s="1">
        <f t="shared" si="2"/>
        <v>2.4233838573188367</v>
      </c>
    </row>
    <row r="11" spans="1:22" x14ac:dyDescent="0.2">
      <c r="A11" t="s">
        <v>15</v>
      </c>
      <c r="B11">
        <v>2030</v>
      </c>
      <c r="C11" s="4">
        <f t="shared" si="3"/>
        <v>109.01581455805893</v>
      </c>
      <c r="D11" s="1">
        <v>0</v>
      </c>
      <c r="M11" t="s">
        <v>0</v>
      </c>
      <c r="N11" t="s">
        <v>1</v>
      </c>
      <c r="O11" t="s">
        <v>2</v>
      </c>
      <c r="P11" t="s">
        <v>3</v>
      </c>
      <c r="Q11" t="s">
        <v>18</v>
      </c>
      <c r="R11" t="s">
        <v>4</v>
      </c>
      <c r="S11" t="s">
        <v>5</v>
      </c>
      <c r="T11">
        <v>2050</v>
      </c>
      <c r="U11">
        <v>493.57</v>
      </c>
      <c r="V11" s="1">
        <f t="shared" si="2"/>
        <v>2.6435113277274915</v>
      </c>
    </row>
    <row r="12" spans="1:22" x14ac:dyDescent="0.2">
      <c r="A12" t="s">
        <v>15</v>
      </c>
      <c r="B12">
        <v>2035</v>
      </c>
      <c r="C12" s="4">
        <f t="shared" si="3"/>
        <v>131.04917677642982</v>
      </c>
      <c r="D12" s="1">
        <v>0</v>
      </c>
      <c r="M12" t="s">
        <v>0</v>
      </c>
      <c r="N12" t="s">
        <v>1</v>
      </c>
      <c r="O12" t="s">
        <v>2</v>
      </c>
      <c r="P12" t="s">
        <v>3</v>
      </c>
      <c r="Q12" t="s">
        <v>18</v>
      </c>
      <c r="R12" t="s">
        <v>15</v>
      </c>
      <c r="S12" t="s">
        <v>5</v>
      </c>
      <c r="T12">
        <v>2012</v>
      </c>
      <c r="U12">
        <v>23.36</v>
      </c>
      <c r="V12" s="1"/>
    </row>
    <row r="13" spans="1:22" x14ac:dyDescent="0.2">
      <c r="A13" t="s">
        <v>15</v>
      </c>
      <c r="B13">
        <v>2040</v>
      </c>
      <c r="C13" s="4">
        <f t="shared" si="3"/>
        <v>153.39644714038133</v>
      </c>
      <c r="D13" s="1">
        <v>0</v>
      </c>
      <c r="M13" t="s">
        <v>0</v>
      </c>
      <c r="N13" t="s">
        <v>1</v>
      </c>
      <c r="O13" t="s">
        <v>2</v>
      </c>
      <c r="P13" t="s">
        <v>3</v>
      </c>
      <c r="Q13" t="s">
        <v>18</v>
      </c>
      <c r="R13" t="s">
        <v>15</v>
      </c>
      <c r="S13" t="s">
        <v>5</v>
      </c>
      <c r="T13">
        <v>2015</v>
      </c>
      <c r="U13">
        <v>33.9</v>
      </c>
      <c r="V13" s="1"/>
    </row>
    <row r="14" spans="1:22" x14ac:dyDescent="0.2">
      <c r="A14" t="s">
        <v>15</v>
      </c>
      <c r="B14">
        <v>2045</v>
      </c>
      <c r="C14" s="4">
        <f t="shared" si="3"/>
        <v>174.20407279029465</v>
      </c>
      <c r="D14" s="1">
        <v>0</v>
      </c>
      <c r="M14" t="s">
        <v>0</v>
      </c>
      <c r="N14" t="s">
        <v>1</v>
      </c>
      <c r="O14" t="s">
        <v>2</v>
      </c>
      <c r="P14" t="s">
        <v>3</v>
      </c>
      <c r="Q14" t="s">
        <v>18</v>
      </c>
      <c r="R14" t="s">
        <v>15</v>
      </c>
      <c r="S14" t="s">
        <v>5</v>
      </c>
      <c r="T14">
        <v>2020</v>
      </c>
      <c r="U14">
        <v>46.16</v>
      </c>
      <c r="V14" s="1">
        <f t="shared" ref="V14:V20" si="4">U14/U$14</f>
        <v>1</v>
      </c>
    </row>
    <row r="15" spans="1:22" x14ac:dyDescent="0.2">
      <c r="A15" t="s">
        <v>15</v>
      </c>
      <c r="B15">
        <v>2050</v>
      </c>
      <c r="C15" s="4">
        <f t="shared" si="3"/>
        <v>190.90099653379551</v>
      </c>
      <c r="D15" s="1">
        <v>0</v>
      </c>
      <c r="M15" t="s">
        <v>0</v>
      </c>
      <c r="N15" t="s">
        <v>1</v>
      </c>
      <c r="O15" t="s">
        <v>2</v>
      </c>
      <c r="P15" t="s">
        <v>3</v>
      </c>
      <c r="Q15" t="s">
        <v>18</v>
      </c>
      <c r="R15" t="s">
        <v>15</v>
      </c>
      <c r="S15" t="s">
        <v>5</v>
      </c>
      <c r="T15">
        <v>2025</v>
      </c>
      <c r="U15">
        <v>59.11</v>
      </c>
      <c r="V15" s="1">
        <f t="shared" si="4"/>
        <v>1.2805459272097055</v>
      </c>
    </row>
    <row r="16" spans="1:22" x14ac:dyDescent="0.2">
      <c r="M16" t="s">
        <v>0</v>
      </c>
      <c r="N16" t="s">
        <v>1</v>
      </c>
      <c r="O16" t="s">
        <v>2</v>
      </c>
      <c r="P16" t="s">
        <v>3</v>
      </c>
      <c r="Q16" t="s">
        <v>18</v>
      </c>
      <c r="R16" t="s">
        <v>15</v>
      </c>
      <c r="S16" t="s">
        <v>5</v>
      </c>
      <c r="T16">
        <v>2030</v>
      </c>
      <c r="U16">
        <v>72.930000000000007</v>
      </c>
      <c r="V16" s="1">
        <f t="shared" si="4"/>
        <v>1.579939341421144</v>
      </c>
    </row>
    <row r="17" spans="1:26" x14ac:dyDescent="0.2">
      <c r="M17" t="s">
        <v>0</v>
      </c>
      <c r="N17" t="s">
        <v>1</v>
      </c>
      <c r="O17" t="s">
        <v>2</v>
      </c>
      <c r="P17" t="s">
        <v>3</v>
      </c>
      <c r="Q17" t="s">
        <v>18</v>
      </c>
      <c r="R17" t="s">
        <v>15</v>
      </c>
      <c r="S17" t="s">
        <v>5</v>
      </c>
      <c r="T17">
        <v>2035</v>
      </c>
      <c r="U17">
        <v>87.67</v>
      </c>
      <c r="V17" s="1">
        <f t="shared" si="4"/>
        <v>1.8992634315424612</v>
      </c>
    </row>
    <row r="18" spans="1:26" x14ac:dyDescent="0.2">
      <c r="M18" t="s">
        <v>0</v>
      </c>
      <c r="N18" t="s">
        <v>1</v>
      </c>
      <c r="O18" t="s">
        <v>2</v>
      </c>
      <c r="P18" t="s">
        <v>3</v>
      </c>
      <c r="Q18" t="s">
        <v>18</v>
      </c>
      <c r="R18" t="s">
        <v>15</v>
      </c>
      <c r="S18" t="s">
        <v>5</v>
      </c>
      <c r="T18">
        <v>2040</v>
      </c>
      <c r="U18">
        <v>102.62</v>
      </c>
      <c r="V18" s="1">
        <f t="shared" si="4"/>
        <v>2.2231369150779901</v>
      </c>
    </row>
    <row r="19" spans="1:26" x14ac:dyDescent="0.2">
      <c r="A19" s="10" t="s">
        <v>117</v>
      </c>
      <c r="M19" t="s">
        <v>0</v>
      </c>
      <c r="N19" t="s">
        <v>1</v>
      </c>
      <c r="O19" t="s">
        <v>2</v>
      </c>
      <c r="P19" t="s">
        <v>3</v>
      </c>
      <c r="Q19" t="s">
        <v>18</v>
      </c>
      <c r="R19" t="s">
        <v>15</v>
      </c>
      <c r="S19" t="s">
        <v>5</v>
      </c>
      <c r="T19">
        <v>2045</v>
      </c>
      <c r="U19">
        <v>116.54</v>
      </c>
      <c r="V19" s="1">
        <f t="shared" si="4"/>
        <v>2.5246967071057194</v>
      </c>
    </row>
    <row r="20" spans="1:26" x14ac:dyDescent="0.2">
      <c r="A20" s="5" t="s">
        <v>26</v>
      </c>
      <c r="B20" s="5" t="s">
        <v>13</v>
      </c>
      <c r="C20" s="5" t="s">
        <v>118</v>
      </c>
      <c r="D20" s="5" t="s">
        <v>119</v>
      </c>
      <c r="E20" s="5" t="s">
        <v>110</v>
      </c>
      <c r="F20" s="5" t="s">
        <v>98</v>
      </c>
      <c r="G20" s="5" t="s">
        <v>99</v>
      </c>
      <c r="H20" s="5" t="s">
        <v>100</v>
      </c>
      <c r="I20" s="5" t="s">
        <v>101</v>
      </c>
      <c r="J20" s="10" t="s">
        <v>63</v>
      </c>
      <c r="K20" s="10" t="s">
        <v>91</v>
      </c>
      <c r="M20" t="s">
        <v>0</v>
      </c>
      <c r="N20" t="s">
        <v>1</v>
      </c>
      <c r="O20" t="s">
        <v>2</v>
      </c>
      <c r="P20" t="s">
        <v>3</v>
      </c>
      <c r="Q20" t="s">
        <v>18</v>
      </c>
      <c r="R20" t="s">
        <v>15</v>
      </c>
      <c r="S20" t="s">
        <v>5</v>
      </c>
      <c r="T20">
        <v>2050</v>
      </c>
      <c r="U20">
        <v>127.71</v>
      </c>
      <c r="V20" s="1">
        <f t="shared" si="4"/>
        <v>2.7666811091854422</v>
      </c>
    </row>
    <row r="21" spans="1:26" x14ac:dyDescent="0.2">
      <c r="A21" s="5" t="s">
        <v>55</v>
      </c>
      <c r="B21" s="5">
        <v>2020</v>
      </c>
      <c r="C21" s="6">
        <f t="shared" ref="C21:D27" si="5">(C2*$N$32+C9*$N$30*$N$31)*$N$60</f>
        <v>0.10210274911026603</v>
      </c>
      <c r="D21" s="6">
        <f t="shared" si="5"/>
        <v>9.169564176139771E-3</v>
      </c>
      <c r="E21" s="39">
        <f>$N$37/($N$37+$N$33)</f>
        <v>0.58303224943128595</v>
      </c>
      <c r="F21" s="27">
        <f>$N$35*(1+$G$1)^5</f>
        <v>2.0238603790183543E-4</v>
      </c>
      <c r="G21" s="27">
        <f>$N$39*(1+$G$1)^5</f>
        <v>7.8698762367513742E-4</v>
      </c>
      <c r="H21" s="9">
        <f>C21*1000*(1-E21)/F21</f>
        <v>210358.15545753759</v>
      </c>
      <c r="I21" s="7">
        <f>C21*1000*E21/G21</f>
        <v>75641.844542462393</v>
      </c>
      <c r="J21" s="55">
        <f t="shared" ref="J21:J27" si="6">(H21*$N$36+I21*$N$40)/10^9</f>
        <v>2.7534378457444407E-3</v>
      </c>
      <c r="K21" s="29">
        <f>J21/(C21/1000)</f>
        <v>26.967323306553293</v>
      </c>
    </row>
    <row r="22" spans="1:26" x14ac:dyDescent="0.2">
      <c r="A22" t="s">
        <v>55</v>
      </c>
      <c r="B22">
        <v>2025</v>
      </c>
      <c r="C22" s="4">
        <f t="shared" si="5"/>
        <v>0.1296284462603744</v>
      </c>
      <c r="D22" s="4">
        <f t="shared" si="5"/>
        <v>1.1569140554727898E-2</v>
      </c>
      <c r="E22" s="19">
        <f>E21</f>
        <v>0.58303224943128595</v>
      </c>
      <c r="F22" s="12">
        <f t="shared" ref="F22:G27" si="7">F21*(1+$G$1)^5</f>
        <v>2.1270975983474853E-4</v>
      </c>
      <c r="G22" s="12">
        <f t="shared" si="7"/>
        <v>8.271319017868861E-4</v>
      </c>
      <c r="H22" s="9">
        <f t="shared" ref="H22:H25" si="8">C22*1000*(1-E22)/F22</f>
        <v>254106.26051619439</v>
      </c>
      <c r="I22" s="7">
        <f t="shared" ref="I22:I27" si="9">C22*1000*E22/G22</f>
        <v>91373.049993834618</v>
      </c>
      <c r="J22" s="56">
        <f t="shared" si="6"/>
        <v>3.3260692604196117E-3</v>
      </c>
      <c r="K22" s="29">
        <f t="shared" ref="K22:K27" si="10">J22/(C22/1000)</f>
        <v>25.658482812783234</v>
      </c>
      <c r="M22" s="10" t="s">
        <v>39</v>
      </c>
    </row>
    <row r="23" spans="1:26" x14ac:dyDescent="0.2">
      <c r="A23" t="s">
        <v>55</v>
      </c>
      <c r="B23">
        <v>2030</v>
      </c>
      <c r="C23" s="4">
        <f t="shared" si="5"/>
        <v>0.15915192599933772</v>
      </c>
      <c r="D23" s="4">
        <f t="shared" si="5"/>
        <v>1.4152884174816341E-2</v>
      </c>
      <c r="E23" s="19">
        <f t="shared" ref="E23:E27" si="11">E22</f>
        <v>0.58303224943128595</v>
      </c>
      <c r="F23" s="12">
        <f t="shared" si="7"/>
        <v>2.2356009534067801E-4</v>
      </c>
      <c r="G23" s="12">
        <f t="shared" si="7"/>
        <v>8.6932394153634333E-4</v>
      </c>
      <c r="H23" s="9">
        <f t="shared" si="8"/>
        <v>296838.39811168431</v>
      </c>
      <c r="I23" s="7">
        <f t="shared" si="9"/>
        <v>106738.92778419032</v>
      </c>
      <c r="J23" s="56">
        <f t="shared" si="6"/>
        <v>3.8854023874337041E-3</v>
      </c>
      <c r="K23" s="29">
        <f t="shared" si="10"/>
        <v>24.41316599241075</v>
      </c>
      <c r="M23" t="s">
        <v>19</v>
      </c>
      <c r="N23" t="s">
        <v>20</v>
      </c>
      <c r="O23" t="s">
        <v>21</v>
      </c>
      <c r="P23" t="s">
        <v>22</v>
      </c>
      <c r="Q23" t="s">
        <v>23</v>
      </c>
      <c r="R23" t="s">
        <v>24</v>
      </c>
      <c r="S23" t="s">
        <v>25</v>
      </c>
      <c r="T23" t="s">
        <v>26</v>
      </c>
      <c r="U23" t="s">
        <v>27</v>
      </c>
      <c r="V23" t="s">
        <v>13</v>
      </c>
      <c r="W23" t="s">
        <v>28</v>
      </c>
      <c r="X23" t="s">
        <v>29</v>
      </c>
      <c r="Y23" t="s">
        <v>30</v>
      </c>
      <c r="Z23" t="s">
        <v>31</v>
      </c>
    </row>
    <row r="24" spans="1:26" x14ac:dyDescent="0.2">
      <c r="A24" t="s">
        <v>55</v>
      </c>
      <c r="B24">
        <v>2035</v>
      </c>
      <c r="C24" s="4">
        <f t="shared" si="5"/>
        <v>0.19057333838062823</v>
      </c>
      <c r="D24" s="4">
        <f t="shared" si="5"/>
        <v>1.6898203854781062E-2</v>
      </c>
      <c r="E24" s="19">
        <f t="shared" si="11"/>
        <v>0.58303224943128595</v>
      </c>
      <c r="F24" s="12">
        <f t="shared" si="7"/>
        <v>2.3496390700436675E-4</v>
      </c>
      <c r="G24" s="12">
        <f t="shared" si="7"/>
        <v>9.1366819934724159E-4</v>
      </c>
      <c r="H24" s="9">
        <f t="shared" si="8"/>
        <v>338192.0961225084</v>
      </c>
      <c r="I24" s="7">
        <f t="shared" si="9"/>
        <v>121609.1380186688</v>
      </c>
      <c r="J24" s="56">
        <f t="shared" si="6"/>
        <v>4.4266927258892249E-3</v>
      </c>
      <c r="K24" s="29">
        <f t="shared" si="10"/>
        <v>23.228289767626791</v>
      </c>
      <c r="M24" t="s">
        <v>32</v>
      </c>
      <c r="N24" t="s">
        <v>33</v>
      </c>
      <c r="O24">
        <v>404</v>
      </c>
      <c r="P24" t="s">
        <v>0</v>
      </c>
      <c r="Q24">
        <v>5511</v>
      </c>
      <c r="R24" t="s">
        <v>34</v>
      </c>
      <c r="S24" t="s">
        <v>35</v>
      </c>
      <c r="T24" t="s">
        <v>4</v>
      </c>
      <c r="U24">
        <v>2020</v>
      </c>
      <c r="V24">
        <v>2020</v>
      </c>
      <c r="W24" t="s">
        <v>3</v>
      </c>
      <c r="X24">
        <v>110</v>
      </c>
      <c r="Y24" t="s">
        <v>36</v>
      </c>
      <c r="Z24" t="s">
        <v>37</v>
      </c>
    </row>
    <row r="25" spans="1:26" x14ac:dyDescent="0.2">
      <c r="A25" t="s">
        <v>55</v>
      </c>
      <c r="B25">
        <v>2040</v>
      </c>
      <c r="C25" s="4">
        <f t="shared" si="5"/>
        <v>0.22235457452967816</v>
      </c>
      <c r="D25" s="4">
        <f t="shared" si="5"/>
        <v>1.9669061392233827E-2</v>
      </c>
      <c r="E25" s="19">
        <f t="shared" si="11"/>
        <v>0.58303224943128595</v>
      </c>
      <c r="F25" s="12">
        <f t="shared" si="7"/>
        <v>2.469494276723512E-4</v>
      </c>
      <c r="G25" s="12">
        <f t="shared" si="7"/>
        <v>9.6027445997072113E-4</v>
      </c>
      <c r="H25" s="9">
        <f t="shared" si="8"/>
        <v>375439.9742659693</v>
      </c>
      <c r="I25" s="7">
        <f t="shared" si="9"/>
        <v>135002.95297172383</v>
      </c>
      <c r="J25" s="56">
        <f t="shared" si="6"/>
        <v>4.9142408180029374E-3</v>
      </c>
      <c r="K25" s="29">
        <f t="shared" si="10"/>
        <v>22.100920695683833</v>
      </c>
      <c r="M25" t="s">
        <v>32</v>
      </c>
      <c r="N25" t="s">
        <v>33</v>
      </c>
      <c r="O25">
        <v>404</v>
      </c>
      <c r="P25" t="s">
        <v>0</v>
      </c>
      <c r="Q25">
        <v>5123</v>
      </c>
      <c r="R25" t="s">
        <v>38</v>
      </c>
      <c r="S25" t="s">
        <v>35</v>
      </c>
      <c r="T25" t="s">
        <v>4</v>
      </c>
      <c r="U25">
        <v>2020</v>
      </c>
      <c r="V25">
        <v>2020</v>
      </c>
      <c r="W25" t="s">
        <v>3</v>
      </c>
      <c r="X25">
        <v>17</v>
      </c>
      <c r="Y25" t="s">
        <v>36</v>
      </c>
      <c r="Z25" t="s">
        <v>37</v>
      </c>
    </row>
    <row r="26" spans="1:26" x14ac:dyDescent="0.2">
      <c r="A26" t="s">
        <v>55</v>
      </c>
      <c r="B26">
        <v>2045</v>
      </c>
      <c r="C26" s="4">
        <f t="shared" si="5"/>
        <v>0.25176733243108729</v>
      </c>
      <c r="D26" s="4">
        <f t="shared" si="5"/>
        <v>2.2221373803106223E-2</v>
      </c>
      <c r="E26" s="19">
        <f t="shared" si="11"/>
        <v>0.58303224943128595</v>
      </c>
      <c r="F26" s="12">
        <f t="shared" si="7"/>
        <v>2.5954633035008413E-4</v>
      </c>
      <c r="G26" s="12">
        <f t="shared" si="7"/>
        <v>1.0092581082835779E-3</v>
      </c>
      <c r="H26" s="9">
        <f>C26*1000*(1-E26)/F26</f>
        <v>404470.59347314743</v>
      </c>
      <c r="I26" s="7">
        <f t="shared" si="9"/>
        <v>145441.9567758053</v>
      </c>
      <c r="J26" s="56">
        <f t="shared" si="6"/>
        <v>5.2942308661024758E-3</v>
      </c>
      <c r="K26" s="29">
        <f t="shared" si="10"/>
        <v>21.028267706461047</v>
      </c>
      <c r="M26" t="s">
        <v>32</v>
      </c>
      <c r="N26" t="s">
        <v>33</v>
      </c>
      <c r="O26">
        <v>404</v>
      </c>
      <c r="P26" t="s">
        <v>0</v>
      </c>
      <c r="Q26">
        <v>5511</v>
      </c>
      <c r="R26" t="s">
        <v>34</v>
      </c>
      <c r="S26" t="s">
        <v>40</v>
      </c>
      <c r="T26" t="s">
        <v>41</v>
      </c>
      <c r="U26">
        <v>2020</v>
      </c>
      <c r="V26">
        <v>2020</v>
      </c>
      <c r="W26" t="s">
        <v>3</v>
      </c>
      <c r="X26">
        <v>69</v>
      </c>
      <c r="Y26" t="s">
        <v>36</v>
      </c>
      <c r="Z26" t="s">
        <v>37</v>
      </c>
    </row>
    <row r="27" spans="1:26" x14ac:dyDescent="0.2">
      <c r="A27" t="s">
        <v>55</v>
      </c>
      <c r="B27">
        <v>2050</v>
      </c>
      <c r="C27" s="4">
        <f t="shared" si="5"/>
        <v>0.27517777929336923</v>
      </c>
      <c r="D27" s="4">
        <f t="shared" si="5"/>
        <v>2.423984676994969E-2</v>
      </c>
      <c r="E27" s="19">
        <f t="shared" si="11"/>
        <v>0.58303224943128595</v>
      </c>
      <c r="F27" s="12">
        <f t="shared" si="7"/>
        <v>2.7278580166451304E-4</v>
      </c>
      <c r="G27" s="12">
        <f t="shared" si="7"/>
        <v>1.0607404149509544E-3</v>
      </c>
      <c r="H27" s="9">
        <f>C27*1000*(1-E27)/F27</f>
        <v>420624.01685980742</v>
      </c>
      <c r="I27" s="7">
        <f t="shared" si="9"/>
        <v>151250.50143614746</v>
      </c>
      <c r="J27" s="56">
        <f t="shared" si="6"/>
        <v>5.5056676282970408E-3</v>
      </c>
      <c r="K27" s="29">
        <f t="shared" si="10"/>
        <v>20.007675192506749</v>
      </c>
    </row>
    <row r="29" spans="1:26" x14ac:dyDescent="0.2">
      <c r="A29" s="10" t="s">
        <v>139</v>
      </c>
      <c r="M29" s="10" t="s">
        <v>52</v>
      </c>
      <c r="N29" t="s">
        <v>53</v>
      </c>
    </row>
    <row r="30" spans="1:26" x14ac:dyDescent="0.2">
      <c r="A30" s="34" t="s">
        <v>112</v>
      </c>
      <c r="B30" s="36">
        <v>1</v>
      </c>
      <c r="M30" t="s">
        <v>111</v>
      </c>
      <c r="N30">
        <v>0.75</v>
      </c>
    </row>
    <row r="31" spans="1:26" x14ac:dyDescent="0.2">
      <c r="A31" s="5" t="s">
        <v>26</v>
      </c>
      <c r="B31" s="5" t="s">
        <v>13</v>
      </c>
      <c r="C31" s="5" t="s">
        <v>118</v>
      </c>
      <c r="D31" s="5" t="s">
        <v>119</v>
      </c>
      <c r="E31" s="5" t="s">
        <v>110</v>
      </c>
      <c r="F31" s="5" t="s">
        <v>100</v>
      </c>
      <c r="G31" s="5" t="s">
        <v>101</v>
      </c>
      <c r="H31" s="10" t="s">
        <v>63</v>
      </c>
      <c r="I31" s="10" t="s">
        <v>91</v>
      </c>
      <c r="J31" s="10" t="s">
        <v>124</v>
      </c>
      <c r="M31" t="s">
        <v>125</v>
      </c>
      <c r="N31">
        <v>0.19</v>
      </c>
    </row>
    <row r="32" spans="1:26" x14ac:dyDescent="0.2">
      <c r="A32" s="5" t="s">
        <v>55</v>
      </c>
      <c r="B32" s="5">
        <v>2020</v>
      </c>
      <c r="C32" s="6">
        <f>C21</f>
        <v>0.10210274911026603</v>
      </c>
      <c r="D32" s="6">
        <f>D21</f>
        <v>9.169564176139771E-3</v>
      </c>
      <c r="E32" s="39">
        <f>$N$37/($N$37+$N$33)</f>
        <v>0.58303224943128595</v>
      </c>
      <c r="F32" s="9">
        <f t="shared" ref="F32:F38" si="12">C32*1000*(1-E32)/F21</f>
        <v>210358.15545753759</v>
      </c>
      <c r="G32" s="7">
        <f t="shared" ref="G32:G38" si="13">C32*1000*E32/G21</f>
        <v>75641.844542462393</v>
      </c>
      <c r="H32" s="55">
        <f t="shared" ref="H32:H38" si="14">(F32*$N$36+G32*$N$40)/10^9</f>
        <v>2.7534378457444407E-3</v>
      </c>
      <c r="I32" s="29">
        <f t="shared" ref="I32:I38" si="15">H32/(C32/1000)</f>
        <v>26.967323306553293</v>
      </c>
      <c r="J32" s="28">
        <f>(J21-H32)/J21</f>
        <v>0</v>
      </c>
      <c r="M32" t="s">
        <v>126</v>
      </c>
      <c r="N32">
        <v>0.124</v>
      </c>
    </row>
    <row r="33" spans="1:15" x14ac:dyDescent="0.2">
      <c r="A33" t="s">
        <v>55</v>
      </c>
      <c r="B33">
        <v>2025</v>
      </c>
      <c r="C33" s="4">
        <f>C22</f>
        <v>0.1296284462603744</v>
      </c>
      <c r="D33" s="4">
        <f t="shared" ref="D33:D38" si="16">D22</f>
        <v>1.1569140554727898E-2</v>
      </c>
      <c r="E33" s="19">
        <f t="shared" ref="E33:E38" si="17">E32+($B$30-$E$21)/30*5</f>
        <v>0.65252687452607161</v>
      </c>
      <c r="F33" s="9">
        <f t="shared" si="12"/>
        <v>211755.21709682865</v>
      </c>
      <c r="G33" s="7">
        <f t="shared" si="13"/>
        <v>102264.27575241427</v>
      </c>
      <c r="H33" s="56">
        <f t="shared" si="14"/>
        <v>3.3215518029628146E-3</v>
      </c>
      <c r="I33" s="29">
        <f t="shared" si="15"/>
        <v>25.623633537125613</v>
      </c>
      <c r="J33" s="28">
        <f>(J22-H33)/J22</f>
        <v>1.3581970497593436E-3</v>
      </c>
      <c r="M33" t="s">
        <v>64</v>
      </c>
      <c r="N33" s="13">
        <v>6232</v>
      </c>
      <c r="O33" s="4"/>
    </row>
    <row r="34" spans="1:15" x14ac:dyDescent="0.2">
      <c r="A34" t="s">
        <v>55</v>
      </c>
      <c r="B34">
        <v>2030</v>
      </c>
      <c r="C34" s="4">
        <f t="shared" ref="C34:C38" si="18">C23</f>
        <v>0.15915192599933772</v>
      </c>
      <c r="D34" s="4">
        <f t="shared" si="16"/>
        <v>1.4152884174816341E-2</v>
      </c>
      <c r="E34" s="19">
        <f t="shared" si="17"/>
        <v>0.72202149962085727</v>
      </c>
      <c r="F34" s="9">
        <f t="shared" si="12"/>
        <v>197892.26540778959</v>
      </c>
      <c r="G34" s="7">
        <f t="shared" si="13"/>
        <v>132184.45597449993</v>
      </c>
      <c r="H34" s="56">
        <f t="shared" si="14"/>
        <v>3.8748481033142219E-3</v>
      </c>
      <c r="I34" s="29">
        <f t="shared" si="15"/>
        <v>24.346850212358383</v>
      </c>
      <c r="J34" s="28">
        <f t="shared" ref="J34:J37" si="19">(J23-H34)/J23</f>
        <v>2.7163940995190493E-3</v>
      </c>
      <c r="M34" t="s">
        <v>65</v>
      </c>
      <c r="N34" s="13">
        <v>32363372</v>
      </c>
      <c r="O34" s="19"/>
    </row>
    <row r="35" spans="1:15" x14ac:dyDescent="0.2">
      <c r="A35" t="s">
        <v>55</v>
      </c>
      <c r="B35">
        <v>2035</v>
      </c>
      <c r="C35" s="4">
        <f t="shared" si="18"/>
        <v>0.19057333838062823</v>
      </c>
      <c r="D35" s="4">
        <f t="shared" si="16"/>
        <v>1.6898203854781062E-2</v>
      </c>
      <c r="E35" s="19">
        <f t="shared" si="17"/>
        <v>0.79151612471564292</v>
      </c>
      <c r="F35" s="9">
        <f t="shared" si="12"/>
        <v>169096.04806125426</v>
      </c>
      <c r="G35" s="7">
        <f t="shared" si="13"/>
        <v>165094.80178573009</v>
      </c>
      <c r="H35" s="56">
        <f t="shared" si="14"/>
        <v>4.4086557628877426E-3</v>
      </c>
      <c r="I35" s="29">
        <f t="shared" si="15"/>
        <v>23.133643983726749</v>
      </c>
      <c r="J35" s="28">
        <f t="shared" si="19"/>
        <v>4.0745911492781712E-3</v>
      </c>
      <c r="M35" t="s">
        <v>66</v>
      </c>
      <c r="N35" s="12">
        <f>N33/N34</f>
        <v>1.9256337071427539E-4</v>
      </c>
    </row>
    <row r="36" spans="1:15" x14ac:dyDescent="0.2">
      <c r="A36" t="s">
        <v>55</v>
      </c>
      <c r="B36">
        <v>2040</v>
      </c>
      <c r="C36" s="4">
        <f t="shared" si="18"/>
        <v>0.22235457452967816</v>
      </c>
      <c r="D36" s="4">
        <f t="shared" si="16"/>
        <v>1.9669061392233827E-2</v>
      </c>
      <c r="E36" s="19">
        <f t="shared" si="17"/>
        <v>0.86101074981042858</v>
      </c>
      <c r="F36" s="9">
        <f t="shared" si="12"/>
        <v>125146.65808865651</v>
      </c>
      <c r="G36" s="7">
        <f t="shared" si="13"/>
        <v>199369.74992067824</v>
      </c>
      <c r="H36" s="56">
        <f t="shared" si="14"/>
        <v>4.8875427884796617E-3</v>
      </c>
      <c r="I36" s="29">
        <f t="shared" si="15"/>
        <v>21.980851074540453</v>
      </c>
      <c r="J36" s="28">
        <f t="shared" si="19"/>
        <v>5.4327881990376865E-3</v>
      </c>
      <c r="M36" t="s">
        <v>70</v>
      </c>
      <c r="N36">
        <v>5.52</v>
      </c>
    </row>
    <row r="37" spans="1:15" x14ac:dyDescent="0.2">
      <c r="A37" t="s">
        <v>55</v>
      </c>
      <c r="B37">
        <v>2045</v>
      </c>
      <c r="C37" s="4">
        <f t="shared" si="18"/>
        <v>0.25176733243108729</v>
      </c>
      <c r="D37" s="4">
        <f t="shared" si="16"/>
        <v>2.2221373803106223E-2</v>
      </c>
      <c r="E37" s="19">
        <f t="shared" si="17"/>
        <v>0.93050537490521423</v>
      </c>
      <c r="F37" s="9">
        <f t="shared" si="12"/>
        <v>67411.765578858001</v>
      </c>
      <c r="G37" s="7">
        <f t="shared" si="13"/>
        <v>232121.84685946553</v>
      </c>
      <c r="H37" s="56">
        <f t="shared" si="14"/>
        <v>5.2582778223870461E-3</v>
      </c>
      <c r="I37" s="29">
        <f t="shared" si="15"/>
        <v>20.885465050658706</v>
      </c>
      <c r="J37" s="28">
        <f t="shared" si="19"/>
        <v>6.7909852487973892E-3</v>
      </c>
      <c r="M37" t="s">
        <v>67</v>
      </c>
      <c r="N37" s="13">
        <v>8714</v>
      </c>
    </row>
    <row r="38" spans="1:15" x14ac:dyDescent="0.2">
      <c r="A38" t="s">
        <v>55</v>
      </c>
      <c r="B38">
        <v>2050</v>
      </c>
      <c r="C38" s="4">
        <f t="shared" si="18"/>
        <v>0.27517777929336923</v>
      </c>
      <c r="D38" s="4">
        <f t="shared" si="16"/>
        <v>2.423984676994969E-2</v>
      </c>
      <c r="E38" s="19">
        <f t="shared" si="17"/>
        <v>0.99999999999999989</v>
      </c>
      <c r="F38" s="9">
        <f t="shared" si="12"/>
        <v>1.1199582403942325E-10</v>
      </c>
      <c r="G38" s="7">
        <f t="shared" si="13"/>
        <v>259420.47216716316</v>
      </c>
      <c r="H38" s="56">
        <f t="shared" si="14"/>
        <v>5.4608009391187854E-3</v>
      </c>
      <c r="I38" s="29">
        <f t="shared" si="15"/>
        <v>19.844628999992697</v>
      </c>
      <c r="J38" s="28">
        <f>(J27-H38)/J27</f>
        <v>8.1491822985567987E-3</v>
      </c>
      <c r="M38" t="s">
        <v>68</v>
      </c>
      <c r="N38" s="13">
        <v>11637415</v>
      </c>
    </row>
    <row r="39" spans="1:15" x14ac:dyDescent="0.2">
      <c r="M39" t="s">
        <v>69</v>
      </c>
      <c r="N39" s="12">
        <f>N37/N38</f>
        <v>7.4879172049806589E-4</v>
      </c>
    </row>
    <row r="40" spans="1:15" x14ac:dyDescent="0.2">
      <c r="M40" t="s">
        <v>71</v>
      </c>
      <c r="N40">
        <v>21.05</v>
      </c>
    </row>
    <row r="41" spans="1:15" x14ac:dyDescent="0.2">
      <c r="A41" s="10" t="s">
        <v>93</v>
      </c>
      <c r="M41" s="20" t="s">
        <v>72</v>
      </c>
      <c r="N41" s="20" t="s">
        <v>84</v>
      </c>
      <c r="O41" s="20" t="s">
        <v>86</v>
      </c>
    </row>
    <row r="42" spans="1:15" x14ac:dyDescent="0.2">
      <c r="A42" s="34" t="s">
        <v>88</v>
      </c>
      <c r="B42" s="35">
        <v>0.5</v>
      </c>
      <c r="M42" t="s">
        <v>85</v>
      </c>
      <c r="N42" s="19">
        <v>5.8816287242853624E-3</v>
      </c>
      <c r="O42" s="19"/>
    </row>
    <row r="43" spans="1:15" x14ac:dyDescent="0.2">
      <c r="A43" s="5" t="s">
        <v>13</v>
      </c>
      <c r="B43" s="5" t="s">
        <v>87</v>
      </c>
      <c r="C43" s="5" t="s">
        <v>89</v>
      </c>
      <c r="D43" s="5" t="s">
        <v>90</v>
      </c>
      <c r="E43" s="5" t="s">
        <v>98</v>
      </c>
      <c r="F43" s="5" t="s">
        <v>99</v>
      </c>
      <c r="G43" s="5" t="s">
        <v>100</v>
      </c>
      <c r="H43" s="5" t="s">
        <v>101</v>
      </c>
      <c r="I43" s="10" t="s">
        <v>63</v>
      </c>
      <c r="J43" s="10" t="s">
        <v>124</v>
      </c>
      <c r="M43" t="s">
        <v>76</v>
      </c>
      <c r="N43" s="19">
        <v>6.4703512188570275E-2</v>
      </c>
      <c r="O43" s="19">
        <v>0.44523157202761798</v>
      </c>
    </row>
    <row r="44" spans="1:15" x14ac:dyDescent="0.2">
      <c r="A44" s="5">
        <v>2020</v>
      </c>
      <c r="B44" s="6">
        <f>0</f>
        <v>0</v>
      </c>
      <c r="C44" s="8">
        <f t="shared" ref="C44:C50" si="20">B44*D21</f>
        <v>0</v>
      </c>
      <c r="D44" s="8">
        <f t="shared" ref="D44:D50" si="21">C21-C44</f>
        <v>0.10210274911026603</v>
      </c>
      <c r="E44" s="17">
        <f t="shared" ref="E44:F50" si="22">F21</f>
        <v>2.0238603790183543E-4</v>
      </c>
      <c r="F44" s="17">
        <f t="shared" si="22"/>
        <v>7.8698762367513742E-4</v>
      </c>
      <c r="G44" s="7">
        <f t="shared" ref="G44:G50" si="23">D44*1000*(1-E21)/E44</f>
        <v>210358.15545753759</v>
      </c>
      <c r="H44" s="7">
        <f t="shared" ref="H44:H50" si="24">D44*1000*E21/F44</f>
        <v>75641.844542462393</v>
      </c>
      <c r="I44" s="55">
        <f t="shared" ref="I44:I50" si="25">(G44*$N$36+H44*$N$40)/10^9</f>
        <v>2.7534378457444407E-3</v>
      </c>
      <c r="J44" s="28">
        <f t="shared" ref="J44:J50" si="26">(J21-I44)/J21</f>
        <v>0</v>
      </c>
      <c r="M44" t="s">
        <v>77</v>
      </c>
      <c r="N44" s="19">
        <v>0.85134197389922328</v>
      </c>
      <c r="O44" s="19">
        <v>0.18563326569026553</v>
      </c>
    </row>
    <row r="45" spans="1:15" x14ac:dyDescent="0.2">
      <c r="A45">
        <v>2025</v>
      </c>
      <c r="B45" s="19">
        <f t="shared" ref="B45:B50" si="27">$B$42/($A$50-$A$44)*(A45-A44)+B44</f>
        <v>8.3333333333333329E-2</v>
      </c>
      <c r="C45" s="22">
        <f t="shared" si="20"/>
        <v>9.640950462273248E-4</v>
      </c>
      <c r="D45" s="22">
        <f t="shared" si="21"/>
        <v>0.12866435121414707</v>
      </c>
      <c r="E45" s="16">
        <f t="shared" si="22"/>
        <v>2.1270975983474853E-4</v>
      </c>
      <c r="F45" s="16">
        <f t="shared" si="22"/>
        <v>8.271319017868861E-4</v>
      </c>
      <c r="G45" s="7">
        <f t="shared" si="23"/>
        <v>252216.37759275842</v>
      </c>
      <c r="H45" s="7">
        <f t="shared" si="24"/>
        <v>90693.474581191054</v>
      </c>
      <c r="I45" s="56">
        <f t="shared" si="25"/>
        <v>3.3013320442460982E-3</v>
      </c>
      <c r="J45" s="28">
        <f t="shared" si="26"/>
        <v>7.43737253697257E-3</v>
      </c>
      <c r="M45" t="s">
        <v>78</v>
      </c>
      <c r="N45" s="21"/>
      <c r="O45" s="19">
        <v>0.11863804697994798</v>
      </c>
    </row>
    <row r="46" spans="1:15" x14ac:dyDescent="0.2">
      <c r="A46">
        <v>2030</v>
      </c>
      <c r="B46" s="19">
        <f t="shared" si="27"/>
        <v>0.16666666666666666</v>
      </c>
      <c r="C46" s="22">
        <f t="shared" si="20"/>
        <v>2.3588140291360567E-3</v>
      </c>
      <c r="D46" s="22">
        <f t="shared" si="21"/>
        <v>0.15679311197020165</v>
      </c>
      <c r="E46" s="16">
        <f t="shared" si="22"/>
        <v>2.2356009534067801E-4</v>
      </c>
      <c r="F46" s="16">
        <f t="shared" si="22"/>
        <v>8.6932394153634333E-4</v>
      </c>
      <c r="G46" s="7">
        <f t="shared" si="23"/>
        <v>292438.91269260732</v>
      </c>
      <c r="H46" s="7">
        <f t="shared" si="24"/>
        <v>105156.93448608008</v>
      </c>
      <c r="I46" s="56">
        <f t="shared" si="25"/>
        <v>3.8278162689951781E-3</v>
      </c>
      <c r="J46" s="28">
        <f t="shared" si="26"/>
        <v>1.4821146613996255E-2</v>
      </c>
      <c r="M46" t="s">
        <v>79</v>
      </c>
      <c r="N46" s="21">
        <v>2.1030600138786291E-2</v>
      </c>
      <c r="O46" s="19">
        <v>2.113403535132884E-2</v>
      </c>
    </row>
    <row r="47" spans="1:15" x14ac:dyDescent="0.2">
      <c r="A47">
        <v>2035</v>
      </c>
      <c r="B47" s="19">
        <f t="shared" si="27"/>
        <v>0.25</v>
      </c>
      <c r="C47" s="22">
        <f t="shared" si="20"/>
        <v>4.2245509636952656E-3</v>
      </c>
      <c r="D47" s="22">
        <f t="shared" si="21"/>
        <v>0.18634878741693298</v>
      </c>
      <c r="E47" s="16">
        <f t="shared" si="22"/>
        <v>2.3496390700436675E-4</v>
      </c>
      <c r="F47" s="16">
        <f t="shared" si="22"/>
        <v>9.1366819934724159E-4</v>
      </c>
      <c r="G47" s="7">
        <f t="shared" si="23"/>
        <v>330695.19357712229</v>
      </c>
      <c r="H47" s="7">
        <f t="shared" si="24"/>
        <v>118913.35693209924</v>
      </c>
      <c r="I47" s="56">
        <f t="shared" si="25"/>
        <v>4.3285636319664042E-3</v>
      </c>
      <c r="J47" s="28">
        <f t="shared" si="26"/>
        <v>2.2167586502880362E-2</v>
      </c>
      <c r="M47" t="s">
        <v>80</v>
      </c>
      <c r="N47" s="21">
        <v>5.7042285049134826E-2</v>
      </c>
      <c r="O47" s="19">
        <v>4.1402457199087021E-2</v>
      </c>
    </row>
    <row r="48" spans="1:15" x14ac:dyDescent="0.2">
      <c r="A48">
        <v>2040</v>
      </c>
      <c r="B48" s="19">
        <f t="shared" si="27"/>
        <v>0.33333333333333331</v>
      </c>
      <c r="C48" s="22">
        <f t="shared" si="20"/>
        <v>6.556353797411275E-3</v>
      </c>
      <c r="D48" s="22">
        <f t="shared" si="21"/>
        <v>0.2157982207322669</v>
      </c>
      <c r="E48" s="16">
        <f t="shared" si="22"/>
        <v>2.469494276723512E-4</v>
      </c>
      <c r="F48" s="16">
        <f t="shared" si="22"/>
        <v>9.6027445997072113E-4</v>
      </c>
      <c r="G48" s="7">
        <f t="shared" si="23"/>
        <v>364369.73968147626</v>
      </c>
      <c r="H48" s="7">
        <f t="shared" si="24"/>
        <v>131022.25176397896</v>
      </c>
      <c r="I48" s="56">
        <f t="shared" si="25"/>
        <v>4.7693393626735059E-3</v>
      </c>
      <c r="J48" s="28">
        <f t="shared" si="26"/>
        <v>2.9486030639482776E-2</v>
      </c>
      <c r="M48" t="s">
        <v>73</v>
      </c>
      <c r="N48" s="21"/>
      <c r="O48" s="19">
        <v>8.4887286505820433E-2</v>
      </c>
    </row>
    <row r="49" spans="1:15" x14ac:dyDescent="0.2">
      <c r="A49">
        <v>2045</v>
      </c>
      <c r="B49" s="19">
        <f t="shared" si="27"/>
        <v>0.41666666666666663</v>
      </c>
      <c r="C49" s="22">
        <f t="shared" si="20"/>
        <v>9.258905751294259E-3</v>
      </c>
      <c r="D49" s="22">
        <f t="shared" si="21"/>
        <v>0.24250842667979303</v>
      </c>
      <c r="E49" s="16">
        <f t="shared" si="22"/>
        <v>2.5954633035008413E-4</v>
      </c>
      <c r="F49" s="16">
        <f t="shared" si="22"/>
        <v>1.0092581082835779E-3</v>
      </c>
      <c r="G49" s="7">
        <f t="shared" si="23"/>
        <v>389595.92697858554</v>
      </c>
      <c r="H49" s="7">
        <f t="shared" si="24"/>
        <v>140093.23517214137</v>
      </c>
      <c r="I49" s="56">
        <f t="shared" si="25"/>
        <v>5.0995321172953674E-3</v>
      </c>
      <c r="J49" s="28">
        <f t="shared" si="26"/>
        <v>3.6775643852955432E-2</v>
      </c>
      <c r="M49" t="s">
        <v>74</v>
      </c>
      <c r="O49" s="19">
        <v>1.743476254833349E-3</v>
      </c>
    </row>
    <row r="50" spans="1:15" x14ac:dyDescent="0.2">
      <c r="A50">
        <v>2050</v>
      </c>
      <c r="B50" s="19">
        <f t="shared" si="27"/>
        <v>0.49999999999999994</v>
      </c>
      <c r="C50" s="22">
        <f t="shared" si="20"/>
        <v>1.2119923384974843E-2</v>
      </c>
      <c r="D50" s="22">
        <f t="shared" si="21"/>
        <v>0.26305785590839437</v>
      </c>
      <c r="E50" s="16">
        <f t="shared" si="22"/>
        <v>2.7278580166451304E-4</v>
      </c>
      <c r="F50" s="16">
        <f t="shared" si="22"/>
        <v>1.0607404149509544E-3</v>
      </c>
      <c r="G50" s="7">
        <f t="shared" si="23"/>
        <v>402098.06294262613</v>
      </c>
      <c r="H50" s="7">
        <f t="shared" si="24"/>
        <v>144588.8280479383</v>
      </c>
      <c r="I50" s="56">
        <f t="shared" si="25"/>
        <v>5.2631761378523967E-3</v>
      </c>
      <c r="J50" s="28">
        <f t="shared" si="26"/>
        <v>4.4043975556811672E-2</v>
      </c>
      <c r="M50" t="s">
        <v>82</v>
      </c>
      <c r="N50" s="21"/>
      <c r="O50" s="19">
        <v>0.10132985999109888</v>
      </c>
    </row>
    <row r="52" spans="1:15" x14ac:dyDescent="0.2">
      <c r="A52" s="10" t="s">
        <v>96</v>
      </c>
      <c r="M52" s="10" t="s">
        <v>143</v>
      </c>
    </row>
    <row r="53" spans="1:15" x14ac:dyDescent="0.2">
      <c r="A53" s="34" t="s">
        <v>97</v>
      </c>
      <c r="B53" s="35">
        <v>0.5</v>
      </c>
      <c r="C53" s="5"/>
      <c r="D53" s="5"/>
      <c r="M53" t="s">
        <v>144</v>
      </c>
      <c r="N53" s="7">
        <v>286000</v>
      </c>
    </row>
    <row r="54" spans="1:15" x14ac:dyDescent="0.2">
      <c r="A54" s="5" t="s">
        <v>13</v>
      </c>
      <c r="B54" s="5" t="s">
        <v>107</v>
      </c>
      <c r="C54" s="5" t="s">
        <v>102</v>
      </c>
      <c r="D54" s="5" t="s">
        <v>103</v>
      </c>
      <c r="E54" s="10" t="s">
        <v>63</v>
      </c>
      <c r="F54" s="10" t="s">
        <v>91</v>
      </c>
      <c r="G54" s="10" t="s">
        <v>124</v>
      </c>
      <c r="M54" t="s">
        <v>150</v>
      </c>
      <c r="N54" s="19">
        <f>N38/(N38+N34)</f>
        <v>0.26448197392469369</v>
      </c>
    </row>
    <row r="55" spans="1:15" x14ac:dyDescent="0.2">
      <c r="A55" s="5">
        <v>2020</v>
      </c>
      <c r="B55" s="6">
        <f>0</f>
        <v>0</v>
      </c>
      <c r="C55" s="4">
        <f t="shared" ref="C55:C61" si="28">(1-N$48-N$49-N$50)*$N$36+(N$48+N$49+N$50)*$N$36*(1-B55)</f>
        <v>5.52</v>
      </c>
      <c r="D55" s="4">
        <f t="shared" ref="D55:D61" si="29">(1-O$48-O$49-O$50)*$N$40+(O$48+O$49+O$50)*$N$40*(1-B55)</f>
        <v>21.049999999999997</v>
      </c>
      <c r="E55" s="57">
        <f t="shared" ref="E55:E61" si="30">(H21*C55+I21*D55)/10^9</f>
        <v>2.7534378457444403E-3</v>
      </c>
      <c r="F55" s="38">
        <f t="shared" ref="F55:F61" si="31">E55/(C21/1000)</f>
        <v>26.96732330655329</v>
      </c>
      <c r="G55" s="31">
        <f t="shared" ref="G55:G61" si="32">(J21-E55)/J21</f>
        <v>1.5750523283627944E-16</v>
      </c>
      <c r="M55" t="s">
        <v>151</v>
      </c>
      <c r="N55" s="54">
        <f>1-N54</f>
        <v>0.73551802607530625</v>
      </c>
    </row>
    <row r="56" spans="1:15" x14ac:dyDescent="0.2">
      <c r="A56">
        <v>2025</v>
      </c>
      <c r="B56" s="19">
        <f>$B$53/($A$50-$A$44)*(A56-A55)+B55</f>
        <v>8.3333333333333329E-2</v>
      </c>
      <c r="C56" s="4">
        <f t="shared" si="28"/>
        <v>5.52</v>
      </c>
      <c r="D56" s="4">
        <f t="shared" si="29"/>
        <v>20.720285740922964</v>
      </c>
      <c r="E56" s="58">
        <f t="shared" si="30"/>
        <v>3.2959422629412856E-3</v>
      </c>
      <c r="F56" s="38">
        <f t="shared" si="31"/>
        <v>25.42607242488263</v>
      </c>
      <c r="G56" s="31">
        <f t="shared" si="32"/>
        <v>9.0578382828159758E-3</v>
      </c>
      <c r="M56" t="s">
        <v>148</v>
      </c>
      <c r="N56" s="1">
        <f>N53*N55*F21</f>
        <v>42.573553623389394</v>
      </c>
    </row>
    <row r="57" spans="1:15" x14ac:dyDescent="0.2">
      <c r="A57">
        <v>2030</v>
      </c>
      <c r="B57" s="19">
        <f>$B$42/($A$50-$A$44)*(A57-A56)+B56</f>
        <v>0.16666666666666666</v>
      </c>
      <c r="C57" s="4">
        <f t="shared" si="28"/>
        <v>5.52</v>
      </c>
      <c r="D57" s="4">
        <f t="shared" si="29"/>
        <v>20.390571481845932</v>
      </c>
      <c r="E57" s="58">
        <f t="shared" si="30"/>
        <v>3.8150156944556208E-3</v>
      </c>
      <c r="F57" s="38">
        <f t="shared" si="31"/>
        <v>23.97090497334915</v>
      </c>
      <c r="G57" s="31">
        <f t="shared" si="32"/>
        <v>1.8115676565631983E-2</v>
      </c>
      <c r="M57" t="s">
        <v>149</v>
      </c>
      <c r="N57" s="1">
        <f>N53*N54*G21</f>
        <v>59.529195486876638</v>
      </c>
    </row>
    <row r="58" spans="1:15" x14ac:dyDescent="0.2">
      <c r="A58">
        <v>2035</v>
      </c>
      <c r="B58" s="19">
        <f>$B$42/($A$50-$A$44)*(A58-A57)+B57</f>
        <v>0.25</v>
      </c>
      <c r="C58" s="4">
        <f t="shared" si="28"/>
        <v>5.52</v>
      </c>
      <c r="D58" s="4">
        <f t="shared" si="29"/>
        <v>20.060857222768899</v>
      </c>
      <c r="E58" s="58">
        <f t="shared" si="30"/>
        <v>4.3064039253727588E-3</v>
      </c>
      <c r="F58" s="38">
        <f t="shared" si="31"/>
        <v>22.59709549072214</v>
      </c>
      <c r="G58" s="31">
        <f t="shared" si="32"/>
        <v>2.7173514848447666E-2</v>
      </c>
      <c r="M58" t="s">
        <v>152</v>
      </c>
      <c r="N58" s="4">
        <f>N56+N57</f>
        <v>102.10274911026603</v>
      </c>
    </row>
    <row r="59" spans="1:15" x14ac:dyDescent="0.2">
      <c r="A59">
        <v>2040</v>
      </c>
      <c r="B59" s="19">
        <f>$B$42/($A$50-$A$44)*(A59-A58)+B58</f>
        <v>0.33333333333333331</v>
      </c>
      <c r="C59" s="4">
        <f t="shared" si="28"/>
        <v>5.52</v>
      </c>
      <c r="D59" s="4">
        <f t="shared" si="29"/>
        <v>19.731142963691866</v>
      </c>
      <c r="E59" s="58">
        <f t="shared" si="30"/>
        <v>4.7361912235538029E-3</v>
      </c>
      <c r="F59" s="38">
        <f t="shared" si="31"/>
        <v>21.30017443343246</v>
      </c>
      <c r="G59" s="31">
        <f t="shared" si="32"/>
        <v>3.6231353131263667E-2</v>
      </c>
      <c r="M59" t="s">
        <v>146</v>
      </c>
      <c r="N59" s="9">
        <f>(C2*$N$32+C9*$N$30*$N$31)*1000</f>
        <v>23472.5</v>
      </c>
    </row>
    <row r="60" spans="1:15" x14ac:dyDescent="0.2">
      <c r="A60">
        <v>2045</v>
      </c>
      <c r="B60" s="19">
        <f>$B$42/($A$50-$A$44)*(A60-A59)+B59</f>
        <v>0.41666666666666663</v>
      </c>
      <c r="C60" s="4">
        <f t="shared" si="28"/>
        <v>5.52</v>
      </c>
      <c r="D60" s="4">
        <f t="shared" si="29"/>
        <v>19.401428704614833</v>
      </c>
      <c r="E60" s="58">
        <f t="shared" si="30"/>
        <v>5.0544594310172322E-3</v>
      </c>
      <c r="F60" s="38">
        <f t="shared" si="31"/>
        <v>20.075914465196622</v>
      </c>
      <c r="G60" s="31">
        <f t="shared" si="32"/>
        <v>4.5289191414079631E-2</v>
      </c>
      <c r="M60" t="s">
        <v>147</v>
      </c>
      <c r="N60" s="11">
        <f>N58/N59</f>
        <v>4.3498881290985631E-3</v>
      </c>
    </row>
    <row r="61" spans="1:15" x14ac:dyDescent="0.2">
      <c r="A61">
        <v>2050</v>
      </c>
      <c r="B61" s="19">
        <f>$B$42/($A$50-$A$44)*(A61-A60)+B60</f>
        <v>0.49999999999999994</v>
      </c>
      <c r="C61" s="4">
        <f t="shared" si="28"/>
        <v>5.52</v>
      </c>
      <c r="D61" s="4">
        <f t="shared" si="29"/>
        <v>19.0717144455378</v>
      </c>
      <c r="E61" s="58">
        <f t="shared" si="30"/>
        <v>5.2064509462007458E-3</v>
      </c>
      <c r="F61" s="38">
        <f t="shared" si="31"/>
        <v>18.920317474653746</v>
      </c>
      <c r="G61" s="31">
        <f t="shared" si="32"/>
        <v>5.4347029696895401E-2</v>
      </c>
    </row>
    <row r="63" spans="1:15" x14ac:dyDescent="0.2">
      <c r="A63" s="10" t="s">
        <v>104</v>
      </c>
    </row>
    <row r="64" spans="1:15" x14ac:dyDescent="0.2">
      <c r="A64" s="34" t="s">
        <v>97</v>
      </c>
      <c r="B64" s="35">
        <v>0.5</v>
      </c>
      <c r="C64" s="5"/>
      <c r="D64" s="5"/>
    </row>
    <row r="65" spans="1:7" x14ac:dyDescent="0.2">
      <c r="A65" s="5" t="s">
        <v>13</v>
      </c>
      <c r="B65" s="5" t="s">
        <v>107</v>
      </c>
      <c r="C65" s="5" t="s">
        <v>102</v>
      </c>
      <c r="D65" s="5" t="s">
        <v>103</v>
      </c>
      <c r="E65" s="10" t="s">
        <v>63</v>
      </c>
      <c r="F65" s="10" t="s">
        <v>91</v>
      </c>
      <c r="G65" s="10" t="s">
        <v>124</v>
      </c>
    </row>
    <row r="66" spans="1:7" x14ac:dyDescent="0.2">
      <c r="A66" s="5">
        <v>2020</v>
      </c>
      <c r="B66" s="6">
        <f>0</f>
        <v>0</v>
      </c>
      <c r="C66" s="4">
        <f t="shared" ref="C66:C72" si="33">(1-N$43)*$N$36+(N$43)*$N$36*(1-B66)</f>
        <v>5.52</v>
      </c>
      <c r="D66" s="4">
        <f t="shared" ref="D66:D72" si="34">(1-O$43)*$N$40+(O$43)*$N$40*(1-B66)</f>
        <v>21.05</v>
      </c>
      <c r="E66" s="57">
        <f t="shared" ref="E66:E72" si="35">(H21*C66+I21*D66)/10^9</f>
        <v>2.7534378457444407E-3</v>
      </c>
      <c r="F66" s="38">
        <f t="shared" ref="F66:F72" si="36">E66/(C21/1000)</f>
        <v>26.967323306553293</v>
      </c>
      <c r="G66" s="31">
        <f t="shared" ref="G66:G72" si="37">(J21-E66)/J21</f>
        <v>0</v>
      </c>
    </row>
    <row r="67" spans="1:7" x14ac:dyDescent="0.2">
      <c r="A67">
        <v>2025</v>
      </c>
      <c r="B67" s="19">
        <f t="shared" ref="B67:B72" si="38">$B$64/($A$50-$A$44)*(A67-A66)+B66</f>
        <v>8.3333333333333329E-2</v>
      </c>
      <c r="C67" s="4">
        <f t="shared" si="33"/>
        <v>5.4902363843932571</v>
      </c>
      <c r="D67" s="4">
        <f t="shared" si="34"/>
        <v>20.268989617401552</v>
      </c>
      <c r="E67" s="59">
        <f t="shared" si="35"/>
        <v>3.2471428386234686E-3</v>
      </c>
      <c r="F67" s="38">
        <f t="shared" si="36"/>
        <v>25.049616286391259</v>
      </c>
      <c r="G67" s="31">
        <f t="shared" si="37"/>
        <v>2.3729638686533518E-2</v>
      </c>
    </row>
    <row r="68" spans="1:7" x14ac:dyDescent="0.2">
      <c r="A68">
        <v>2030</v>
      </c>
      <c r="B68" s="19">
        <f t="shared" si="38"/>
        <v>0.16666666666666666</v>
      </c>
      <c r="C68" s="4">
        <f t="shared" si="33"/>
        <v>5.4604727687865156</v>
      </c>
      <c r="D68" s="4">
        <f t="shared" si="34"/>
        <v>19.487979234803106</v>
      </c>
      <c r="E68" s="59">
        <f t="shared" si="35"/>
        <v>3.7010039978225121E-3</v>
      </c>
      <c r="F68" s="38">
        <f t="shared" si="36"/>
        <v>23.254534776022208</v>
      </c>
      <c r="G68" s="31">
        <f t="shared" si="37"/>
        <v>4.7459277373066759E-2</v>
      </c>
    </row>
    <row r="69" spans="1:7" x14ac:dyDescent="0.2">
      <c r="A69">
        <v>2035</v>
      </c>
      <c r="B69" s="19">
        <f t="shared" si="38"/>
        <v>0.25</v>
      </c>
      <c r="C69" s="4">
        <f t="shared" si="33"/>
        <v>5.4307091531797731</v>
      </c>
      <c r="D69" s="4">
        <f t="shared" si="34"/>
        <v>18.70696885220466</v>
      </c>
      <c r="E69" s="59">
        <f t="shared" si="35"/>
        <v>4.1115612690042552E-3</v>
      </c>
      <c r="F69" s="38">
        <f t="shared" si="36"/>
        <v>21.574692997151143</v>
      </c>
      <c r="G69" s="31">
        <f t="shared" si="37"/>
        <v>7.1188916059599941E-2</v>
      </c>
    </row>
    <row r="70" spans="1:7" x14ac:dyDescent="0.2">
      <c r="A70">
        <v>2040</v>
      </c>
      <c r="B70" s="19">
        <f t="shared" si="38"/>
        <v>0.33333333333333331</v>
      </c>
      <c r="C70" s="4">
        <f t="shared" si="33"/>
        <v>5.4009455375730306</v>
      </c>
      <c r="D70" s="4">
        <f t="shared" si="34"/>
        <v>17.925958469606215</v>
      </c>
      <c r="E70" s="59">
        <f t="shared" si="35"/>
        <v>4.4477881818836421E-3</v>
      </c>
      <c r="F70" s="38">
        <f t="shared" si="36"/>
        <v>20.003133244690613</v>
      </c>
      <c r="G70" s="31">
        <f t="shared" si="37"/>
        <v>9.4918554746133421E-2</v>
      </c>
    </row>
    <row r="71" spans="1:7" x14ac:dyDescent="0.2">
      <c r="A71">
        <v>2045</v>
      </c>
      <c r="B71" s="19">
        <f t="shared" si="38"/>
        <v>0.41666666666666663</v>
      </c>
      <c r="C71" s="4">
        <f t="shared" si="33"/>
        <v>5.3711819219662882</v>
      </c>
      <c r="D71" s="4">
        <f t="shared" si="34"/>
        <v>17.144948087007769</v>
      </c>
      <c r="E71" s="59">
        <f t="shared" si="35"/>
        <v>4.6660799382239543E-3</v>
      </c>
      <c r="F71" s="38">
        <f t="shared" si="36"/>
        <v>18.533301732070957</v>
      </c>
      <c r="G71" s="31">
        <f t="shared" si="37"/>
        <v>0.11864819343266678</v>
      </c>
    </row>
    <row r="72" spans="1:7" x14ac:dyDescent="0.2">
      <c r="A72">
        <v>2050</v>
      </c>
      <c r="B72" s="19">
        <f t="shared" si="38"/>
        <v>0.49999999999999994</v>
      </c>
      <c r="C72" s="4">
        <f t="shared" si="33"/>
        <v>5.3414183063595457</v>
      </c>
      <c r="D72" s="4">
        <f t="shared" si="34"/>
        <v>16.36393770440932</v>
      </c>
      <c r="E72" s="59">
        <f t="shared" si="35"/>
        <v>4.721782607011251E-3</v>
      </c>
      <c r="F72" s="38">
        <f t="shared" si="36"/>
        <v>17.159025772852541</v>
      </c>
      <c r="G72" s="31">
        <f t="shared" si="37"/>
        <v>0.14237783211919994</v>
      </c>
    </row>
    <row r="74" spans="1:7" x14ac:dyDescent="0.2">
      <c r="A74" s="10" t="s">
        <v>105</v>
      </c>
    </row>
    <row r="75" spans="1:7" x14ac:dyDescent="0.2">
      <c r="A75" s="34" t="s">
        <v>106</v>
      </c>
      <c r="B75" s="35">
        <v>1</v>
      </c>
      <c r="C75" s="5"/>
      <c r="D75" s="5"/>
    </row>
    <row r="76" spans="1:7" x14ac:dyDescent="0.2">
      <c r="A76" s="5" t="s">
        <v>13</v>
      </c>
      <c r="B76" s="5" t="s">
        <v>108</v>
      </c>
      <c r="C76" s="5" t="s">
        <v>102</v>
      </c>
      <c r="D76" s="5" t="s">
        <v>103</v>
      </c>
      <c r="E76" s="10" t="s">
        <v>63</v>
      </c>
      <c r="F76" s="10" t="s">
        <v>91</v>
      </c>
      <c r="G76" s="10" t="s">
        <v>124</v>
      </c>
    </row>
    <row r="77" spans="1:7" x14ac:dyDescent="0.2">
      <c r="A77" s="5">
        <v>2020</v>
      </c>
      <c r="B77" s="6">
        <f>0</f>
        <v>0</v>
      </c>
      <c r="C77" s="4">
        <f t="shared" ref="C77:C83" si="39">(1-N$45)*$N$36+(N$45)*$N$36*(1-$B77)</f>
        <v>5.52</v>
      </c>
      <c r="D77" s="4">
        <f t="shared" ref="D77:D83" si="40">(1-O$45)*$N$40+(O$45)*$N$40*(1-$B77)</f>
        <v>21.05</v>
      </c>
      <c r="E77" s="57">
        <f t="shared" ref="E77:E83" si="41">(H21*C77+I21*D77)/10^9</f>
        <v>2.7534378457444407E-3</v>
      </c>
      <c r="F77" s="38">
        <f t="shared" ref="F77:F83" si="42">E77/(C21/1000)</f>
        <v>26.967323306553293</v>
      </c>
      <c r="G77" s="31">
        <f t="shared" ref="G77:G83" si="43">(J21-E77)/J21</f>
        <v>0</v>
      </c>
    </row>
    <row r="78" spans="1:7" x14ac:dyDescent="0.2">
      <c r="A78">
        <v>2025</v>
      </c>
      <c r="B78" s="19">
        <f t="shared" ref="B78:B83" si="44">$B$75/($A$50-$A$44)*(A78-A77)+B77</f>
        <v>0.16666666666666666</v>
      </c>
      <c r="C78" s="4">
        <f t="shared" si="39"/>
        <v>5.52</v>
      </c>
      <c r="D78" s="4">
        <f t="shared" si="40"/>
        <v>20.633778185178684</v>
      </c>
      <c r="E78" s="59">
        <f t="shared" si="41"/>
        <v>3.2880378037254188E-3</v>
      </c>
      <c r="F78" s="38">
        <f t="shared" si="42"/>
        <v>25.365094611417295</v>
      </c>
      <c r="G78" s="31">
        <f t="shared" si="43"/>
        <v>1.143435500480074E-2</v>
      </c>
    </row>
    <row r="79" spans="1:7" x14ac:dyDescent="0.2">
      <c r="A79">
        <v>2030</v>
      </c>
      <c r="B79" s="19">
        <f t="shared" si="44"/>
        <v>0.33333333333333331</v>
      </c>
      <c r="C79" s="4">
        <f t="shared" si="39"/>
        <v>5.52</v>
      </c>
      <c r="D79" s="4">
        <f t="shared" si="40"/>
        <v>20.217556370357364</v>
      </c>
      <c r="E79" s="59">
        <f t="shared" si="41"/>
        <v>3.796548246964869E-3</v>
      </c>
      <c r="F79" s="38">
        <f t="shared" si="42"/>
        <v>23.854868378914041</v>
      </c>
      <c r="G79" s="31">
        <f t="shared" si="43"/>
        <v>2.2868710009601601E-2</v>
      </c>
    </row>
    <row r="80" spans="1:7" x14ac:dyDescent="0.2">
      <c r="A80">
        <v>2035</v>
      </c>
      <c r="B80" s="19">
        <f t="shared" si="44"/>
        <v>0.5</v>
      </c>
      <c r="C80" s="4">
        <f t="shared" si="39"/>
        <v>5.52</v>
      </c>
      <c r="D80" s="4">
        <f t="shared" si="40"/>
        <v>19.801334555536048</v>
      </c>
      <c r="E80" s="59">
        <f t="shared" si="41"/>
        <v>4.2748435975142659E-3</v>
      </c>
      <c r="F80" s="38">
        <f t="shared" si="42"/>
        <v>22.431488233554518</v>
      </c>
      <c r="G80" s="31">
        <f t="shared" si="43"/>
        <v>3.4303065014402119E-2</v>
      </c>
    </row>
    <row r="81" spans="1:8" x14ac:dyDescent="0.2">
      <c r="A81">
        <v>2040</v>
      </c>
      <c r="B81" s="19">
        <f t="shared" si="44"/>
        <v>0.66666666666666663</v>
      </c>
      <c r="C81" s="4">
        <f t="shared" si="39"/>
        <v>5.52</v>
      </c>
      <c r="D81" s="4">
        <f t="shared" si="40"/>
        <v>19.385112740714732</v>
      </c>
      <c r="E81" s="59">
        <f t="shared" si="41"/>
        <v>4.6894761216344253E-3</v>
      </c>
      <c r="F81" s="38">
        <f t="shared" si="42"/>
        <v>21.090081603014244</v>
      </c>
      <c r="G81" s="31">
        <f t="shared" si="43"/>
        <v>4.5737420019202987E-2</v>
      </c>
    </row>
    <row r="82" spans="1:8" x14ac:dyDescent="0.2">
      <c r="A82">
        <v>2045</v>
      </c>
      <c r="B82" s="19">
        <f t="shared" si="44"/>
        <v>0.83333333333333326</v>
      </c>
      <c r="C82" s="4">
        <f t="shared" si="39"/>
        <v>5.52</v>
      </c>
      <c r="D82" s="4">
        <f t="shared" si="40"/>
        <v>18.968890925893412</v>
      </c>
      <c r="E82" s="59">
        <f t="shared" si="41"/>
        <v>4.9915502901005278E-3</v>
      </c>
      <c r="F82" s="38">
        <f t="shared" si="42"/>
        <v>19.826044316002729</v>
      </c>
      <c r="G82" s="31">
        <f t="shared" si="43"/>
        <v>5.717177502400389E-2</v>
      </c>
    </row>
    <row r="83" spans="1:8" x14ac:dyDescent="0.2">
      <c r="A83">
        <v>2050</v>
      </c>
      <c r="B83" s="19">
        <f t="shared" si="44"/>
        <v>0.99999999999999989</v>
      </c>
      <c r="C83" s="4">
        <f t="shared" si="39"/>
        <v>5.52</v>
      </c>
      <c r="D83" s="4">
        <f t="shared" si="40"/>
        <v>18.552669111072095</v>
      </c>
      <c r="E83" s="59">
        <f t="shared" si="41"/>
        <v>5.1279450790947152E-3</v>
      </c>
      <c r="F83" s="38">
        <f t="shared" si="42"/>
        <v>18.635026026675547</v>
      </c>
      <c r="G83" s="31">
        <f t="shared" si="43"/>
        <v>6.8606130028804335E-2</v>
      </c>
    </row>
    <row r="85" spans="1:8" x14ac:dyDescent="0.2">
      <c r="A85" s="10" t="s">
        <v>109</v>
      </c>
    </row>
    <row r="86" spans="1:8" x14ac:dyDescent="0.2">
      <c r="A86" s="5" t="s">
        <v>13</v>
      </c>
      <c r="B86" s="5" t="s">
        <v>102</v>
      </c>
      <c r="C86" s="5" t="s">
        <v>103</v>
      </c>
      <c r="D86" s="5" t="s">
        <v>100</v>
      </c>
      <c r="E86" s="5" t="s">
        <v>101</v>
      </c>
      <c r="F86" s="10" t="s">
        <v>63</v>
      </c>
      <c r="G86" s="10" t="s">
        <v>91</v>
      </c>
      <c r="H86" s="10" t="s">
        <v>124</v>
      </c>
    </row>
    <row r="87" spans="1:8" x14ac:dyDescent="0.2">
      <c r="A87" s="5">
        <v>2020</v>
      </c>
      <c r="B87" s="4">
        <f t="shared" ref="B87:B93" si="45">((N$43*(1-$B66))+(N$48+N$49+N$50)*(1-$B55)+(N$45*(1-$B77))+(1-N$43-N$48-N$49-N$50-N$45))*$N$36</f>
        <v>5.52</v>
      </c>
      <c r="C87" s="4">
        <f t="shared" ref="C87:C93" si="46">((O$43*(1-$B66))+(O$48+O$49+O$50)*(1-$B55)+(O$45*(1-$B77))+(1-O$43-O$48-O$49-O$50-O$45))*$N$40</f>
        <v>21.049999999999997</v>
      </c>
      <c r="D87" s="7">
        <f>D44*1000*(1-E32)/E44</f>
        <v>210358.15545753759</v>
      </c>
      <c r="E87" s="7">
        <f>D44*1000*E32/F44</f>
        <v>75641.844542462393</v>
      </c>
      <c r="F87" s="57">
        <f>(D87*B87+E87*C87)/10^9</f>
        <v>2.7534378457444403E-3</v>
      </c>
      <c r="G87" s="38">
        <f t="shared" ref="G87:G93" si="47">F87/(D44/1000)</f>
        <v>26.96732330655329</v>
      </c>
      <c r="H87" s="31">
        <f t="shared" ref="H87:H93" si="48">(J21-F87)/J21</f>
        <v>1.5750523283627944E-16</v>
      </c>
    </row>
    <row r="88" spans="1:8" x14ac:dyDescent="0.2">
      <c r="A88">
        <v>2025</v>
      </c>
      <c r="B88" s="4">
        <f t="shared" si="45"/>
        <v>5.4902363843932571</v>
      </c>
      <c r="C88" s="4">
        <f t="shared" si="46"/>
        <v>19.523053543503206</v>
      </c>
      <c r="D88" s="7">
        <f t="shared" ref="D88:D93" si="49">D45*1000*(1-E33)/E45</f>
        <v>210180.31466063205</v>
      </c>
      <c r="E88" s="7">
        <f t="shared" ref="E88:E93" si="50">D45*1000*E33/F45</f>
        <v>101503.69823641988</v>
      </c>
      <c r="F88" s="59">
        <f t="shared" ref="F88:F93" si="51">(D88*B88+E88*C88)/10^9</f>
        <v>3.1356017463662427E-3</v>
      </c>
      <c r="G88" s="38">
        <f t="shared" si="47"/>
        <v>24.370400322832179</v>
      </c>
      <c r="H88" s="31">
        <f t="shared" si="48"/>
        <v>5.7265047460057984E-2</v>
      </c>
    </row>
    <row r="89" spans="1:8" x14ac:dyDescent="0.2">
      <c r="A89">
        <v>2030</v>
      </c>
      <c r="B89" s="4">
        <f t="shared" si="45"/>
        <v>5.4604727687865147</v>
      </c>
      <c r="C89" s="4">
        <f t="shared" si="46"/>
        <v>17.996107087006408</v>
      </c>
      <c r="D89" s="7">
        <f t="shared" si="49"/>
        <v>194959.2751284049</v>
      </c>
      <c r="E89" s="7">
        <f t="shared" si="50"/>
        <v>130225.33077241053</v>
      </c>
      <c r="F89" s="59">
        <f t="shared" si="51"/>
        <v>3.4081188108821435E-3</v>
      </c>
      <c r="G89" s="38">
        <f t="shared" si="47"/>
        <v>21.736406453427957</v>
      </c>
      <c r="H89" s="31">
        <f t="shared" si="48"/>
        <v>0.12284019232993906</v>
      </c>
    </row>
    <row r="90" spans="1:8" x14ac:dyDescent="0.2">
      <c r="A90">
        <v>2035</v>
      </c>
      <c r="B90" s="4">
        <f t="shared" si="45"/>
        <v>5.4307091531797722</v>
      </c>
      <c r="C90" s="4">
        <f t="shared" si="46"/>
        <v>16.469160630509609</v>
      </c>
      <c r="D90" s="7">
        <f t="shared" si="49"/>
        <v>165347.59678856118</v>
      </c>
      <c r="E90" s="7">
        <f t="shared" si="50"/>
        <v>161435.04848596899</v>
      </c>
      <c r="F90" s="59">
        <f t="shared" si="51"/>
        <v>3.5566544522454479E-3</v>
      </c>
      <c r="G90" s="38">
        <f t="shared" si="47"/>
        <v>19.086008025841679</v>
      </c>
      <c r="H90" s="31">
        <f t="shared" si="48"/>
        <v>0.19654363370545569</v>
      </c>
    </row>
    <row r="91" spans="1:8" x14ac:dyDescent="0.2">
      <c r="A91">
        <v>2040</v>
      </c>
      <c r="B91" s="4">
        <f t="shared" si="45"/>
        <v>5.4009455375730306</v>
      </c>
      <c r="C91" s="4">
        <f t="shared" si="46"/>
        <v>14.942214174012815</v>
      </c>
      <c r="D91" s="7">
        <f t="shared" si="49"/>
        <v>121456.5798938255</v>
      </c>
      <c r="E91" s="7">
        <f t="shared" si="50"/>
        <v>193491.12736593111</v>
      </c>
      <c r="F91" s="59">
        <f t="shared" si="51"/>
        <v>3.5471662390593739E-3</v>
      </c>
      <c r="G91" s="38">
        <f t="shared" si="47"/>
        <v>16.437421156776892</v>
      </c>
      <c r="H91" s="31">
        <f t="shared" si="48"/>
        <v>0.27818632207347116</v>
      </c>
    </row>
    <row r="92" spans="1:8" x14ac:dyDescent="0.2">
      <c r="A92">
        <v>2045</v>
      </c>
      <c r="B92" s="4">
        <f t="shared" si="45"/>
        <v>5.3711819219662882</v>
      </c>
      <c r="C92" s="4">
        <f t="shared" si="46"/>
        <v>13.415267717516016</v>
      </c>
      <c r="D92" s="7">
        <f t="shared" si="49"/>
        <v>64932.654496431009</v>
      </c>
      <c r="E92" s="7">
        <f t="shared" si="50"/>
        <v>223585.41648887162</v>
      </c>
      <c r="F92" s="59">
        <f t="shared" si="51"/>
        <v>3.3482233199070457E-3</v>
      </c>
      <c r="G92" s="38">
        <f t="shared" si="47"/>
        <v>13.80662670467952</v>
      </c>
      <c r="H92" s="31">
        <f t="shared" si="48"/>
        <v>0.36757134235591965</v>
      </c>
    </row>
    <row r="93" spans="1:8" x14ac:dyDescent="0.2">
      <c r="A93">
        <v>2050</v>
      </c>
      <c r="B93" s="4">
        <f t="shared" si="45"/>
        <v>5.3414183063595448</v>
      </c>
      <c r="C93" s="4">
        <f t="shared" si="46"/>
        <v>11.888321261019218</v>
      </c>
      <c r="D93" s="7">
        <f t="shared" si="49"/>
        <v>1.0706308270296592E-10</v>
      </c>
      <c r="E93" s="7">
        <f t="shared" si="50"/>
        <v>247994.56323209609</v>
      </c>
      <c r="F93" s="59">
        <f t="shared" si="51"/>
        <v>2.9482390386893031E-3</v>
      </c>
      <c r="G93" s="38">
        <f t="shared" si="47"/>
        <v>11.207568876848063</v>
      </c>
      <c r="H93" s="31">
        <f t="shared" si="48"/>
        <v>0.46450835071545654</v>
      </c>
    </row>
  </sheetData>
  <hyperlinks>
    <hyperlink ref="N1" r:id="rId1" xr:uid="{00000000-0004-0000-0100-000000000000}"/>
  </hyperlinks>
  <pageMargins left="0.7" right="0.7" top="0.75" bottom="0.75" header="0.3" footer="0.3"/>
  <pageSetup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8"/>
  <sheetViews>
    <sheetView zoomScale="142" workbookViewId="0">
      <selection activeCell="F26" sqref="B23:F26"/>
    </sheetView>
  </sheetViews>
  <sheetFormatPr baseColWidth="10" defaultColWidth="8.83203125" defaultRowHeight="15" x14ac:dyDescent="0.2"/>
  <cols>
    <col min="1" max="1" width="47.5" bestFit="1" customWidth="1"/>
    <col min="2" max="3" width="13.6640625" bestFit="1" customWidth="1"/>
    <col min="4" max="4" width="14" bestFit="1" customWidth="1"/>
    <col min="5" max="5" width="12.6640625" customWidth="1"/>
    <col min="6" max="6" width="14" customWidth="1"/>
    <col min="7" max="7" width="12.6640625" customWidth="1"/>
    <col min="8" max="9" width="11.5" customWidth="1"/>
  </cols>
  <sheetData>
    <row r="1" spans="1:10" x14ac:dyDescent="0.2">
      <c r="A1" s="64" t="s">
        <v>128</v>
      </c>
      <c r="B1" s="63" t="s">
        <v>135</v>
      </c>
      <c r="C1" s="63"/>
      <c r="D1" s="63"/>
      <c r="E1" s="63" t="s">
        <v>141</v>
      </c>
      <c r="F1" s="63"/>
      <c r="G1" s="63"/>
      <c r="H1" s="62" t="s">
        <v>136</v>
      </c>
      <c r="I1" s="63"/>
    </row>
    <row r="2" spans="1:10" x14ac:dyDescent="0.2">
      <c r="A2" s="64"/>
      <c r="B2" s="41">
        <v>2020</v>
      </c>
      <c r="C2" s="41">
        <v>2030</v>
      </c>
      <c r="D2" s="42">
        <v>2040</v>
      </c>
      <c r="E2" s="43">
        <v>2020</v>
      </c>
      <c r="F2" s="41">
        <v>2030</v>
      </c>
      <c r="G2" s="42">
        <v>2040</v>
      </c>
      <c r="H2" s="41">
        <v>2030</v>
      </c>
      <c r="I2" s="41">
        <v>2040</v>
      </c>
    </row>
    <row r="3" spans="1:10" x14ac:dyDescent="0.2">
      <c r="A3" s="5" t="s">
        <v>130</v>
      </c>
      <c r="B3" s="52">
        <f>'Cattle (Dairy)'!G20</f>
        <v>0.16386255600000002</v>
      </c>
      <c r="C3" s="52">
        <f>'Cattle (Dairy)'!G22</f>
        <v>0.20743134699808899</v>
      </c>
      <c r="D3" s="53">
        <f>'Cattle (Dairy)'!G24</f>
        <v>0.24072951977081036</v>
      </c>
      <c r="E3" s="44">
        <f>'Cattle (Dairy)'!H20</f>
        <v>164.51019334522823</v>
      </c>
      <c r="F3" s="4">
        <f>'Cattle (Dairy)'!H22</f>
        <v>148.92893194945555</v>
      </c>
      <c r="G3" s="45">
        <f>'Cattle (Dairy)'!H26</f>
        <v>122.05388265241574</v>
      </c>
      <c r="H3" s="19"/>
      <c r="I3" s="19"/>
      <c r="J3" s="4"/>
    </row>
    <row r="4" spans="1:10" x14ac:dyDescent="0.2">
      <c r="A4" s="5" t="s">
        <v>131</v>
      </c>
      <c r="B4" s="52">
        <f>'Cattle (Dairy)'!G31</f>
        <v>0.16386255600000002</v>
      </c>
      <c r="C4" s="52">
        <f>'Cattle (Dairy)'!G33</f>
        <v>0.2046146672980842</v>
      </c>
      <c r="D4" s="53">
        <f>'Cattle (Dairy)'!G35</f>
        <v>0.23414102530293288</v>
      </c>
      <c r="E4" s="44">
        <f>'Cattle (Dairy)'!H31</f>
        <v>164.51019334522823</v>
      </c>
      <c r="F4" s="4">
        <f>'Cattle (Dairy)'!H33</f>
        <v>148.92893194945555</v>
      </c>
      <c r="G4" s="45">
        <f>'Cattle (Dairy)'!H35</f>
        <v>134.82341927020116</v>
      </c>
      <c r="H4" s="19">
        <f>'Cattle (Dairy)'!I33</f>
        <v>1.3578852669894401E-2</v>
      </c>
      <c r="I4" s="19">
        <f>'Cattle (Dairy)'!I35</f>
        <v>2.7368868072973136E-2</v>
      </c>
    </row>
    <row r="5" spans="1:10" x14ac:dyDescent="0.2">
      <c r="A5" s="5" t="s">
        <v>132</v>
      </c>
      <c r="B5" s="52">
        <f>'Cattle (Dairy)'!C42</f>
        <v>0.16386255600000002</v>
      </c>
      <c r="C5" s="52">
        <f>'Cattle (Dairy)'!C44</f>
        <v>0.20259128223480025</v>
      </c>
      <c r="D5" s="53">
        <f>'Cattle (Dairy)'!C46</f>
        <v>0.22949547551483923</v>
      </c>
      <c r="E5" s="44">
        <f>'Cattle (Dairy)'!D42</f>
        <v>164.51019334522823</v>
      </c>
      <c r="F5" s="4">
        <f>'Cattle (Dairy)'!D44</f>
        <v>145.45392353730159</v>
      </c>
      <c r="G5" s="45">
        <f>'Cattle (Dairy)'!D46</f>
        <v>128.53165970425846</v>
      </c>
      <c r="H5" s="19">
        <f>'Cattle (Dairy)'!B44</f>
        <v>2.3333333333333334E-2</v>
      </c>
      <c r="I5" s="19">
        <f>'Cattle (Dairy)'!B46</f>
        <v>4.6666666666666669E-2</v>
      </c>
    </row>
    <row r="6" spans="1:10" x14ac:dyDescent="0.2">
      <c r="A6" s="5" t="s">
        <v>133</v>
      </c>
      <c r="B6" s="52">
        <f>'Cattle (Dairy)'!D53</f>
        <v>0.16386255600000002</v>
      </c>
      <c r="C6" s="52">
        <f>'Cattle (Dairy)'!D55</f>
        <v>0.2029181412450701</v>
      </c>
      <c r="D6" s="53">
        <f>'Cattle (Dairy)'!D57</f>
        <v>0.2302541324267644</v>
      </c>
      <c r="E6" s="44">
        <f>'Cattle (Dairy)'!E53</f>
        <v>164.51019334522823</v>
      </c>
      <c r="F6" s="4">
        <f>'Cattle (Dairy)'!E55</f>
        <v>145.68859763069207</v>
      </c>
      <c r="G6" s="45">
        <f>'Cattle (Dairy)'!E57</f>
        <v>128.9565544949601</v>
      </c>
      <c r="H6" s="19">
        <f>'Cattle (Dairy)'!F55</f>
        <v>2.1757587839703267E-2</v>
      </c>
      <c r="I6" s="19">
        <f>'Cattle (Dairy)'!F57</f>
        <v>4.3515175679406451E-2</v>
      </c>
    </row>
    <row r="7" spans="1:10" x14ac:dyDescent="0.2">
      <c r="A7" s="5" t="s">
        <v>142</v>
      </c>
      <c r="B7" s="52">
        <f>'Cattle (Dairy)'!D64</f>
        <v>0.16386255600000002</v>
      </c>
      <c r="C7" s="52">
        <f>'Cattle (Dairy)'!D66</f>
        <v>0.1973491478756304</v>
      </c>
      <c r="D7" s="53">
        <f>'Cattle (Dairy)'!D68</f>
        <v>0.21732820663171667</v>
      </c>
      <c r="E7" s="44">
        <f>'Cattle (Dairy)'!E64</f>
        <v>164.51019334522823</v>
      </c>
      <c r="F7" s="4">
        <f>'Cattle (Dairy)'!E66</f>
        <v>141.69024228784269</v>
      </c>
      <c r="G7" s="45">
        <f>'Cattle (Dairy)'!E68</f>
        <v>121.717236630743</v>
      </c>
      <c r="H7" s="19">
        <f>'Cattle (Dairy)'!F66</f>
        <v>4.8604992776484598E-2</v>
      </c>
      <c r="I7" s="19">
        <f>'Cattle (Dairy)'!F68</f>
        <v>9.7209985552969197E-2</v>
      </c>
    </row>
    <row r="8" spans="1:10" x14ac:dyDescent="0.2">
      <c r="A8" s="5" t="s">
        <v>134</v>
      </c>
      <c r="B8" s="52">
        <f>'Cattle (Dairy)'!C74</f>
        <v>0.16386255600000002</v>
      </c>
      <c r="C8" s="52">
        <f>'Cattle (Dairy)'!C76</f>
        <v>0.18577904407865006</v>
      </c>
      <c r="D8" s="53">
        <f>'Cattle (Dairy)'!C78</f>
        <v>0.19180255548364758</v>
      </c>
      <c r="E8" s="44">
        <f>'Cattle (Dairy)'!D74</f>
        <v>164.51019334522823</v>
      </c>
      <c r="F8" s="4">
        <f>'Cattle (Dairy)'!D76</f>
        <v>135.2194101164674</v>
      </c>
      <c r="G8" s="45">
        <f>'Cattle (Dairy)'!D78</f>
        <v>110.44402116891183</v>
      </c>
      <c r="H8" s="19">
        <f>'Cattle (Dairy)'!E76</f>
        <v>0.10438298373311149</v>
      </c>
      <c r="I8" s="19">
        <f>'Cattle (Dairy)'!E78</f>
        <v>0.20324455568949054</v>
      </c>
      <c r="J8" s="4"/>
    </row>
    <row r="9" spans="1:10" x14ac:dyDescent="0.2">
      <c r="J9" s="4"/>
    </row>
    <row r="11" spans="1:10" x14ac:dyDescent="0.2">
      <c r="A11" s="64" t="s">
        <v>129</v>
      </c>
      <c r="B11" s="63" t="s">
        <v>135</v>
      </c>
      <c r="C11" s="63"/>
      <c r="D11" s="63"/>
      <c r="E11" s="63" t="s">
        <v>141</v>
      </c>
      <c r="F11" s="63"/>
      <c r="G11" s="63"/>
      <c r="H11" s="62" t="s">
        <v>136</v>
      </c>
      <c r="I11" s="63"/>
    </row>
    <row r="12" spans="1:10" x14ac:dyDescent="0.2">
      <c r="A12" s="64"/>
      <c r="B12" s="41">
        <v>2020</v>
      </c>
      <c r="C12" s="41">
        <v>2030</v>
      </c>
      <c r="D12" s="42">
        <v>2040</v>
      </c>
      <c r="E12" s="43">
        <v>2020</v>
      </c>
      <c r="F12" s="41">
        <v>2030</v>
      </c>
      <c r="G12" s="42">
        <v>2040</v>
      </c>
      <c r="H12" s="41">
        <v>2030</v>
      </c>
      <c r="I12" s="41">
        <v>2040</v>
      </c>
    </row>
    <row r="13" spans="1:10" x14ac:dyDescent="0.2">
      <c r="A13" s="5" t="s">
        <v>130</v>
      </c>
      <c r="B13" s="52">
        <f>Poutry!J21</f>
        <v>2.7534378457444407E-3</v>
      </c>
      <c r="C13" s="52">
        <f>Poutry!J23</f>
        <v>3.8854023874337041E-3</v>
      </c>
      <c r="D13" s="53">
        <f>Poutry!J25</f>
        <v>4.9142408180029374E-3</v>
      </c>
      <c r="E13" s="46">
        <f>Poutry!K21</f>
        <v>26.967323306553293</v>
      </c>
      <c r="F13" s="47">
        <f>Poutry!K23</f>
        <v>24.41316599241075</v>
      </c>
      <c r="G13" s="48">
        <f>Poutry!K27</f>
        <v>20.007675192506749</v>
      </c>
      <c r="H13" s="19"/>
      <c r="I13" s="19"/>
    </row>
    <row r="14" spans="1:10" x14ac:dyDescent="0.2">
      <c r="A14" s="5" t="s">
        <v>140</v>
      </c>
      <c r="B14" s="52">
        <f>Poutry!H32</f>
        <v>2.7534378457444407E-3</v>
      </c>
      <c r="C14" s="52">
        <f>Poutry!H34</f>
        <v>3.8748481033142219E-3</v>
      </c>
      <c r="D14" s="53">
        <f>Poutry!H36</f>
        <v>4.8875427884796617E-3</v>
      </c>
      <c r="E14" s="46">
        <f>Poutry!I32</f>
        <v>26.967323306553293</v>
      </c>
      <c r="F14" s="47">
        <f>Poutry!I34</f>
        <v>24.346850212358383</v>
      </c>
      <c r="G14" s="48">
        <f>Poutry!I36</f>
        <v>21.980851074540453</v>
      </c>
      <c r="H14" s="19">
        <f>Poutry!J34</f>
        <v>2.7163940995190493E-3</v>
      </c>
      <c r="I14" s="19">
        <f>Poutry!J36</f>
        <v>5.4327881990376865E-3</v>
      </c>
    </row>
    <row r="15" spans="1:10" x14ac:dyDescent="0.2">
      <c r="A15" s="5" t="s">
        <v>131</v>
      </c>
      <c r="B15" s="52">
        <f>Poutry!I44</f>
        <v>2.7534378457444407E-3</v>
      </c>
      <c r="C15" s="52">
        <f>Poutry!I46</f>
        <v>3.8278162689951781E-3</v>
      </c>
      <c r="D15" s="53">
        <f>Poutry!I48</f>
        <v>4.7693393626735059E-3</v>
      </c>
      <c r="E15" s="46">
        <f>Poutry!K21</f>
        <v>26.967323306553293</v>
      </c>
      <c r="F15" s="47">
        <f>Poutry!K23</f>
        <v>24.41316599241075</v>
      </c>
      <c r="G15" s="48">
        <f>Poutry!K25</f>
        <v>22.100920695683833</v>
      </c>
      <c r="H15" s="19">
        <f>Poutry!J46</f>
        <v>1.4821146613996255E-2</v>
      </c>
      <c r="I15" s="19">
        <f>Poutry!J48</f>
        <v>2.9486030639482776E-2</v>
      </c>
    </row>
    <row r="16" spans="1:10" x14ac:dyDescent="0.2">
      <c r="A16" s="5" t="s">
        <v>137</v>
      </c>
      <c r="B16" s="52">
        <f>Poutry!E55</f>
        <v>2.7534378457444403E-3</v>
      </c>
      <c r="C16" s="52">
        <f>Poutry!E57</f>
        <v>3.8150156944556208E-3</v>
      </c>
      <c r="D16" s="53">
        <f>Poutry!E59</f>
        <v>4.7361912235538029E-3</v>
      </c>
      <c r="E16" s="46">
        <f>Poutry!F55</f>
        <v>26.96732330655329</v>
      </c>
      <c r="F16" s="47">
        <f>Poutry!F57</f>
        <v>23.97090497334915</v>
      </c>
      <c r="G16" s="48">
        <f>Poutry!F59</f>
        <v>21.30017443343246</v>
      </c>
      <c r="H16" s="19">
        <f>Poutry!G57</f>
        <v>1.8115676565631983E-2</v>
      </c>
      <c r="I16" s="19">
        <f>Poutry!G59</f>
        <v>3.6231353131263667E-2</v>
      </c>
    </row>
    <row r="17" spans="1:9" x14ac:dyDescent="0.2">
      <c r="A17" s="5" t="s">
        <v>138</v>
      </c>
      <c r="B17" s="52">
        <f>Poutry!E66</f>
        <v>2.7534378457444407E-3</v>
      </c>
      <c r="C17" s="52">
        <f>Poutry!E68</f>
        <v>3.7010039978225121E-3</v>
      </c>
      <c r="D17" s="53">
        <f>Poutry!E70</f>
        <v>4.4477881818836421E-3</v>
      </c>
      <c r="E17" s="46">
        <f>Poutry!F66</f>
        <v>26.967323306553293</v>
      </c>
      <c r="F17" s="47">
        <f>Poutry!F68</f>
        <v>23.254534776022208</v>
      </c>
      <c r="G17" s="48">
        <f>Poutry!F70</f>
        <v>20.003133244690613</v>
      </c>
      <c r="H17" s="19">
        <f>Poutry!G68</f>
        <v>4.7459277373066759E-2</v>
      </c>
      <c r="I17" s="19">
        <f>Poutry!G70</f>
        <v>9.4918554746133421E-2</v>
      </c>
    </row>
    <row r="18" spans="1:9" x14ac:dyDescent="0.2">
      <c r="A18" s="5" t="s">
        <v>133</v>
      </c>
      <c r="B18" s="52">
        <f>Poutry!E77</f>
        <v>2.7534378457444407E-3</v>
      </c>
      <c r="C18" s="52">
        <f>Poutry!E79</f>
        <v>3.796548246964869E-3</v>
      </c>
      <c r="D18" s="53">
        <f>Poutry!E81</f>
        <v>4.6894761216344253E-3</v>
      </c>
      <c r="E18" s="46">
        <f>Poutry!F77</f>
        <v>26.967323306553293</v>
      </c>
      <c r="F18" s="47">
        <f>Poutry!F79</f>
        <v>23.854868378914041</v>
      </c>
      <c r="G18" s="48">
        <f>Poutry!F81</f>
        <v>21.090081603014244</v>
      </c>
      <c r="H18" s="19">
        <f>Poutry!G79</f>
        <v>2.2868710009601601E-2</v>
      </c>
      <c r="I18" s="19">
        <f>Poutry!G81</f>
        <v>4.5737420019202987E-2</v>
      </c>
    </row>
    <row r="19" spans="1:9" x14ac:dyDescent="0.2">
      <c r="A19" s="5" t="s">
        <v>134</v>
      </c>
      <c r="B19" s="52">
        <f>Poutry!F87</f>
        <v>2.7534378457444403E-3</v>
      </c>
      <c r="C19" s="52">
        <f>Poutry!F89</f>
        <v>3.4081188108821435E-3</v>
      </c>
      <c r="D19" s="53">
        <f>Poutry!F91</f>
        <v>3.5471662390593739E-3</v>
      </c>
      <c r="E19" s="46">
        <f>Poutry!G87</f>
        <v>26.96732330655329</v>
      </c>
      <c r="F19" s="47">
        <f>Poutry!G89</f>
        <v>21.736406453427957</v>
      </c>
      <c r="G19" s="48">
        <f>Poutry!G91</f>
        <v>16.437421156776892</v>
      </c>
      <c r="H19" s="19">
        <f>Poutry!H89</f>
        <v>0.12284019232993906</v>
      </c>
      <c r="I19" s="19">
        <f>Poutry!H91</f>
        <v>0.27818632207347116</v>
      </c>
    </row>
    <row r="23" spans="1:9" x14ac:dyDescent="0.2">
      <c r="B23" s="60" t="s">
        <v>157</v>
      </c>
      <c r="C23" s="60"/>
      <c r="D23" s="60" t="s">
        <v>155</v>
      </c>
      <c r="E23" s="60" t="s">
        <v>156</v>
      </c>
      <c r="F23" s="60" t="s">
        <v>158</v>
      </c>
    </row>
    <row r="24" spans="1:9" x14ac:dyDescent="0.2">
      <c r="B24" s="61" t="s">
        <v>154</v>
      </c>
      <c r="C24" s="61"/>
      <c r="D24" s="60">
        <f>((C8-C3)+(C19-C13))*1000000</f>
        <v>-22129.586495990487</v>
      </c>
      <c r="E24" s="60">
        <f>-210910*6</f>
        <v>-1265460</v>
      </c>
      <c r="F24" s="60">
        <f>E24+D24</f>
        <v>-1287589.5864959904</v>
      </c>
    </row>
    <row r="25" spans="1:9" x14ac:dyDescent="0.2">
      <c r="B25" s="61" t="s">
        <v>153</v>
      </c>
      <c r="C25" s="61"/>
      <c r="D25" s="60">
        <f>((D19-D13)+(D8-D3))*1000000</f>
        <v>-50294.038866106348</v>
      </c>
      <c r="E25" s="60">
        <v>-4218198</v>
      </c>
      <c r="F25" s="60">
        <f>E25+D25</f>
        <v>-4268492.0388661064</v>
      </c>
    </row>
    <row r="26" spans="1:9" x14ac:dyDescent="0.2">
      <c r="D26" s="47"/>
    </row>
    <row r="27" spans="1:9" x14ac:dyDescent="0.2">
      <c r="B27" s="13"/>
      <c r="D27" s="49"/>
    </row>
    <row r="28" spans="1:9" x14ac:dyDescent="0.2">
      <c r="A28" s="5"/>
      <c r="B28" s="6"/>
      <c r="C28" s="6"/>
      <c r="D28" s="6"/>
    </row>
  </sheetData>
  <mergeCells count="10">
    <mergeCell ref="B25:C25"/>
    <mergeCell ref="B24:C24"/>
    <mergeCell ref="H1:I1"/>
    <mergeCell ref="B1:D1"/>
    <mergeCell ref="A1:A2"/>
    <mergeCell ref="A11:A12"/>
    <mergeCell ref="B11:D11"/>
    <mergeCell ref="H11:I11"/>
    <mergeCell ref="E1:G1"/>
    <mergeCell ref="E11:G1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C036A91C4175499EBEF36E3B0FEA2A" ma:contentTypeVersion="14" ma:contentTypeDescription="Create a new document." ma:contentTypeScope="" ma:versionID="dcd3af65d8a10df1b33f9aaa4e0a7927">
  <xsd:schema xmlns:xsd="http://www.w3.org/2001/XMLSchema" xmlns:xs="http://www.w3.org/2001/XMLSchema" xmlns:p="http://schemas.microsoft.com/office/2006/metadata/properties" xmlns:ns2="505ccb20-7403-45a6-b481-ca1dd862337d" xmlns:ns3="e5565b3b-de73-408f-92ec-2a950ff896c8" targetNamespace="http://schemas.microsoft.com/office/2006/metadata/properties" ma:root="true" ma:fieldsID="3c82aef621d8e4eb77d4e0fd2c947e6a" ns2:_="" ns3:_="">
    <xsd:import namespace="505ccb20-7403-45a6-b481-ca1dd862337d"/>
    <xsd:import namespace="e5565b3b-de73-408f-92ec-2a950ff896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Dateand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5ccb20-7403-45a6-b481-ca1dd8623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Dateandtime" ma:index="21" nillable="true" ma:displayName="Date and time" ma:format="DateOnly" ma:internalName="Dateand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65b3b-de73-408f-92ec-2a950ff896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a2e2747-e17c-42bb-aa81-38a2638568af}" ma:internalName="TaxCatchAll" ma:showField="CatchAllData" ma:web="e5565b3b-de73-408f-92ec-2a950ff896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5ccb20-7403-45a6-b481-ca1dd862337d">
      <Terms xmlns="http://schemas.microsoft.com/office/infopath/2007/PartnerControls"/>
    </lcf76f155ced4ddcb4097134ff3c332f>
    <TaxCatchAll xmlns="e5565b3b-de73-408f-92ec-2a950ff896c8" xsi:nil="true"/>
    <Dateandtime xmlns="505ccb20-7403-45a6-b481-ca1dd862337d" xsi:nil="true"/>
  </documentManagement>
</p:properties>
</file>

<file path=customXml/itemProps1.xml><?xml version="1.0" encoding="utf-8"?>
<ds:datastoreItem xmlns:ds="http://schemas.openxmlformats.org/officeDocument/2006/customXml" ds:itemID="{620363D3-3162-4F02-B0C9-95881B35B9AB}"/>
</file>

<file path=customXml/itemProps2.xml><?xml version="1.0" encoding="utf-8"?>
<ds:datastoreItem xmlns:ds="http://schemas.openxmlformats.org/officeDocument/2006/customXml" ds:itemID="{B536A795-CB21-49DC-B8E7-20A4D4EB6AD7}"/>
</file>

<file path=customXml/itemProps3.xml><?xml version="1.0" encoding="utf-8"?>
<ds:datastoreItem xmlns:ds="http://schemas.openxmlformats.org/officeDocument/2006/customXml" ds:itemID="{F91B34FC-B715-494F-860C-3D2F863037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Cattle (Dairy)</vt:lpstr>
      <vt:lpstr>Poutry</vt:lpstr>
      <vt:lpstr>Summary tables</vt:lpstr>
    </vt:vector>
  </TitlesOfParts>
  <Company>FAO of the 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Tempio, Giuseppe (NSAL)</dc:creator>
  <cp:lastModifiedBy>Joana Talafre</cp:lastModifiedBy>
  <dcterms:created xsi:type="dcterms:W3CDTF">2023-02-27T15:51:15Z</dcterms:created>
  <dcterms:modified xsi:type="dcterms:W3CDTF">2023-05-23T17:08:34Z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0x01010067C036A91C4175499EBEF36E3B0FEA2A</vt:lpwstr>
  </property>
  <property fmtid="{D5CDD505-2E9C-101B-9397-08002B2CF9AE}" pid="3" name="MediaServiceImageTags">
    <vt:lpwstr/>
  </property>
</Properties>
</file>